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oscoso\Desktop\nueva conciliacion\"/>
    </mc:Choice>
  </mc:AlternateContent>
  <xr:revisionPtr revIDLastSave="0" documentId="13_ncr:1_{B33BA9B5-17B5-4BE9-B7EB-E70993A1F91A}" xr6:coauthVersionLast="47" xr6:coauthVersionMax="47" xr10:uidLastSave="{00000000-0000-0000-0000-000000000000}"/>
  <bookViews>
    <workbookView xWindow="-120" yWindow="-120" windowWidth="20730" windowHeight="11160" firstSheet="26" activeTab="31" xr2:uid="{239B4D3E-8CCF-4D1A-9346-E3149E34EAA7}"/>
  </bookViews>
  <sheets>
    <sheet name="BP-ENE-21" sheetId="92" r:id="rId1"/>
    <sheet name="BP-WU-ENE-2021" sheetId="57" r:id="rId2"/>
    <sheet name="DP-ENE-2021" sheetId="58" r:id="rId3"/>
    <sheet name="BP CON ENE-2021" sheetId="60" r:id="rId4"/>
    <sheet name="BP-FEB-21" sheetId="93" r:id="rId5"/>
    <sheet name="DP-FEB-20212" sheetId="61" r:id="rId6"/>
    <sheet name="WU-FEB-2021" sheetId="62" r:id="rId7"/>
    <sheet name="BP CON FEB-2021" sheetId="66" r:id="rId8"/>
    <sheet name="BP-MAR-21" sheetId="94" r:id="rId9"/>
    <sheet name="DP-MAR-2021" sheetId="64" r:id="rId10"/>
    <sheet name="WU-MAR-2021" sheetId="69" r:id="rId11"/>
    <sheet name="BP CON MAR-21" sheetId="68" r:id="rId12"/>
    <sheet name="BP-ABR-21" sheetId="95" r:id="rId13"/>
    <sheet name="DP-ABR-21" sheetId="72" r:id="rId14"/>
    <sheet name="WU-ABR-21" sheetId="71" r:id="rId15"/>
    <sheet name="BP CON ABR-21" sheetId="73" r:id="rId16"/>
    <sheet name="BP-MAY-21" sheetId="96" r:id="rId17"/>
    <sheet name="DP-MAY-21" sheetId="75" r:id="rId18"/>
    <sheet name="WU-MAY-21" sheetId="77" r:id="rId19"/>
    <sheet name="BP CON MAY-21" sheetId="76" r:id="rId20"/>
    <sheet name="BP-JUN-21" sheetId="98" r:id="rId21"/>
    <sheet name="DP-JUN-21" sheetId="79" r:id="rId22"/>
    <sheet name="WU-JUN-21" sheetId="82" r:id="rId23"/>
    <sheet name="BP CON JUN-21" sheetId="83" r:id="rId24"/>
    <sheet name="BP-JUL-21" sheetId="99" r:id="rId25"/>
    <sheet name="DP-JUL-21" sheetId="86" r:id="rId26"/>
    <sheet name="WU-JUL-21" sheetId="87" r:id="rId27"/>
    <sheet name="BP CON JUL-21" sheetId="85" r:id="rId28"/>
    <sheet name="BP-AGO-21" sheetId="100" r:id="rId29"/>
    <sheet name="DP-AGO-21" sheetId="91" r:id="rId30"/>
    <sheet name="WU-AGO-21" sheetId="90" r:id="rId31"/>
    <sheet name="BP CON AGO-21" sheetId="89" r:id="rId32"/>
  </sheets>
  <definedNames>
    <definedName name="_xlnm.Print_Area" localSheetId="15">'BP CON ABR-21'!$A$1:$H$92</definedName>
    <definedName name="_xlnm.Print_Area" localSheetId="3">'BP CON ENE-2021'!$A$1:$H$79</definedName>
    <definedName name="_xlnm.Print_Area" localSheetId="7">'BP CON FEB-2021'!$A$1:$H$92</definedName>
    <definedName name="_xlnm.Print_Area" localSheetId="11">'BP CON MAR-21'!$A$1:$H$146</definedName>
    <definedName name="_xlnm.Print_Area" localSheetId="19">'BP CON MAY-21'!$A$1:$H$92</definedName>
    <definedName name="_xlnm.Print_Area" localSheetId="1">'BP-WU-ENE-2021'!$A$1:$H$476</definedName>
    <definedName name="_xlnm.Print_Area" localSheetId="2">'DP-ENE-2021'!$A$1:$F$222</definedName>
    <definedName name="_xlnm.Print_Area" localSheetId="5">'DP-FEB-20212'!$A$1:$F$182</definedName>
    <definedName name="_xlnm.Print_Area" localSheetId="9">'DP-MAR-2021'!$A$1:$F$219</definedName>
    <definedName name="_xlnm.Print_Area" localSheetId="6">'WU-FEB-2021'!$A$1:$H$398</definedName>
    <definedName name="_xlnm.Print_Area" localSheetId="10">'WU-MAR-2021'!$A$1:$H$432</definedName>
    <definedName name="solver_adj" localSheetId="14" hidden="1">'WU-ABR-21'!#REF!</definedName>
    <definedName name="solver_cvg" localSheetId="14" hidden="1">0.0001</definedName>
    <definedName name="solver_drv" localSheetId="14" hidden="1">1</definedName>
    <definedName name="solver_eng" localSheetId="14" hidden="1">1</definedName>
    <definedName name="solver_est" localSheetId="14" hidden="1">1</definedName>
    <definedName name="solver_itr" localSheetId="14" hidden="1">2147483647</definedName>
    <definedName name="solver_lhs1" localSheetId="14" hidden="1">'WU-ABR-21'!#REF!</definedName>
    <definedName name="solver_mip" localSheetId="14" hidden="1">2147483647</definedName>
    <definedName name="solver_mni" localSheetId="14" hidden="1">30</definedName>
    <definedName name="solver_mrt" localSheetId="14" hidden="1">0.075</definedName>
    <definedName name="solver_msl" localSheetId="14" hidden="1">2</definedName>
    <definedName name="solver_neg" localSheetId="14" hidden="1">1</definedName>
    <definedName name="solver_nod" localSheetId="14" hidden="1">2147483647</definedName>
    <definedName name="solver_num" localSheetId="14" hidden="1">1</definedName>
    <definedName name="solver_nwt" localSheetId="14" hidden="1">1</definedName>
    <definedName name="solver_opt" localSheetId="14" hidden="1">'WU-ABR-21'!#REF!</definedName>
    <definedName name="solver_pre" localSheetId="14" hidden="1">0.000001</definedName>
    <definedName name="solver_rbv" localSheetId="14" hidden="1">1</definedName>
    <definedName name="solver_rel1" localSheetId="14" hidden="1">5</definedName>
    <definedName name="solver_rhs1" localSheetId="14" hidden="1">"binario"</definedName>
    <definedName name="solver_rlx" localSheetId="14" hidden="1">2</definedName>
    <definedName name="solver_rsd" localSheetId="14" hidden="1">0</definedName>
    <definedName name="solver_scl" localSheetId="14" hidden="1">1</definedName>
    <definedName name="solver_sho" localSheetId="14" hidden="1">1</definedName>
    <definedName name="solver_ssz" localSheetId="14" hidden="1">100</definedName>
    <definedName name="solver_tim" localSheetId="14" hidden="1">2147483647</definedName>
    <definedName name="solver_tol" localSheetId="14" hidden="1">0.01</definedName>
    <definedName name="solver_typ" localSheetId="14" hidden="1">3</definedName>
    <definedName name="solver_val" localSheetId="14" hidden="1">667.73</definedName>
    <definedName name="solver_ver" localSheetId="14" hidden="1">3</definedName>
    <definedName name="_xlnm.Print_Titles" localSheetId="15">'BP CON ABR-21'!$1:$8</definedName>
    <definedName name="_xlnm.Print_Titles" localSheetId="3">'BP CON ENE-2021'!$1:$8</definedName>
    <definedName name="_xlnm.Print_Titles" localSheetId="7">'BP CON FEB-2021'!$1:$8</definedName>
    <definedName name="_xlnm.Print_Titles" localSheetId="11">'BP CON MAR-21'!$1:$8</definedName>
    <definedName name="_xlnm.Print_Titles" localSheetId="19">'BP CON MAY-21'!$1:$8</definedName>
    <definedName name="_xlnm.Print_Titles" localSheetId="1">'BP-WU-ENE-2021'!$1:$2</definedName>
    <definedName name="_xlnm.Print_Titles" localSheetId="2">'DP-ENE-2021'!$1:$2</definedName>
    <definedName name="_xlnm.Print_Titles" localSheetId="5">'DP-FEB-20212'!$2:$2</definedName>
    <definedName name="_xlnm.Print_Titles" localSheetId="9">'DP-MAR-2021'!$1:$2</definedName>
    <definedName name="_xlnm.Print_Titles" localSheetId="6">'WU-FEB-2021'!$1:$2</definedName>
    <definedName name="_xlnm.Print_Titles" localSheetId="10">'WU-MAR-2021'!$1:$2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9" i="89" l="1"/>
  <c r="C192" i="91" l="1"/>
  <c r="A191" i="91"/>
  <c r="A190" i="91"/>
  <c r="A189" i="91"/>
  <c r="A188" i="91"/>
  <c r="A187" i="91"/>
  <c r="A186" i="91"/>
  <c r="A185" i="91"/>
  <c r="A184" i="91"/>
  <c r="A183" i="91"/>
  <c r="A182" i="91"/>
  <c r="A181" i="91"/>
  <c r="A180" i="91"/>
  <c r="A179" i="91"/>
  <c r="C178" i="91"/>
  <c r="A177" i="91"/>
  <c r="A176" i="91"/>
  <c r="A175" i="91"/>
  <c r="A174" i="91"/>
  <c r="A173" i="91"/>
  <c r="A172" i="91"/>
  <c r="A171" i="91"/>
  <c r="A170" i="91"/>
  <c r="C169" i="91"/>
  <c r="A168" i="91"/>
  <c r="A167" i="91"/>
  <c r="C166" i="91"/>
  <c r="A165" i="91"/>
  <c r="A164" i="91"/>
  <c r="C163" i="91"/>
  <c r="A162" i="91"/>
  <c r="A161" i="91"/>
  <c r="A160" i="91"/>
  <c r="A159" i="91"/>
  <c r="A158" i="91"/>
  <c r="A157" i="91"/>
  <c r="A156" i="91"/>
  <c r="A155" i="91"/>
  <c r="C154" i="91"/>
  <c r="A153" i="91"/>
  <c r="A152" i="91"/>
  <c r="A151" i="91"/>
  <c r="A150" i="91"/>
  <c r="C149" i="91"/>
  <c r="A148" i="91"/>
  <c r="A147" i="91"/>
  <c r="A146" i="91"/>
  <c r="A145" i="91"/>
  <c r="A144" i="91"/>
  <c r="C143" i="91"/>
  <c r="A142" i="91"/>
  <c r="C141" i="91"/>
  <c r="A140" i="91"/>
  <c r="A139" i="91"/>
  <c r="C138" i="91"/>
  <c r="C135" i="91"/>
  <c r="C130" i="91"/>
  <c r="A129" i="91"/>
  <c r="A128" i="91"/>
  <c r="A127" i="91"/>
  <c r="A126" i="91"/>
  <c r="A125" i="91"/>
  <c r="A124" i="91"/>
  <c r="A123" i="91"/>
  <c r="A122" i="91"/>
  <c r="A121" i="91"/>
  <c r="C120" i="91"/>
  <c r="C115" i="91"/>
  <c r="A114" i="91"/>
  <c r="A113" i="91"/>
  <c r="A112" i="91"/>
  <c r="A111" i="91"/>
  <c r="A110" i="91"/>
  <c r="A109" i="91"/>
  <c r="A108" i="91"/>
  <c r="A107" i="91"/>
  <c r="A106" i="91"/>
  <c r="A105" i="91"/>
  <c r="A104" i="91"/>
  <c r="C103" i="91"/>
  <c r="A102" i="91"/>
  <c r="A101" i="91"/>
  <c r="A100" i="91"/>
  <c r="A99" i="91"/>
  <c r="A98" i="91"/>
  <c r="A97" i="91"/>
  <c r="A96" i="91"/>
  <c r="C95" i="91"/>
  <c r="A94" i="91"/>
  <c r="A93" i="91"/>
  <c r="A92" i="91"/>
  <c r="A91" i="91"/>
  <c r="A90" i="91"/>
  <c r="A89" i="91"/>
  <c r="C88" i="91"/>
  <c r="A87" i="91"/>
  <c r="A86" i="91"/>
  <c r="A85" i="91"/>
  <c r="A84" i="91"/>
  <c r="A83" i="91"/>
  <c r="A82" i="91"/>
  <c r="A81" i="91"/>
  <c r="C80" i="91"/>
  <c r="A79" i="91"/>
  <c r="A78" i="91"/>
  <c r="A77" i="91"/>
  <c r="A76" i="91"/>
  <c r="A75" i="91"/>
  <c r="A74" i="91"/>
  <c r="A73" i="91"/>
  <c r="A72" i="91"/>
  <c r="A71" i="91"/>
  <c r="A70" i="91"/>
  <c r="A69" i="91"/>
  <c r="C68" i="91"/>
  <c r="A67" i="91"/>
  <c r="A66" i="91"/>
  <c r="A65" i="91"/>
  <c r="A64" i="91"/>
  <c r="A63" i="91"/>
  <c r="A62" i="91"/>
  <c r="A61" i="91"/>
  <c r="A60" i="91"/>
  <c r="A59" i="91"/>
  <c r="A58" i="91"/>
  <c r="A57" i="91"/>
  <c r="A56" i="91"/>
  <c r="A55" i="91"/>
  <c r="A54" i="91"/>
  <c r="A53" i="91"/>
  <c r="A52" i="91"/>
  <c r="A51" i="91"/>
  <c r="A50" i="91"/>
  <c r="A49" i="91"/>
  <c r="A48" i="91"/>
  <c r="A47" i="91"/>
  <c r="A46" i="91"/>
  <c r="A45" i="91"/>
  <c r="A44" i="91"/>
  <c r="A43" i="91"/>
  <c r="A42" i="91"/>
  <c r="A41" i="91"/>
  <c r="A40" i="91"/>
  <c r="A39" i="91"/>
  <c r="A38" i="91"/>
  <c r="A37" i="91"/>
  <c r="A36" i="91"/>
  <c r="A35" i="91"/>
  <c r="A34" i="91"/>
  <c r="A33" i="91"/>
  <c r="A32" i="91"/>
  <c r="A31" i="91"/>
  <c r="A30" i="91"/>
  <c r="A29" i="91"/>
  <c r="A28" i="91"/>
  <c r="A27" i="91"/>
  <c r="A26" i="91"/>
  <c r="A25" i="91"/>
  <c r="A24" i="91"/>
  <c r="A23" i="91"/>
  <c r="A22" i="91"/>
  <c r="A21" i="91"/>
  <c r="A20" i="91"/>
  <c r="A19" i="91"/>
  <c r="C18" i="91"/>
  <c r="A17" i="91"/>
  <c r="A16" i="91"/>
  <c r="A15" i="91"/>
  <c r="A14" i="91"/>
  <c r="A13" i="91"/>
  <c r="A12" i="91"/>
  <c r="A11" i="91"/>
  <c r="A10" i="91"/>
  <c r="A9" i="91"/>
  <c r="A8" i="91"/>
  <c r="A7" i="91"/>
  <c r="A6" i="91"/>
  <c r="A5" i="91"/>
  <c r="A4" i="91"/>
  <c r="A3" i="91"/>
  <c r="E417" i="90"/>
  <c r="E399" i="90"/>
  <c r="E376" i="90"/>
  <c r="E354" i="90"/>
  <c r="E351" i="90"/>
  <c r="E334" i="90"/>
  <c r="E319" i="90"/>
  <c r="E299" i="90"/>
  <c r="E282" i="90"/>
  <c r="E260" i="90"/>
  <c r="E256" i="90"/>
  <c r="E244" i="90"/>
  <c r="E222" i="90"/>
  <c r="E209" i="90"/>
  <c r="E195" i="90"/>
  <c r="E179" i="90"/>
  <c r="E173" i="90"/>
  <c r="E162" i="90"/>
  <c r="E138" i="90"/>
  <c r="E108" i="90"/>
  <c r="E78" i="90"/>
  <c r="E44" i="90"/>
  <c r="E15" i="90"/>
  <c r="H54" i="89"/>
  <c r="H326" i="89"/>
  <c r="H21" i="89"/>
  <c r="E44" i="87"/>
  <c r="E70" i="87"/>
  <c r="E82" i="87"/>
  <c r="E91" i="87"/>
  <c r="E115" i="87"/>
  <c r="E140" i="87"/>
  <c r="E167" i="87"/>
  <c r="E194" i="87"/>
  <c r="E210" i="87"/>
  <c r="E221" i="87"/>
  <c r="E229" i="87"/>
  <c r="E248" i="87"/>
  <c r="E266" i="87"/>
  <c r="E282" i="87"/>
  <c r="E302" i="87"/>
  <c r="E317" i="87"/>
  <c r="E330" i="87"/>
  <c r="E335" i="87"/>
  <c r="E359" i="87"/>
  <c r="E372" i="87"/>
  <c r="E374" i="87"/>
  <c r="A3" i="86"/>
  <c r="A4" i="86"/>
  <c r="A5" i="86"/>
  <c r="A6" i="86"/>
  <c r="A7" i="86"/>
  <c r="A8" i="86"/>
  <c r="A9" i="86"/>
  <c r="A10" i="86"/>
  <c r="A11" i="86"/>
  <c r="A12" i="86"/>
  <c r="A13" i="86"/>
  <c r="C14" i="86"/>
  <c r="A15" i="86"/>
  <c r="A16" i="86"/>
  <c r="A17" i="86"/>
  <c r="A18" i="86"/>
  <c r="A19" i="86"/>
  <c r="A20" i="86"/>
  <c r="C21" i="86"/>
  <c r="A22" i="86"/>
  <c r="A23" i="86"/>
  <c r="A24" i="86"/>
  <c r="A25" i="86"/>
  <c r="A26" i="86"/>
  <c r="A27" i="86"/>
  <c r="A28" i="86"/>
  <c r="A29" i="86"/>
  <c r="A30" i="86"/>
  <c r="A31" i="86"/>
  <c r="A32" i="86"/>
  <c r="A33" i="86"/>
  <c r="A34" i="86"/>
  <c r="A35" i="86"/>
  <c r="A36" i="86"/>
  <c r="A37" i="86"/>
  <c r="A38" i="86"/>
  <c r="A39" i="86"/>
  <c r="A40" i="86"/>
  <c r="A41" i="86"/>
  <c r="A42" i="86"/>
  <c r="A43" i="86"/>
  <c r="A44" i="86"/>
  <c r="A45" i="86"/>
  <c r="A46" i="86"/>
  <c r="A47" i="86"/>
  <c r="A48" i="86"/>
  <c r="A49" i="86"/>
  <c r="A50" i="86"/>
  <c r="A51" i="86"/>
  <c r="A52" i="86"/>
  <c r="A53" i="86"/>
  <c r="A54" i="86"/>
  <c r="A55" i="86"/>
  <c r="A56" i="86"/>
  <c r="A57" i="86"/>
  <c r="A58" i="86"/>
  <c r="A59" i="86"/>
  <c r="A60" i="86"/>
  <c r="A61" i="86"/>
  <c r="A62" i="86"/>
  <c r="A63" i="86"/>
  <c r="A64" i="86"/>
  <c r="A65" i="86"/>
  <c r="A66" i="86"/>
  <c r="A67" i="86"/>
  <c r="A68" i="86"/>
  <c r="A69" i="86"/>
  <c r="A70" i="86"/>
  <c r="A71" i="86"/>
  <c r="A72" i="86"/>
  <c r="A73" i="86"/>
  <c r="A74" i="86"/>
  <c r="A75" i="86"/>
  <c r="A76" i="86"/>
  <c r="A77" i="86"/>
  <c r="A78" i="86"/>
  <c r="A79" i="86"/>
  <c r="C80" i="86"/>
  <c r="A81" i="86"/>
  <c r="A82" i="86"/>
  <c r="A83" i="86"/>
  <c r="A84" i="86"/>
  <c r="A85" i="86"/>
  <c r="C86" i="86"/>
  <c r="A87" i="86"/>
  <c r="A88" i="86"/>
  <c r="A89" i="86"/>
  <c r="C90" i="86"/>
  <c r="C101" i="86"/>
  <c r="A102" i="86"/>
  <c r="A103" i="86"/>
  <c r="A104" i="86"/>
  <c r="A105" i="86"/>
  <c r="C106" i="86"/>
  <c r="A107" i="86"/>
  <c r="A108" i="86"/>
  <c r="A109" i="86"/>
  <c r="C110" i="86"/>
  <c r="A111" i="86"/>
  <c r="A112" i="86"/>
  <c r="A113" i="86"/>
  <c r="A114" i="86"/>
  <c r="C115" i="86"/>
  <c r="C117" i="86"/>
  <c r="A118" i="86"/>
  <c r="A119" i="86"/>
  <c r="A120" i="86"/>
  <c r="A121" i="86"/>
  <c r="A122" i="86"/>
  <c r="A123" i="86"/>
  <c r="A124" i="86"/>
  <c r="C125" i="86"/>
  <c r="A126" i="86"/>
  <c r="A127" i="86"/>
  <c r="A128" i="86"/>
  <c r="A129" i="86"/>
  <c r="A130" i="86"/>
  <c r="A131" i="86"/>
  <c r="A132" i="86"/>
  <c r="A133" i="86"/>
  <c r="A134" i="86"/>
  <c r="A135" i="86"/>
  <c r="C136" i="86"/>
  <c r="A137" i="86"/>
  <c r="A138" i="86"/>
  <c r="C139" i="86"/>
  <c r="A140" i="86"/>
  <c r="A141" i="86"/>
  <c r="A142" i="86"/>
  <c r="A143" i="86"/>
  <c r="A144" i="86"/>
  <c r="A145" i="86"/>
  <c r="C146" i="86"/>
  <c r="A147" i="86"/>
  <c r="A148" i="86"/>
  <c r="C149" i="86"/>
  <c r="A150" i="86"/>
  <c r="A151" i="86"/>
  <c r="C152" i="86"/>
  <c r="A153" i="86"/>
  <c r="A154" i="86"/>
  <c r="A155" i="86"/>
  <c r="A156" i="86"/>
  <c r="A157" i="86"/>
  <c r="A158" i="86"/>
  <c r="C159" i="86"/>
  <c r="A160" i="86"/>
  <c r="A161" i="86"/>
  <c r="A162" i="86"/>
  <c r="A163" i="86"/>
  <c r="A164" i="86"/>
  <c r="A165" i="86"/>
  <c r="A166" i="86"/>
  <c r="C167" i="86"/>
  <c r="A168" i="86"/>
  <c r="A169" i="86"/>
  <c r="A170" i="86"/>
  <c r="A171" i="86"/>
  <c r="A172" i="86"/>
  <c r="A173" i="86"/>
  <c r="A174" i="86"/>
  <c r="A175" i="86"/>
  <c r="A176" i="86"/>
  <c r="A177" i="86"/>
  <c r="C178" i="86"/>
  <c r="A179" i="86"/>
  <c r="A180" i="86"/>
  <c r="A181" i="86"/>
  <c r="A182" i="86"/>
  <c r="C183" i="86"/>
  <c r="A184" i="86"/>
  <c r="A185" i="86"/>
  <c r="A186" i="86"/>
  <c r="A187" i="86"/>
  <c r="A188" i="86"/>
  <c r="A189" i="86"/>
  <c r="A190" i="86"/>
  <c r="C191" i="86"/>
  <c r="H48" i="85"/>
  <c r="H44" i="85"/>
  <c r="H21" i="85"/>
  <c r="H261" i="85"/>
  <c r="H20" i="83"/>
  <c r="H40" i="83"/>
  <c r="H44" i="83"/>
  <c r="H221" i="83"/>
  <c r="E70" i="82"/>
  <c r="E100" i="82"/>
  <c r="E125" i="82"/>
  <c r="E148" i="82"/>
  <c r="E170" i="82"/>
  <c r="E192" i="82"/>
  <c r="E199" i="82"/>
  <c r="E225" i="82"/>
  <c r="E253" i="82"/>
  <c r="E276" i="82"/>
  <c r="E295" i="82"/>
  <c r="E307" i="82"/>
  <c r="E315" i="82"/>
  <c r="E320" i="82"/>
  <c r="E344" i="82"/>
  <c r="E361" i="82"/>
  <c r="E383" i="82"/>
  <c r="E400" i="82"/>
  <c r="H31" i="76"/>
  <c r="H84" i="76"/>
  <c r="A3" i="79"/>
  <c r="A4" i="79"/>
  <c r="A5" i="79"/>
  <c r="A6" i="79"/>
  <c r="A7" i="79"/>
  <c r="A8" i="79"/>
  <c r="A9" i="79"/>
  <c r="A10" i="79"/>
  <c r="A11" i="79"/>
  <c r="A12" i="79"/>
  <c r="A13" i="79"/>
  <c r="A14" i="79"/>
  <c r="A15" i="79"/>
  <c r="A16" i="79"/>
  <c r="A17" i="79"/>
  <c r="A18" i="79"/>
  <c r="A19" i="79"/>
  <c r="A20" i="79"/>
  <c r="A21" i="79"/>
  <c r="A22" i="79"/>
  <c r="A23" i="79"/>
  <c r="A24" i="79"/>
  <c r="A25" i="79"/>
  <c r="A26" i="79"/>
  <c r="A27" i="79"/>
  <c r="A28" i="79"/>
  <c r="A29" i="79"/>
  <c r="A30" i="79"/>
  <c r="A31" i="79"/>
  <c r="A32" i="79"/>
  <c r="A33" i="79"/>
  <c r="A34" i="79"/>
  <c r="A35" i="79"/>
  <c r="A36" i="79"/>
  <c r="A37" i="79"/>
  <c r="A38" i="79"/>
  <c r="A39" i="79"/>
  <c r="A40" i="79"/>
  <c r="A41" i="79"/>
  <c r="A42" i="79"/>
  <c r="A43" i="79"/>
  <c r="A44" i="79"/>
  <c r="A45" i="79"/>
  <c r="A46" i="79"/>
  <c r="A47" i="79"/>
  <c r="A48" i="79"/>
  <c r="A49" i="79"/>
  <c r="A50" i="79"/>
  <c r="A51" i="79"/>
  <c r="A52" i="79"/>
  <c r="A53" i="79"/>
  <c r="A54" i="79"/>
  <c r="A55" i="79"/>
  <c r="A56" i="79"/>
  <c r="C57" i="79"/>
  <c r="A58" i="79"/>
  <c r="A59" i="79"/>
  <c r="A60" i="79"/>
  <c r="A61" i="79"/>
  <c r="A62" i="79"/>
  <c r="C63" i="79"/>
  <c r="A64" i="79"/>
  <c r="A65" i="79"/>
  <c r="A66" i="79"/>
  <c r="A67" i="79"/>
  <c r="A68" i="79"/>
  <c r="A69" i="79"/>
  <c r="C70" i="79"/>
  <c r="A71" i="79"/>
  <c r="A72" i="79"/>
  <c r="A73" i="79"/>
  <c r="A74" i="79"/>
  <c r="A75" i="79"/>
  <c r="A76" i="79"/>
  <c r="C77" i="79"/>
  <c r="A78" i="79"/>
  <c r="A79" i="79"/>
  <c r="A80" i="79"/>
  <c r="A81" i="79"/>
  <c r="A82" i="79"/>
  <c r="A83" i="79"/>
  <c r="A84" i="79"/>
  <c r="A85" i="79"/>
  <c r="A86" i="79"/>
  <c r="A87" i="79"/>
  <c r="A88" i="79"/>
  <c r="C89" i="79"/>
  <c r="A90" i="79"/>
  <c r="A91" i="79"/>
  <c r="A92" i="79"/>
  <c r="A93" i="79"/>
  <c r="A94" i="79"/>
  <c r="A95" i="79"/>
  <c r="A96" i="79"/>
  <c r="C97" i="79"/>
  <c r="A98" i="79"/>
  <c r="A99" i="79"/>
  <c r="A100" i="79"/>
  <c r="A101" i="79"/>
  <c r="A102" i="79"/>
  <c r="A103" i="79"/>
  <c r="C104" i="79"/>
  <c r="A105" i="79"/>
  <c r="A106" i="79"/>
  <c r="A107" i="79"/>
  <c r="A108" i="79"/>
  <c r="A109" i="79"/>
  <c r="C110" i="79"/>
  <c r="C120" i="79"/>
  <c r="A121" i="79"/>
  <c r="A122" i="79"/>
  <c r="A123" i="79"/>
  <c r="A124" i="79"/>
  <c r="A125" i="79"/>
  <c r="C126" i="79"/>
  <c r="A127" i="79"/>
  <c r="A128" i="79"/>
  <c r="A129" i="79"/>
  <c r="A130" i="79"/>
  <c r="A131" i="79"/>
  <c r="A132" i="79"/>
  <c r="A133" i="79"/>
  <c r="C134" i="79"/>
  <c r="A135" i="79"/>
  <c r="A136" i="79"/>
  <c r="A137" i="79"/>
  <c r="A138" i="79"/>
  <c r="A139" i="79"/>
  <c r="C140" i="79"/>
  <c r="A141" i="79"/>
  <c r="A142" i="79"/>
  <c r="C143" i="79"/>
  <c r="A144" i="79"/>
  <c r="A145" i="79"/>
  <c r="A146" i="79"/>
  <c r="A147" i="79"/>
  <c r="A148" i="79"/>
  <c r="A149" i="79"/>
  <c r="A150" i="79"/>
  <c r="A151" i="79"/>
  <c r="A152" i="79"/>
  <c r="C153" i="79"/>
  <c r="A154" i="79"/>
  <c r="A155" i="79"/>
  <c r="A156" i="79"/>
  <c r="A157" i="79"/>
  <c r="C158" i="79"/>
  <c r="A159" i="79"/>
  <c r="A160" i="79"/>
  <c r="A161" i="79"/>
  <c r="C162" i="79"/>
  <c r="A163" i="79"/>
  <c r="A164" i="79"/>
  <c r="A165" i="79"/>
  <c r="A166" i="79"/>
  <c r="A167" i="79"/>
  <c r="C168" i="79"/>
  <c r="A169" i="79"/>
  <c r="A170" i="79"/>
  <c r="A171" i="79"/>
  <c r="A172" i="79"/>
  <c r="A173" i="79"/>
  <c r="A174" i="79"/>
  <c r="A175" i="79"/>
  <c r="C176" i="79"/>
  <c r="A177" i="79"/>
  <c r="A178" i="79"/>
  <c r="A179" i="79"/>
  <c r="A180" i="79"/>
  <c r="A181" i="79"/>
  <c r="A182" i="79"/>
  <c r="A183" i="79"/>
  <c r="A184" i="79"/>
  <c r="A185" i="79"/>
  <c r="A186" i="79"/>
  <c r="C187" i="79"/>
  <c r="A188" i="79"/>
  <c r="A189" i="79"/>
  <c r="A190" i="79"/>
  <c r="A191" i="79"/>
  <c r="A192" i="79"/>
  <c r="A193" i="79"/>
  <c r="A194" i="79"/>
  <c r="A195" i="79"/>
  <c r="C196" i="79"/>
  <c r="C206" i="79"/>
  <c r="E24" i="77"/>
  <c r="E64" i="77"/>
  <c r="E108" i="77"/>
  <c r="E136" i="77"/>
  <c r="E154" i="77"/>
  <c r="E178" i="77"/>
  <c r="E216" i="77"/>
  <c r="E240" i="77"/>
  <c r="E258" i="77"/>
  <c r="E276" i="77"/>
  <c r="E301" i="77"/>
  <c r="E321" i="77"/>
  <c r="E337" i="77"/>
  <c r="E351" i="77"/>
  <c r="E353" i="77"/>
  <c r="E355" i="77"/>
  <c r="E362" i="77"/>
  <c r="E385" i="77"/>
  <c r="E408" i="77"/>
  <c r="E437" i="77"/>
  <c r="J87" i="76"/>
  <c r="H35" i="76"/>
  <c r="H16" i="76"/>
  <c r="A3" i="75"/>
  <c r="A4" i="75"/>
  <c r="A5" i="75"/>
  <c r="A6" i="75"/>
  <c r="A7" i="75"/>
  <c r="A8" i="75"/>
  <c r="A9" i="75"/>
  <c r="A10" i="75"/>
  <c r="A11" i="75"/>
  <c r="A12" i="75"/>
  <c r="A13" i="75"/>
  <c r="A14" i="75"/>
  <c r="A15" i="75"/>
  <c r="A16" i="75"/>
  <c r="A17" i="75"/>
  <c r="A18" i="75"/>
  <c r="A19" i="75"/>
  <c r="C20" i="75"/>
  <c r="A21" i="75"/>
  <c r="A22" i="75"/>
  <c r="A23" i="75"/>
  <c r="A24" i="75"/>
  <c r="A25" i="75"/>
  <c r="A26" i="75"/>
  <c r="A27" i="75"/>
  <c r="A28" i="75"/>
  <c r="A29" i="75"/>
  <c r="A30" i="75"/>
  <c r="A31" i="75"/>
  <c r="A32" i="75"/>
  <c r="A33" i="75"/>
  <c r="A34" i="75"/>
  <c r="A35" i="75"/>
  <c r="A36" i="75"/>
  <c r="A37" i="75"/>
  <c r="A38" i="75"/>
  <c r="A39" i="75"/>
  <c r="A40" i="75"/>
  <c r="A41" i="75"/>
  <c r="A42" i="75"/>
  <c r="A43" i="75"/>
  <c r="A44" i="75"/>
  <c r="A45" i="75"/>
  <c r="A46" i="75"/>
  <c r="A47" i="75"/>
  <c r="A48" i="75"/>
  <c r="A49" i="75"/>
  <c r="A50" i="75"/>
  <c r="A51" i="75"/>
  <c r="A52" i="75"/>
  <c r="A53" i="75"/>
  <c r="A54" i="75"/>
  <c r="A55" i="75"/>
  <c r="A56" i="75"/>
  <c r="A57" i="75"/>
  <c r="A58" i="75"/>
  <c r="A59" i="75"/>
  <c r="A60" i="75"/>
  <c r="A61" i="75"/>
  <c r="A62" i="75"/>
  <c r="A63" i="75"/>
  <c r="A64" i="75"/>
  <c r="A65" i="75"/>
  <c r="A66" i="75"/>
  <c r="A67" i="75"/>
  <c r="A68" i="75"/>
  <c r="A69" i="75"/>
  <c r="A70" i="75"/>
  <c r="A71" i="75"/>
  <c r="A72" i="75"/>
  <c r="A73" i="75"/>
  <c r="A74" i="75"/>
  <c r="A75" i="75"/>
  <c r="A76" i="75"/>
  <c r="A77" i="75"/>
  <c r="C78" i="75"/>
  <c r="A79" i="75"/>
  <c r="A80" i="75"/>
  <c r="A81" i="75"/>
  <c r="A82" i="75"/>
  <c r="A83" i="75"/>
  <c r="C84" i="75"/>
  <c r="A85" i="75"/>
  <c r="A86" i="75"/>
  <c r="A87" i="75"/>
  <c r="A88" i="75"/>
  <c r="A89" i="75"/>
  <c r="A90" i="75"/>
  <c r="A91" i="75"/>
  <c r="A92" i="75"/>
  <c r="A93" i="75"/>
  <c r="A94" i="75"/>
  <c r="C95" i="75"/>
  <c r="A96" i="75"/>
  <c r="A97" i="75"/>
  <c r="A98" i="75"/>
  <c r="A99" i="75"/>
  <c r="A100" i="75"/>
  <c r="A101" i="75"/>
  <c r="A102" i="75"/>
  <c r="C103" i="75"/>
  <c r="A104" i="75"/>
  <c r="A105" i="75"/>
  <c r="A106" i="75"/>
  <c r="A107" i="75"/>
  <c r="A108" i="75"/>
  <c r="A109" i="75"/>
  <c r="A110" i="75"/>
  <c r="C111" i="75"/>
  <c r="A112" i="75"/>
  <c r="A113" i="75"/>
  <c r="A114" i="75"/>
  <c r="A115" i="75"/>
  <c r="A116" i="75"/>
  <c r="A117" i="75"/>
  <c r="C118" i="75"/>
  <c r="A119" i="75"/>
  <c r="A120" i="75"/>
  <c r="A121" i="75"/>
  <c r="A122" i="75"/>
  <c r="A123" i="75"/>
  <c r="A124" i="75"/>
  <c r="A125" i="75"/>
  <c r="C126" i="75"/>
  <c r="A127" i="75"/>
  <c r="A128" i="75"/>
  <c r="C129" i="75"/>
  <c r="A130" i="75"/>
  <c r="A131" i="75"/>
  <c r="A132" i="75"/>
  <c r="A133" i="75"/>
  <c r="A134" i="75"/>
  <c r="C135" i="75"/>
  <c r="A136" i="75"/>
  <c r="A137" i="75"/>
  <c r="A138" i="75"/>
  <c r="A139" i="75"/>
  <c r="A140" i="75"/>
  <c r="A141" i="75"/>
  <c r="A142" i="75"/>
  <c r="A143" i="75"/>
  <c r="A144" i="75"/>
  <c r="C145" i="75"/>
  <c r="C154" i="75"/>
  <c r="A155" i="75"/>
  <c r="A156" i="75"/>
  <c r="C157" i="75"/>
  <c r="A158" i="75"/>
  <c r="A159" i="75"/>
  <c r="A160" i="75"/>
  <c r="A161" i="75"/>
  <c r="C162" i="75"/>
  <c r="A163" i="75"/>
  <c r="A164" i="75"/>
  <c r="A165" i="75"/>
  <c r="C166" i="75"/>
  <c r="A167" i="75"/>
  <c r="A168" i="75"/>
  <c r="A169" i="75"/>
  <c r="A170" i="75"/>
  <c r="A171" i="75"/>
  <c r="A172" i="75"/>
  <c r="A173" i="75"/>
  <c r="A174" i="75"/>
  <c r="A175" i="75"/>
  <c r="A176" i="75"/>
  <c r="A177" i="75"/>
  <c r="A178" i="75"/>
  <c r="C179" i="75"/>
  <c r="A180" i="75"/>
  <c r="A181" i="75"/>
  <c r="A182" i="75"/>
  <c r="A183" i="75"/>
  <c r="A184" i="75"/>
  <c r="A185" i="75"/>
  <c r="A186" i="75"/>
  <c r="A187" i="75"/>
  <c r="A188" i="75"/>
  <c r="A189" i="75"/>
  <c r="C190" i="75"/>
  <c r="A191" i="75"/>
  <c r="A192" i="75"/>
  <c r="A193" i="75"/>
  <c r="A194" i="75"/>
  <c r="A195" i="75"/>
  <c r="A196" i="75"/>
  <c r="A197" i="75"/>
  <c r="A198" i="75"/>
  <c r="A199" i="75"/>
  <c r="A200" i="75"/>
  <c r="A201" i="75"/>
  <c r="A202" i="75"/>
  <c r="C203" i="75"/>
  <c r="A204" i="75"/>
  <c r="A205" i="75"/>
  <c r="A206" i="75"/>
  <c r="A207" i="75"/>
  <c r="A208" i="75"/>
  <c r="C209" i="75"/>
  <c r="A210" i="75"/>
  <c r="A211" i="75"/>
  <c r="A212" i="75"/>
  <c r="A213" i="75"/>
  <c r="A214" i="75"/>
  <c r="A215" i="75"/>
  <c r="A216" i="75"/>
  <c r="A217" i="75"/>
  <c r="A218" i="75"/>
  <c r="C219" i="75"/>
  <c r="H84" i="73"/>
  <c r="H27" i="73"/>
  <c r="H22" i="73"/>
  <c r="J87" i="73"/>
  <c r="H16" i="73"/>
  <c r="C182" i="72"/>
  <c r="A181" i="72"/>
  <c r="A180" i="72"/>
  <c r="A179" i="72"/>
  <c r="C178" i="72"/>
  <c r="A177" i="72"/>
  <c r="A176" i="72"/>
  <c r="C175" i="72"/>
  <c r="A174" i="72"/>
  <c r="A173" i="72"/>
  <c r="A172" i="72"/>
  <c r="A171" i="72"/>
  <c r="A170" i="72"/>
  <c r="A169" i="72"/>
  <c r="A168" i="72"/>
  <c r="A167" i="72"/>
  <c r="A166" i="72"/>
  <c r="A165" i="72"/>
  <c r="C164" i="72"/>
  <c r="A163" i="72"/>
  <c r="A162" i="72"/>
  <c r="A161" i="72"/>
  <c r="A160" i="72"/>
  <c r="A159" i="72"/>
  <c r="A158" i="72"/>
  <c r="A157" i="72"/>
  <c r="C156" i="72"/>
  <c r="A155" i="72"/>
  <c r="A154" i="72"/>
  <c r="A153" i="72"/>
  <c r="C152" i="72"/>
  <c r="A151" i="72"/>
  <c r="A150" i="72"/>
  <c r="A149" i="72"/>
  <c r="A148" i="72"/>
  <c r="C147" i="72"/>
  <c r="A146" i="72"/>
  <c r="A145" i="72"/>
  <c r="A144" i="72"/>
  <c r="A143" i="72"/>
  <c r="A142" i="72"/>
  <c r="A141" i="72"/>
  <c r="A140" i="72"/>
  <c r="C139" i="72"/>
  <c r="A138" i="72"/>
  <c r="A137" i="72"/>
  <c r="A136" i="72"/>
  <c r="A135" i="72"/>
  <c r="A134" i="72"/>
  <c r="A133" i="72"/>
  <c r="A132" i="72"/>
  <c r="C131" i="72"/>
  <c r="A130" i="72"/>
  <c r="A129" i="72"/>
  <c r="A128" i="72"/>
  <c r="A127" i="72"/>
  <c r="A126" i="72"/>
  <c r="A125" i="72"/>
  <c r="A124" i="72"/>
  <c r="A123" i="72"/>
  <c r="C122" i="72"/>
  <c r="A121" i="72"/>
  <c r="A120" i="72"/>
  <c r="A119" i="72"/>
  <c r="A118" i="72"/>
  <c r="A117" i="72"/>
  <c r="A116" i="72"/>
  <c r="C115" i="72"/>
  <c r="A114" i="72"/>
  <c r="A113" i="72"/>
  <c r="A112" i="72"/>
  <c r="A111" i="72"/>
  <c r="A110" i="72"/>
  <c r="A109" i="72"/>
  <c r="C108" i="72"/>
  <c r="A107" i="72"/>
  <c r="A106" i="72"/>
  <c r="A105" i="72"/>
  <c r="A104" i="72"/>
  <c r="A103" i="72"/>
  <c r="A102" i="72"/>
  <c r="C101" i="72"/>
  <c r="A100" i="72"/>
  <c r="A99" i="72"/>
  <c r="A98" i="72"/>
  <c r="A97" i="72"/>
  <c r="A96" i="72"/>
  <c r="A95" i="72"/>
  <c r="A94" i="72"/>
  <c r="A93" i="72"/>
  <c r="A92" i="72"/>
  <c r="A91" i="72"/>
  <c r="A90" i="72"/>
  <c r="A89" i="72"/>
  <c r="C88" i="72"/>
  <c r="A87" i="72"/>
  <c r="A86" i="72"/>
  <c r="A85" i="72"/>
  <c r="A84" i="72"/>
  <c r="A83" i="72"/>
  <c r="C82" i="72"/>
  <c r="A81" i="72"/>
  <c r="A80" i="72"/>
  <c r="A79" i="72"/>
  <c r="A78" i="72"/>
  <c r="A77" i="72"/>
  <c r="A76" i="72"/>
  <c r="A75" i="72"/>
  <c r="C74" i="72"/>
  <c r="A73" i="72"/>
  <c r="A72" i="72"/>
  <c r="A71" i="72"/>
  <c r="A70" i="72"/>
  <c r="A69" i="72"/>
  <c r="A68" i="72"/>
  <c r="A67" i="72"/>
  <c r="A66" i="72"/>
  <c r="C65" i="72"/>
  <c r="A64" i="72"/>
  <c r="A63" i="72"/>
  <c r="A62" i="72"/>
  <c r="A61" i="72"/>
  <c r="A60" i="72"/>
  <c r="A59" i="72"/>
  <c r="A58" i="72"/>
  <c r="C57" i="72"/>
  <c r="C10" i="72"/>
  <c r="E147" i="71"/>
  <c r="E159" i="71"/>
  <c r="E23" i="71"/>
  <c r="E166" i="71"/>
  <c r="E197" i="71"/>
  <c r="E56" i="71"/>
  <c r="E87" i="71"/>
  <c r="E101" i="71"/>
  <c r="E219" i="71"/>
  <c r="E113" i="71"/>
  <c r="E226" i="71"/>
  <c r="E128" i="71"/>
  <c r="E248" i="71"/>
  <c r="O248" i="71"/>
  <c r="E275" i="71"/>
  <c r="E297" i="71"/>
  <c r="E308" i="71"/>
  <c r="E314" i="71"/>
  <c r="E330" i="71"/>
  <c r="E348" i="71"/>
  <c r="E351" i="71"/>
  <c r="E378" i="71"/>
  <c r="E408" i="71"/>
  <c r="E434" i="71"/>
  <c r="H138" i="68"/>
  <c r="H25" i="68"/>
  <c r="H21" i="68"/>
  <c r="C233" i="64"/>
  <c r="E56" i="69"/>
  <c r="E175" i="69"/>
  <c r="E278" i="69"/>
  <c r="E381" i="69"/>
  <c r="E432" i="69"/>
  <c r="J141" i="68"/>
  <c r="H16" i="68"/>
  <c r="H84" i="66"/>
  <c r="H21" i="66"/>
  <c r="C198" i="61"/>
  <c r="C180" i="61"/>
  <c r="J87" i="66"/>
  <c r="H25" i="66"/>
  <c r="H16" i="66"/>
  <c r="H20" i="60"/>
  <c r="H71" i="60"/>
  <c r="H25" i="60"/>
  <c r="C219" i="64"/>
  <c r="C212" i="64"/>
  <c r="C203" i="64"/>
  <c r="C189" i="64"/>
  <c r="C183" i="64"/>
  <c r="C177" i="64"/>
  <c r="C173" i="64"/>
  <c r="C167" i="64"/>
  <c r="C160" i="64"/>
  <c r="C156" i="64"/>
  <c r="C145" i="64"/>
  <c r="C139" i="64"/>
  <c r="C131" i="64"/>
  <c r="C121" i="64"/>
  <c r="C114" i="64"/>
  <c r="C99" i="64"/>
  <c r="C83" i="64"/>
  <c r="C89" i="64"/>
  <c r="C68" i="64"/>
  <c r="C18" i="64"/>
  <c r="C171" i="61"/>
  <c r="C158" i="61"/>
  <c r="C147" i="61"/>
  <c r="C143" i="61"/>
  <c r="C139" i="61"/>
  <c r="C133" i="61"/>
  <c r="C128" i="61"/>
  <c r="C124" i="61"/>
  <c r="C120" i="61"/>
  <c r="C111" i="61"/>
  <c r="C102" i="61"/>
  <c r="C91" i="61"/>
  <c r="C44" i="61"/>
  <c r="C33" i="61"/>
  <c r="C21" i="61"/>
  <c r="E398" i="62"/>
  <c r="E326" i="62"/>
  <c r="E258" i="62"/>
  <c r="E260" i="62" s="1"/>
  <c r="E157" i="62"/>
  <c r="E45" i="62"/>
  <c r="A232" i="64"/>
  <c r="A231" i="64"/>
  <c r="A230" i="64"/>
  <c r="A229" i="64"/>
  <c r="A228" i="64"/>
  <c r="A227" i="64"/>
  <c r="A226" i="64"/>
  <c r="A225" i="64"/>
  <c r="A224" i="64"/>
  <c r="A223" i="64"/>
  <c r="A222" i="64"/>
  <c r="A221" i="64"/>
  <c r="A218" i="64"/>
  <c r="A217" i="64"/>
  <c r="A216" i="64"/>
  <c r="A215" i="64"/>
  <c r="A214" i="64"/>
  <c r="A211" i="64"/>
  <c r="A210" i="64"/>
  <c r="A209" i="64"/>
  <c r="A208" i="64"/>
  <c r="A207" i="64"/>
  <c r="A206" i="64"/>
  <c r="A205" i="64"/>
  <c r="A188" i="64"/>
  <c r="A187" i="64"/>
  <c r="A186" i="64"/>
  <c r="A185" i="64"/>
  <c r="A182" i="64"/>
  <c r="A181" i="64"/>
  <c r="A180" i="64"/>
  <c r="A179" i="64"/>
  <c r="A176" i="64"/>
  <c r="A175" i="64"/>
  <c r="A159" i="64"/>
  <c r="A158" i="64"/>
  <c r="A155" i="64"/>
  <c r="A154" i="64"/>
  <c r="A153" i="64"/>
  <c r="A152" i="64"/>
  <c r="A151" i="64"/>
  <c r="A150" i="64"/>
  <c r="A149" i="64"/>
  <c r="A148" i="64"/>
  <c r="A147" i="64"/>
  <c r="A144" i="64"/>
  <c r="A143" i="64"/>
  <c r="A142" i="64"/>
  <c r="A141" i="64"/>
  <c r="A138" i="64"/>
  <c r="A137" i="64"/>
  <c r="A136" i="64"/>
  <c r="A135" i="64"/>
  <c r="A134" i="64"/>
  <c r="A133" i="64"/>
  <c r="A130" i="64"/>
  <c r="A129" i="64"/>
  <c r="A128" i="64"/>
  <c r="A127" i="64"/>
  <c r="A126" i="64"/>
  <c r="A125" i="64"/>
  <c r="A124" i="64"/>
  <c r="A123" i="64"/>
  <c r="A120" i="64"/>
  <c r="A119" i="64"/>
  <c r="A118" i="64"/>
  <c r="A117" i="64"/>
  <c r="A116" i="64"/>
  <c r="A113" i="64"/>
  <c r="A112" i="64"/>
  <c r="A111" i="64"/>
  <c r="A110" i="64"/>
  <c r="A109" i="64"/>
  <c r="A108" i="64"/>
  <c r="A107" i="64"/>
  <c r="A106" i="64"/>
  <c r="A105" i="64"/>
  <c r="A104" i="64"/>
  <c r="A103" i="64"/>
  <c r="A102" i="64"/>
  <c r="A101" i="64"/>
  <c r="A98" i="64"/>
  <c r="A97" i="64"/>
  <c r="A96" i="64"/>
  <c r="A95" i="64"/>
  <c r="A94" i="64"/>
  <c r="A93" i="64"/>
  <c r="A92" i="64"/>
  <c r="A91" i="64"/>
  <c r="A88" i="64"/>
  <c r="A87" i="64"/>
  <c r="A86" i="64"/>
  <c r="A85" i="64"/>
  <c r="A82" i="64"/>
  <c r="A81" i="64"/>
  <c r="A80" i="64"/>
  <c r="A79" i="64"/>
  <c r="A78" i="64"/>
  <c r="A77" i="64"/>
  <c r="A76" i="64"/>
  <c r="A75" i="64"/>
  <c r="A74" i="64"/>
  <c r="A73" i="64"/>
  <c r="A72" i="64"/>
  <c r="A71" i="64"/>
  <c r="A70" i="64"/>
  <c r="A67" i="64"/>
  <c r="A66" i="64"/>
  <c r="A65" i="64"/>
  <c r="A64" i="64"/>
  <c r="A63" i="64"/>
  <c r="A62" i="64"/>
  <c r="A61" i="64"/>
  <c r="A60" i="64"/>
  <c r="A59" i="64"/>
  <c r="A58" i="64"/>
  <c r="A57" i="64"/>
  <c r="A56" i="64"/>
  <c r="A55" i="64"/>
  <c r="A54" i="64"/>
  <c r="A53" i="64"/>
  <c r="A52" i="64"/>
  <c r="A51" i="64"/>
  <c r="A50" i="64"/>
  <c r="A49" i="64"/>
  <c r="A48" i="64"/>
  <c r="A47" i="64"/>
  <c r="A46" i="64"/>
  <c r="A45" i="64"/>
  <c r="A44" i="64"/>
  <c r="A43" i="64"/>
  <c r="A42" i="64"/>
  <c r="A41" i="64"/>
  <c r="A40" i="64"/>
  <c r="A39" i="64"/>
  <c r="A38" i="64"/>
  <c r="A37" i="64"/>
  <c r="A36" i="64"/>
  <c r="A35" i="64"/>
  <c r="A34" i="64"/>
  <c r="A33" i="64"/>
  <c r="A32" i="64"/>
  <c r="A31" i="64"/>
  <c r="A30" i="64"/>
  <c r="A29" i="64"/>
  <c r="A28" i="64"/>
  <c r="A27" i="64"/>
  <c r="A26" i="64"/>
  <c r="A25" i="64"/>
  <c r="A24" i="64"/>
  <c r="A23" i="64"/>
  <c r="A22" i="64"/>
  <c r="A21" i="64"/>
  <c r="A20" i="64"/>
  <c r="A17" i="64"/>
  <c r="A16" i="64"/>
  <c r="A15" i="64"/>
  <c r="A14" i="64"/>
  <c r="A13" i="64"/>
  <c r="A12" i="64"/>
  <c r="A11" i="64"/>
  <c r="A10" i="64"/>
  <c r="A9" i="64"/>
  <c r="A8" i="64"/>
  <c r="A7" i="64"/>
  <c r="A6" i="64"/>
  <c r="A5" i="64"/>
  <c r="A4" i="64"/>
  <c r="A3" i="64"/>
  <c r="A3" i="61"/>
  <c r="A4" i="61"/>
  <c r="A5" i="61"/>
  <c r="A6" i="61"/>
  <c r="A7" i="61"/>
  <c r="A8" i="61"/>
  <c r="A9" i="61"/>
  <c r="A10" i="61"/>
  <c r="A11" i="61"/>
  <c r="A12" i="61"/>
  <c r="A13" i="61"/>
  <c r="A14" i="61"/>
  <c r="A15" i="61"/>
  <c r="A16" i="61"/>
  <c r="A17" i="61"/>
  <c r="A18" i="61"/>
  <c r="A19" i="61"/>
  <c r="A20" i="61"/>
  <c r="A23" i="61"/>
  <c r="A24" i="61"/>
  <c r="A25" i="61"/>
  <c r="A26" i="61"/>
  <c r="A27" i="61"/>
  <c r="A28" i="61"/>
  <c r="A29" i="61"/>
  <c r="A30" i="61"/>
  <c r="A31" i="61"/>
  <c r="A32" i="61"/>
  <c r="A35" i="61"/>
  <c r="A36" i="61"/>
  <c r="A37" i="61"/>
  <c r="A38" i="61"/>
  <c r="A39" i="61"/>
  <c r="A40" i="61"/>
  <c r="A41" i="61"/>
  <c r="A42" i="61"/>
  <c r="A43" i="61"/>
  <c r="A46" i="61"/>
  <c r="A47" i="61"/>
  <c r="A48" i="61"/>
  <c r="A49" i="61"/>
  <c r="A50" i="61"/>
  <c r="A51" i="61"/>
  <c r="A52" i="61"/>
  <c r="A53" i="61"/>
  <c r="A54" i="61"/>
  <c r="A55" i="61"/>
  <c r="A56" i="61"/>
  <c r="A57" i="61"/>
  <c r="A58" i="61"/>
  <c r="A59" i="61"/>
  <c r="A60" i="61"/>
  <c r="A61" i="61"/>
  <c r="A62" i="61"/>
  <c r="A63" i="61"/>
  <c r="A64" i="61"/>
  <c r="A65" i="61"/>
  <c r="A66" i="61"/>
  <c r="A67" i="61"/>
  <c r="A68" i="61"/>
  <c r="A69" i="61"/>
  <c r="A70" i="61"/>
  <c r="A71" i="61"/>
  <c r="A72" i="61"/>
  <c r="A73" i="61"/>
  <c r="A74" i="61"/>
  <c r="A75" i="61"/>
  <c r="A76" i="61"/>
  <c r="A77" i="61"/>
  <c r="A78" i="61"/>
  <c r="A79" i="61"/>
  <c r="A80" i="61"/>
  <c r="A81" i="61"/>
  <c r="A82" i="61"/>
  <c r="A83" i="61"/>
  <c r="A84" i="61"/>
  <c r="A85" i="61"/>
  <c r="A86" i="61"/>
  <c r="A87" i="61"/>
  <c r="A88" i="61"/>
  <c r="A89" i="61"/>
  <c r="A90" i="61"/>
  <c r="A93" i="61"/>
  <c r="A94" i="61"/>
  <c r="A95" i="61"/>
  <c r="A96" i="61"/>
  <c r="A97" i="61"/>
  <c r="A98" i="61"/>
  <c r="A99" i="61"/>
  <c r="A100" i="61"/>
  <c r="A101" i="61"/>
  <c r="A104" i="61"/>
  <c r="A105" i="61"/>
  <c r="A106" i="61"/>
  <c r="A107" i="61"/>
  <c r="A108" i="61"/>
  <c r="A109" i="61"/>
  <c r="A110" i="61"/>
  <c r="A113" i="61"/>
  <c r="A114" i="61"/>
  <c r="A115" i="61"/>
  <c r="A116" i="61"/>
  <c r="A117" i="61"/>
  <c r="A118" i="61"/>
  <c r="A119" i="61"/>
  <c r="A122" i="61"/>
  <c r="A123" i="61"/>
  <c r="A126" i="61"/>
  <c r="A127" i="61"/>
  <c r="A130" i="61"/>
  <c r="A131" i="61"/>
  <c r="A132" i="61"/>
  <c r="A135" i="61"/>
  <c r="A136" i="61"/>
  <c r="A137" i="61"/>
  <c r="A138" i="61"/>
  <c r="A141" i="61"/>
  <c r="A142" i="61"/>
  <c r="A145" i="61"/>
  <c r="A146" i="61"/>
  <c r="A149" i="61"/>
  <c r="A150" i="61"/>
  <c r="A151" i="61"/>
  <c r="A152" i="61"/>
  <c r="A153" i="61"/>
  <c r="A154" i="61"/>
  <c r="A155" i="61"/>
  <c r="A156" i="61"/>
  <c r="A157" i="61"/>
  <c r="A160" i="61"/>
  <c r="A161" i="61"/>
  <c r="A162" i="61"/>
  <c r="A163" i="61"/>
  <c r="A164" i="61"/>
  <c r="A165" i="61"/>
  <c r="A166" i="61"/>
  <c r="A167" i="61"/>
  <c r="A168" i="61"/>
  <c r="A169" i="61"/>
  <c r="A170" i="61"/>
  <c r="A173" i="61"/>
  <c r="A174" i="61"/>
  <c r="A175" i="61"/>
  <c r="A176" i="61"/>
  <c r="A177" i="61"/>
  <c r="A178" i="61"/>
  <c r="A179" i="61"/>
  <c r="A182" i="61"/>
  <c r="A183" i="61"/>
  <c r="A184" i="61"/>
  <c r="A185" i="61"/>
  <c r="A186" i="61"/>
  <c r="A187" i="61"/>
  <c r="A188" i="61"/>
  <c r="A189" i="61"/>
  <c r="A190" i="61"/>
  <c r="A191" i="61"/>
  <c r="A192" i="61"/>
  <c r="A193" i="61"/>
  <c r="A194" i="61"/>
  <c r="A195" i="61"/>
  <c r="A196" i="61"/>
  <c r="A197" i="61"/>
  <c r="J74" i="60"/>
  <c r="H16" i="60"/>
  <c r="C222" i="58"/>
  <c r="C212" i="58"/>
  <c r="C199" i="58"/>
  <c r="C195" i="58"/>
  <c r="C189" i="58"/>
  <c r="C181" i="58"/>
  <c r="C172" i="58"/>
  <c r="C166" i="58"/>
  <c r="C153" i="58"/>
  <c r="C160" i="58"/>
  <c r="C144" i="58"/>
  <c r="C136" i="58"/>
  <c r="C127" i="58"/>
  <c r="C120" i="58"/>
  <c r="C107" i="58"/>
  <c r="C101" i="58"/>
  <c r="C90" i="58"/>
  <c r="C76" i="58"/>
  <c r="C52" i="58"/>
  <c r="E476" i="57"/>
  <c r="E284" i="57"/>
  <c r="E286" i="57" s="1"/>
  <c r="E46" i="57"/>
  <c r="E367" i="57"/>
  <c r="E181" i="57"/>
  <c r="H223" i="83" l="1"/>
  <c r="H328" i="89"/>
  <c r="H263" i="85"/>
  <c r="H86" i="76"/>
  <c r="J90" i="76" s="1"/>
  <c r="J92" i="76" s="1"/>
  <c r="H86" i="73"/>
  <c r="J90" i="73" s="1"/>
  <c r="J92" i="73" s="1"/>
  <c r="H140" i="68"/>
  <c r="J144" i="68" s="1"/>
  <c r="J146" i="68" s="1"/>
  <c r="H86" i="66"/>
  <c r="J90" i="66" s="1"/>
  <c r="J92" i="66" s="1"/>
  <c r="H73" i="60"/>
  <c r="J77" i="60" s="1"/>
  <c r="J79" i="60" s="1"/>
  <c r="A221" i="58" l="1"/>
  <c r="A220" i="58"/>
  <c r="A219" i="58"/>
  <c r="A218" i="58"/>
  <c r="A217" i="58"/>
  <c r="A216" i="58"/>
  <c r="A215" i="58"/>
  <c r="A214" i="58"/>
  <c r="A211" i="58"/>
  <c r="A210" i="58"/>
  <c r="A209" i="58"/>
  <c r="A208" i="58"/>
  <c r="A207" i="58"/>
  <c r="A206" i="58"/>
  <c r="A205" i="58"/>
  <c r="A204" i="58"/>
  <c r="A203" i="58"/>
  <c r="A202" i="58"/>
  <c r="A201" i="58"/>
  <c r="A198" i="58"/>
  <c r="A197" i="58"/>
  <c r="A194" i="58"/>
  <c r="A193" i="58"/>
  <c r="A192" i="58"/>
  <c r="A191" i="58"/>
  <c r="A188" i="58"/>
  <c r="A187" i="58"/>
  <c r="A186" i="58"/>
  <c r="A185" i="58"/>
  <c r="A184" i="58"/>
  <c r="A183" i="58"/>
  <c r="A180" i="58"/>
  <c r="A179" i="58"/>
  <c r="A178" i="58"/>
  <c r="A177" i="58"/>
  <c r="A176" i="58"/>
  <c r="A175" i="58"/>
  <c r="A174" i="58"/>
  <c r="A171" i="58"/>
  <c r="A170" i="58"/>
  <c r="A169" i="58"/>
  <c r="A168" i="58"/>
  <c r="A165" i="58"/>
  <c r="A164" i="58"/>
  <c r="A163" i="58"/>
  <c r="A162" i="58"/>
  <c r="A159" i="58"/>
  <c r="A158" i="58"/>
  <c r="A157" i="58"/>
  <c r="A156" i="58"/>
  <c r="A155" i="58"/>
  <c r="A152" i="58"/>
  <c r="A151" i="58"/>
  <c r="A150" i="58"/>
  <c r="A149" i="58"/>
  <c r="A148" i="58"/>
  <c r="A147" i="58"/>
  <c r="A146" i="58"/>
  <c r="A143" i="58"/>
  <c r="A142" i="58"/>
  <c r="A141" i="58"/>
  <c r="A140" i="58"/>
  <c r="A139" i="58"/>
  <c r="A138" i="58"/>
  <c r="A135" i="58"/>
  <c r="A134" i="58"/>
  <c r="A133" i="58"/>
  <c r="A132" i="58"/>
  <c r="A131" i="58"/>
  <c r="A130" i="58"/>
  <c r="A129" i="58"/>
  <c r="A126" i="58"/>
  <c r="A125" i="58"/>
  <c r="A124" i="58"/>
  <c r="A123" i="58"/>
  <c r="A122" i="58"/>
  <c r="A119" i="58"/>
  <c r="A118" i="58"/>
  <c r="A117" i="58"/>
  <c r="A116" i="58"/>
  <c r="A115" i="58"/>
  <c r="A114" i="58"/>
  <c r="A113" i="58"/>
  <c r="A112" i="58"/>
  <c r="A111" i="58"/>
  <c r="A110" i="58"/>
  <c r="A109" i="58"/>
  <c r="A106" i="58"/>
  <c r="A105" i="58"/>
  <c r="A104" i="58"/>
  <c r="A103" i="58"/>
  <c r="A100" i="58"/>
  <c r="A99" i="58"/>
  <c r="A98" i="58"/>
  <c r="A97" i="58"/>
  <c r="A96" i="58"/>
  <c r="A95" i="58"/>
  <c r="A94" i="58"/>
  <c r="A93" i="58"/>
  <c r="A92" i="58"/>
  <c r="A89" i="58"/>
  <c r="A88" i="58"/>
  <c r="A87" i="58"/>
  <c r="A86" i="58"/>
  <c r="A85" i="58"/>
  <c r="A84" i="58"/>
  <c r="A83" i="58"/>
  <c r="A82" i="58"/>
  <c r="A81" i="58"/>
  <c r="A80" i="58"/>
  <c r="A78" i="58"/>
  <c r="A79" i="58"/>
  <c r="A75" i="58"/>
  <c r="A74" i="58"/>
  <c r="A73" i="58"/>
  <c r="A72" i="58"/>
  <c r="A71" i="58"/>
  <c r="A70" i="58"/>
  <c r="A69" i="58"/>
  <c r="A68" i="58"/>
  <c r="A67" i="58"/>
  <c r="A66" i="58"/>
  <c r="A65" i="58"/>
  <c r="A64" i="58"/>
  <c r="A63" i="58"/>
  <c r="A62" i="58"/>
  <c r="A61" i="58"/>
  <c r="A60" i="58"/>
  <c r="A59" i="58"/>
  <c r="A58" i="58"/>
  <c r="A57" i="58"/>
  <c r="A56" i="58"/>
  <c r="A55" i="58"/>
  <c r="A54" i="58"/>
  <c r="A51" i="58"/>
  <c r="A50" i="58"/>
  <c r="A49" i="58"/>
  <c r="A48" i="58"/>
  <c r="A47" i="58"/>
  <c r="A46" i="58"/>
  <c r="A45" i="58"/>
  <c r="A44" i="58"/>
  <c r="A43" i="58"/>
  <c r="A42" i="58"/>
  <c r="A41" i="58"/>
  <c r="A40" i="58"/>
  <c r="A39" i="58"/>
  <c r="A38" i="58"/>
  <c r="A37" i="58"/>
  <c r="A36" i="58"/>
  <c r="A35" i="58"/>
  <c r="A34" i="58"/>
  <c r="A33" i="58"/>
  <c r="A32" i="58"/>
  <c r="A31" i="58"/>
  <c r="A30" i="58"/>
  <c r="A29" i="58"/>
  <c r="A28" i="58"/>
  <c r="A27" i="58"/>
  <c r="A26" i="58"/>
  <c r="A25" i="58"/>
  <c r="A24" i="58"/>
  <c r="A23" i="58"/>
  <c r="A22" i="58"/>
  <c r="A21" i="58"/>
  <c r="A20" i="58"/>
  <c r="A19" i="58"/>
  <c r="A18" i="58"/>
  <c r="A17" i="58"/>
  <c r="A16" i="58"/>
  <c r="A15" i="58"/>
  <c r="A14" i="58"/>
  <c r="A13" i="58"/>
  <c r="A12" i="58"/>
  <c r="A11" i="58"/>
  <c r="A10" i="58"/>
  <c r="A9" i="58"/>
  <c r="A8" i="58"/>
  <c r="A7" i="58"/>
  <c r="A6" i="58"/>
  <c r="A5" i="58"/>
  <c r="A4" i="58"/>
  <c r="A3" i="58"/>
</calcChain>
</file>

<file path=xl/sharedStrings.xml><?xml version="1.0" encoding="utf-8"?>
<sst xmlns="http://schemas.openxmlformats.org/spreadsheetml/2006/main" count="36635" uniqueCount="21540">
  <si>
    <t>LINKOTEL S. A.</t>
  </si>
  <si>
    <t>CONCILIACION BANCARIA</t>
  </si>
  <si>
    <t>BANCO DEL PACIFICO CTA. CTE. # 554910-8</t>
  </si>
  <si>
    <t>$</t>
  </si>
  <si>
    <t>MENOS</t>
  </si>
  <si>
    <t>FECHA</t>
  </si>
  <si>
    <t>A LA ORDEN</t>
  </si>
  <si>
    <t># EG.</t>
  </si>
  <si>
    <t># CHEQUE</t>
  </si>
  <si>
    <t>VALOR</t>
  </si>
  <si>
    <t>DEPOSITOS NO REGISTRADOS</t>
  </si>
  <si>
    <t>NDL-43</t>
  </si>
  <si>
    <t>MAS</t>
  </si>
  <si>
    <t>NOTAS DE DEBITO</t>
  </si>
  <si>
    <t>DEPOSITOS EN TRANSITO</t>
  </si>
  <si>
    <t>PREPARADO</t>
  </si>
  <si>
    <t>APROBADO</t>
  </si>
  <si>
    <t>rptConsContMayor.rpt</t>
  </si>
  <si>
    <t>N</t>
  </si>
  <si>
    <t>Saldo Final</t>
  </si>
  <si>
    <t>Crédito</t>
  </si>
  <si>
    <t>Débito</t>
  </si>
  <si>
    <t>Saldo Inicial</t>
  </si>
  <si>
    <t>IC-1471</t>
  </si>
  <si>
    <t>IC-1470</t>
  </si>
  <si>
    <t>IC-1468</t>
  </si>
  <si>
    <t>IC-1467</t>
  </si>
  <si>
    <t>IC-1466</t>
  </si>
  <si>
    <t>IC-1465</t>
  </si>
  <si>
    <t>IC-1464</t>
  </si>
  <si>
    <t>IC-1463</t>
  </si>
  <si>
    <t>IC-1462</t>
  </si>
  <si>
    <t>IC-1461</t>
  </si>
  <si>
    <t>IC-1460</t>
  </si>
  <si>
    <t>IC-1459</t>
  </si>
  <si>
    <t>IC-1458</t>
  </si>
  <si>
    <t>IC-1457</t>
  </si>
  <si>
    <t>IC-1456</t>
  </si>
  <si>
    <t>IC-1455</t>
  </si>
  <si>
    <t>IC-1454</t>
  </si>
  <si>
    <t>IC-1453</t>
  </si>
  <si>
    <t>IC-1452</t>
  </si>
  <si>
    <t>IC-1451</t>
  </si>
  <si>
    <t>IC-1450</t>
  </si>
  <si>
    <t>IC-1449</t>
  </si>
  <si>
    <t>IC-1448</t>
  </si>
  <si>
    <t>IC-1447</t>
  </si>
  <si>
    <t>IC-1446</t>
  </si>
  <si>
    <t>IC-1445</t>
  </si>
  <si>
    <t>IC-1444</t>
  </si>
  <si>
    <t>IC-1443</t>
  </si>
  <si>
    <t>IC-1442</t>
  </si>
  <si>
    <t>IC-1441</t>
  </si>
  <si>
    <t>IC-1440</t>
  </si>
  <si>
    <t>IC-1439</t>
  </si>
  <si>
    <t>IC-1438</t>
  </si>
  <si>
    <t>IC-1434</t>
  </si>
  <si>
    <t>IC-1433</t>
  </si>
  <si>
    <t>IC-1432</t>
  </si>
  <si>
    <t>IC-1427</t>
  </si>
  <si>
    <t>IC-1426</t>
  </si>
  <si>
    <t>IC-1425</t>
  </si>
  <si>
    <t>IC-1424</t>
  </si>
  <si>
    <t>IC-1423</t>
  </si>
  <si>
    <t>IC-1422</t>
  </si>
  <si>
    <t>IC-1421</t>
  </si>
  <si>
    <t>IC-1420</t>
  </si>
  <si>
    <t>IC-1419</t>
  </si>
  <si>
    <t>IC-1417</t>
  </si>
  <si>
    <t>IC-1415</t>
  </si>
  <si>
    <t>IC-1369</t>
  </si>
  <si>
    <t>IC-1387</t>
  </si>
  <si>
    <t>IC-1386</t>
  </si>
  <si>
    <t>IC-1385</t>
  </si>
  <si>
    <t>IC-1384</t>
  </si>
  <si>
    <t>IC-1383</t>
  </si>
  <si>
    <t>IC-1382</t>
  </si>
  <si>
    <t>IC-1381</t>
  </si>
  <si>
    <t>IC-1380</t>
  </si>
  <si>
    <t>IC-1379</t>
  </si>
  <si>
    <t>IC-1378</t>
  </si>
  <si>
    <t>IC-1377</t>
  </si>
  <si>
    <t>IC-1375</t>
  </si>
  <si>
    <t>IC-1374</t>
  </si>
  <si>
    <t>IC-1373</t>
  </si>
  <si>
    <t>IC-1372</t>
  </si>
  <si>
    <t>IC-1371</t>
  </si>
  <si>
    <t>IC-1370</t>
  </si>
  <si>
    <t>IC-1368</t>
  </si>
  <si>
    <t>IC-1367</t>
  </si>
  <si>
    <t>IC-1366</t>
  </si>
  <si>
    <t>IC-1365</t>
  </si>
  <si>
    <t>IC-1364</t>
  </si>
  <si>
    <t>IC-1363</t>
  </si>
  <si>
    <t>IC-1362</t>
  </si>
  <si>
    <t>IC-1361</t>
  </si>
  <si>
    <t>IC-1360</t>
  </si>
  <si>
    <t>IC-1359</t>
  </si>
  <si>
    <t>IC-1358</t>
  </si>
  <si>
    <t>IC-1321</t>
  </si>
  <si>
    <t>IC-1300</t>
  </si>
  <si>
    <t>IC-1299</t>
  </si>
  <si>
    <t>IC-1298</t>
  </si>
  <si>
    <t>IC-1297</t>
  </si>
  <si>
    <t>IC-1296</t>
  </si>
  <si>
    <t>IC-1295</t>
  </si>
  <si>
    <t>IC-1294</t>
  </si>
  <si>
    <t>IC-1293</t>
  </si>
  <si>
    <t>IC-1292</t>
  </si>
  <si>
    <t>IC-1291</t>
  </si>
  <si>
    <t>IC-1290</t>
  </si>
  <si>
    <t>IC-1289</t>
  </si>
  <si>
    <t>IC-1288</t>
  </si>
  <si>
    <t>IC-1287</t>
  </si>
  <si>
    <t>IC-1286</t>
  </si>
  <si>
    <t>IC-1285</t>
  </si>
  <si>
    <t>IC-1284</t>
  </si>
  <si>
    <t>IC-1283</t>
  </si>
  <si>
    <t>IC-1282</t>
  </si>
  <si>
    <t>IC-1281</t>
  </si>
  <si>
    <t>IC-1264</t>
  </si>
  <si>
    <t>IC-1259</t>
  </si>
  <si>
    <t>IC-1258</t>
  </si>
  <si>
    <t>IC-1257</t>
  </si>
  <si>
    <t>IC-1256</t>
  </si>
  <si>
    <t>IC-1255</t>
  </si>
  <si>
    <t>IC-1254</t>
  </si>
  <si>
    <t>IC-1253</t>
  </si>
  <si>
    <t>IC-1252</t>
  </si>
  <si>
    <t>IC-1251</t>
  </si>
  <si>
    <t>IC-1250</t>
  </si>
  <si>
    <t>IC-1249</t>
  </si>
  <si>
    <t>IC-1248</t>
  </si>
  <si>
    <t>IC-1247</t>
  </si>
  <si>
    <t>IC-1246</t>
  </si>
  <si>
    <t>IC-1245</t>
  </si>
  <si>
    <t>IC-1244</t>
  </si>
  <si>
    <t>IC-1243</t>
  </si>
  <si>
    <t>IC-1242</t>
  </si>
  <si>
    <t>IC-1241</t>
  </si>
  <si>
    <t>IC-1189</t>
  </si>
  <si>
    <t>IC-1239</t>
  </si>
  <si>
    <t>IC-1238</t>
  </si>
  <si>
    <t>IC-1237</t>
  </si>
  <si>
    <t>IC-1236</t>
  </si>
  <si>
    <t>IC-1235</t>
  </si>
  <si>
    <t>IC-1234</t>
  </si>
  <si>
    <t>IC-1233</t>
  </si>
  <si>
    <t>IC-1221</t>
  </si>
  <si>
    <t>IC-1220</t>
  </si>
  <si>
    <t>IC-1219</t>
  </si>
  <si>
    <t>IC-1218</t>
  </si>
  <si>
    <t>IC-1217</t>
  </si>
  <si>
    <t>IC-1216</t>
  </si>
  <si>
    <t>IC-1215</t>
  </si>
  <si>
    <t>IC-1214</t>
  </si>
  <si>
    <t>IC-1213</t>
  </si>
  <si>
    <t>IC-1212</t>
  </si>
  <si>
    <t>IC-1211</t>
  </si>
  <si>
    <t>IC-1153</t>
  </si>
  <si>
    <t>IC-1152</t>
  </si>
  <si>
    <t>IC-1151</t>
  </si>
  <si>
    <t>IC-1141</t>
  </si>
  <si>
    <t>IC-1137</t>
  </si>
  <si>
    <t>IC-1123</t>
  </si>
  <si>
    <t>IC-1103</t>
  </si>
  <si>
    <t>IC-1109</t>
  </si>
  <si>
    <t>IC-1108</t>
  </si>
  <si>
    <t>IC-1107</t>
  </si>
  <si>
    <t>IC-1102</t>
  </si>
  <si>
    <t>IC-1101</t>
  </si>
  <si>
    <t>IC-1100</t>
  </si>
  <si>
    <t>IC-1099</t>
  </si>
  <si>
    <t>IC-1098</t>
  </si>
  <si>
    <t>IC-1097</t>
  </si>
  <si>
    <t>IC-1096</t>
  </si>
  <si>
    <t>IC-1095</t>
  </si>
  <si>
    <t>IC-1140</t>
  </si>
  <si>
    <t>IC-1139</t>
  </si>
  <si>
    <t>IC-1138</t>
  </si>
  <si>
    <t>IC-1131</t>
  </si>
  <si>
    <t>IC-1130</t>
  </si>
  <si>
    <t>IC-1129</t>
  </si>
  <si>
    <t>IC-1128</t>
  </si>
  <si>
    <t>IC-1127</t>
  </si>
  <si>
    <t>IC-1126</t>
  </si>
  <si>
    <t>IC-1094</t>
  </si>
  <si>
    <t>IC-1093</t>
  </si>
  <si>
    <t>IC-1092</t>
  </si>
  <si>
    <t>IC-1091</t>
  </si>
  <si>
    <t>IC-1090</t>
  </si>
  <si>
    <t>IC-1089</t>
  </si>
  <si>
    <t>IC-1088</t>
  </si>
  <si>
    <t>IC-1087</t>
  </si>
  <si>
    <t>IC-1086</t>
  </si>
  <si>
    <t>IC-1085</t>
  </si>
  <si>
    <t>IC-1084</t>
  </si>
  <si>
    <t>IC-1083</t>
  </si>
  <si>
    <t>IC-1082</t>
  </si>
  <si>
    <t>IC-1077</t>
  </si>
  <si>
    <t>IC-1057</t>
  </si>
  <si>
    <t>IC-1056</t>
  </si>
  <si>
    <t>IC-1053</t>
  </si>
  <si>
    <t>IC-1052</t>
  </si>
  <si>
    <t>IC-1031</t>
  </si>
  <si>
    <t>IC-1028</t>
  </si>
  <si>
    <t>IC-1027</t>
  </si>
  <si>
    <t>IC-996</t>
  </si>
  <si>
    <t>IC-994</t>
  </si>
  <si>
    <t>IC-993</t>
  </si>
  <si>
    <t>IC-992</t>
  </si>
  <si>
    <t>IC-991</t>
  </si>
  <si>
    <t>IC-990</t>
  </si>
  <si>
    <t>NDL-4</t>
  </si>
  <si>
    <t>NDL-3</t>
  </si>
  <si>
    <t>NDL-2</t>
  </si>
  <si>
    <t>IC-997</t>
  </si>
  <si>
    <t>IC-995</t>
  </si>
  <si>
    <t>IC-989</t>
  </si>
  <si>
    <t>IC-988</t>
  </si>
  <si>
    <t>IC-987</t>
  </si>
  <si>
    <t>IC-986</t>
  </si>
  <si>
    <t>IC-985</t>
  </si>
  <si>
    <t>IC-980</t>
  </si>
  <si>
    <t>IC-979</t>
  </si>
  <si>
    <t>IC-978</t>
  </si>
  <si>
    <t>IC-977</t>
  </si>
  <si>
    <t>IC-976</t>
  </si>
  <si>
    <t>IC-967</t>
  </si>
  <si>
    <t>IC-958</t>
  </si>
  <si>
    <t>IC-915</t>
  </si>
  <si>
    <t>IC-914</t>
  </si>
  <si>
    <t>IC-913</t>
  </si>
  <si>
    <t>IC-943</t>
  </si>
  <si>
    <t>IC-942</t>
  </si>
  <si>
    <t>IC-940</t>
  </si>
  <si>
    <t>IC-939</t>
  </si>
  <si>
    <t>IC-938</t>
  </si>
  <si>
    <t>IC-937</t>
  </si>
  <si>
    <t>IC-936</t>
  </si>
  <si>
    <t>IC-935</t>
  </si>
  <si>
    <t>IC-934</t>
  </si>
  <si>
    <t>IC-933</t>
  </si>
  <si>
    <t>IC-932</t>
  </si>
  <si>
    <t>IC-931</t>
  </si>
  <si>
    <t>IC-930</t>
  </si>
  <si>
    <t>IC-929</t>
  </si>
  <si>
    <t>IC-928</t>
  </si>
  <si>
    <t>IC-927</t>
  </si>
  <si>
    <t>IC-926</t>
  </si>
  <si>
    <t>IC-925</t>
  </si>
  <si>
    <t>IC-924</t>
  </si>
  <si>
    <t>IC-923</t>
  </si>
  <si>
    <t>IC-922</t>
  </si>
  <si>
    <t>IC-905</t>
  </si>
  <si>
    <t>IC-904</t>
  </si>
  <si>
    <t>IC-903</t>
  </si>
  <si>
    <t>IC-902</t>
  </si>
  <si>
    <t>IC-901</t>
  </si>
  <si>
    <t>IC-900</t>
  </si>
  <si>
    <t>IC-898</t>
  </si>
  <si>
    <t>IC-895</t>
  </si>
  <si>
    <t>IC-894</t>
  </si>
  <si>
    <t>IC-893</t>
  </si>
  <si>
    <t>IC-892</t>
  </si>
  <si>
    <t>IC-869</t>
  </si>
  <si>
    <t>IC-868</t>
  </si>
  <si>
    <t>IC-867</t>
  </si>
  <si>
    <t>IC-866</t>
  </si>
  <si>
    <t>IC-865</t>
  </si>
  <si>
    <t>IC-864</t>
  </si>
  <si>
    <t>IC-863</t>
  </si>
  <si>
    <t>IC-862</t>
  </si>
  <si>
    <t>IC-861</t>
  </si>
  <si>
    <t>IC-860</t>
  </si>
  <si>
    <t>IC-859</t>
  </si>
  <si>
    <t>IC-858</t>
  </si>
  <si>
    <t>IC-857</t>
  </si>
  <si>
    <t>IC-856</t>
  </si>
  <si>
    <t>IC-855</t>
  </si>
  <si>
    <t>IC-854</t>
  </si>
  <si>
    <t>IC-853</t>
  </si>
  <si>
    <t>IC-852</t>
  </si>
  <si>
    <t>IC-851</t>
  </si>
  <si>
    <t>IC-850</t>
  </si>
  <si>
    <t>IC-849</t>
  </si>
  <si>
    <t>IC-848</t>
  </si>
  <si>
    <t>IC-808</t>
  </si>
  <si>
    <t>IC-804</t>
  </si>
  <si>
    <t>IC-803</t>
  </si>
  <si>
    <t>IC-802</t>
  </si>
  <si>
    <t>IC-765</t>
  </si>
  <si>
    <t>IC-764</t>
  </si>
  <si>
    <t>IC-763</t>
  </si>
  <si>
    <t>IC-762</t>
  </si>
  <si>
    <t>IC-761</t>
  </si>
  <si>
    <t>IC-760</t>
  </si>
  <si>
    <t>IC-759</t>
  </si>
  <si>
    <t>IC-758</t>
  </si>
  <si>
    <t>IC-757</t>
  </si>
  <si>
    <t>ND-1</t>
  </si>
  <si>
    <t>IC-782</t>
  </si>
  <si>
    <t>IC-781</t>
  </si>
  <si>
    <t>IC-780</t>
  </si>
  <si>
    <t>IC-779</t>
  </si>
  <si>
    <t>IC-774</t>
  </si>
  <si>
    <t>IC-773</t>
  </si>
  <si>
    <t>IC-772</t>
  </si>
  <si>
    <t>IC-771</t>
  </si>
  <si>
    <t>IC-770</t>
  </si>
  <si>
    <t>IC-769</t>
  </si>
  <si>
    <t>IC-768</t>
  </si>
  <si>
    <t>IC-756</t>
  </si>
  <si>
    <t>IC-755</t>
  </si>
  <si>
    <t>IC-754</t>
  </si>
  <si>
    <t>IC-753</t>
  </si>
  <si>
    <t>IC-752</t>
  </si>
  <si>
    <t>IC-751</t>
  </si>
  <si>
    <t>IC-750</t>
  </si>
  <si>
    <t>IC-749</t>
  </si>
  <si>
    <t>IC-748</t>
  </si>
  <si>
    <t>IC-746</t>
  </si>
  <si>
    <t>IC-741</t>
  </si>
  <si>
    <t>IC-737</t>
  </si>
  <si>
    <t>IC-736</t>
  </si>
  <si>
    <t>IC-735</t>
  </si>
  <si>
    <t>IC-734</t>
  </si>
  <si>
    <t>IC-733</t>
  </si>
  <si>
    <t>IC-732</t>
  </si>
  <si>
    <t>IC-715</t>
  </si>
  <si>
    <t>IC-708</t>
  </si>
  <si>
    <t>IC-660</t>
  </si>
  <si>
    <t>IC-657</t>
  </si>
  <si>
    <t>IC-656</t>
  </si>
  <si>
    <t>IC-655</t>
  </si>
  <si>
    <t>IC-593</t>
  </si>
  <si>
    <t>IC-592</t>
  </si>
  <si>
    <t>IC-591</t>
  </si>
  <si>
    <t>IC-590</t>
  </si>
  <si>
    <t>IC-589</t>
  </si>
  <si>
    <t>IC-588</t>
  </si>
  <si>
    <t>IC-587</t>
  </si>
  <si>
    <t>IC-551</t>
  </si>
  <si>
    <t>IC-549</t>
  </si>
  <si>
    <t>IC-548</t>
  </si>
  <si>
    <t>IC-518</t>
  </si>
  <si>
    <t>IC-517</t>
  </si>
  <si>
    <t>IC-520</t>
  </si>
  <si>
    <t>IC-519</t>
  </si>
  <si>
    <t>IC-515</t>
  </si>
  <si>
    <t>IC-514</t>
  </si>
  <si>
    <t>IC-512</t>
  </si>
  <si>
    <t>IC-511</t>
  </si>
  <si>
    <t>IC-507</t>
  </si>
  <si>
    <t>IC-504</t>
  </si>
  <si>
    <t>IC-503</t>
  </si>
  <si>
    <t>IC-502</t>
  </si>
  <si>
    <t>IC-501</t>
  </si>
  <si>
    <t>IC-500</t>
  </si>
  <si>
    <t>IC-499</t>
  </si>
  <si>
    <t>IC-497</t>
  </si>
  <si>
    <t>IC-496</t>
  </si>
  <si>
    <t>IC-495</t>
  </si>
  <si>
    <t>IC-494</t>
  </si>
  <si>
    <t>IC-493</t>
  </si>
  <si>
    <t>IC-492</t>
  </si>
  <si>
    <t>IC-491</t>
  </si>
  <si>
    <t>IC-490</t>
  </si>
  <si>
    <t>IC-489</t>
  </si>
  <si>
    <t>IC-488</t>
  </si>
  <si>
    <t>IC-487</t>
  </si>
  <si>
    <t>IC-486</t>
  </si>
  <si>
    <t>IC-481</t>
  </si>
  <si>
    <t>IC-480</t>
  </si>
  <si>
    <t>IC-400</t>
  </si>
  <si>
    <t>IC-399</t>
  </si>
  <si>
    <t>IC-452</t>
  </si>
  <si>
    <t>IC-450</t>
  </si>
  <si>
    <t>IC-449</t>
  </si>
  <si>
    <t>IC-448</t>
  </si>
  <si>
    <t>IC-447</t>
  </si>
  <si>
    <t>IC-446</t>
  </si>
  <si>
    <t>IC-443</t>
  </si>
  <si>
    <t>IC-420</t>
  </si>
  <si>
    <t>IC-419</t>
  </si>
  <si>
    <t>IC-418</t>
  </si>
  <si>
    <t>IC-417</t>
  </si>
  <si>
    <t>IC-416</t>
  </si>
  <si>
    <t>IC-415</t>
  </si>
  <si>
    <t>IC-413</t>
  </si>
  <si>
    <t>IC-412</t>
  </si>
  <si>
    <t>IC-411</t>
  </si>
  <si>
    <t>IC-410</t>
  </si>
  <si>
    <t>IC-409</t>
  </si>
  <si>
    <t>IC-408</t>
  </si>
  <si>
    <t>IC-407</t>
  </si>
  <si>
    <t>IC-406</t>
  </si>
  <si>
    <t>IC-405</t>
  </si>
  <si>
    <t>IC-404</t>
  </si>
  <si>
    <t>IC-403</t>
  </si>
  <si>
    <t>IC-402</t>
  </si>
  <si>
    <t>IC-401</t>
  </si>
  <si>
    <t>IC-398</t>
  </si>
  <si>
    <t>IC-397</t>
  </si>
  <si>
    <t>IC-396</t>
  </si>
  <si>
    <t>IC-395</t>
  </si>
  <si>
    <t>IC-394</t>
  </si>
  <si>
    <t>IC-393</t>
  </si>
  <si>
    <t>IC-392</t>
  </si>
  <si>
    <t>IC-388</t>
  </si>
  <si>
    <t>IC-387</t>
  </si>
  <si>
    <t>IC-386</t>
  </si>
  <si>
    <t>IC-385</t>
  </si>
  <si>
    <t>IC-384</t>
  </si>
  <si>
    <t>IC-226</t>
  </si>
  <si>
    <t>IC-220</t>
  </si>
  <si>
    <t>IC-210</t>
  </si>
  <si>
    <t>IC-202</t>
  </si>
  <si>
    <t>IC-209</t>
  </si>
  <si>
    <t>IC-208</t>
  </si>
  <si>
    <t>IC-207</t>
  </si>
  <si>
    <t>IC-206</t>
  </si>
  <si>
    <t>IC-205</t>
  </si>
  <si>
    <t>IC-204</t>
  </si>
  <si>
    <t>IC-203</t>
  </si>
  <si>
    <t>IC-201</t>
  </si>
  <si>
    <t>IC-200</t>
  </si>
  <si>
    <t>IC-199</t>
  </si>
  <si>
    <t>IC-198</t>
  </si>
  <si>
    <t>IC-197</t>
  </si>
  <si>
    <t>IC-196</t>
  </si>
  <si>
    <t>IC-195</t>
  </si>
  <si>
    <t>IC-194</t>
  </si>
  <si>
    <t>IC-193</t>
  </si>
  <si>
    <t>IC-192</t>
  </si>
  <si>
    <t>IC-191</t>
  </si>
  <si>
    <t>IC-190</t>
  </si>
  <si>
    <t>IC-189</t>
  </si>
  <si>
    <t>IC-188</t>
  </si>
  <si>
    <t>IC-187</t>
  </si>
  <si>
    <t>IC-186</t>
  </si>
  <si>
    <t>IC-185</t>
  </si>
  <si>
    <t>IC-184</t>
  </si>
  <si>
    <t>IC-183</t>
  </si>
  <si>
    <t>IC-182</t>
  </si>
  <si>
    <t>IC-181</t>
  </si>
  <si>
    <t>IC-219</t>
  </si>
  <si>
    <t>IC-218</t>
  </si>
  <si>
    <t>IC-217</t>
  </si>
  <si>
    <t>IC-216</t>
  </si>
  <si>
    <t>IC-215</t>
  </si>
  <si>
    <t>IC-214</t>
  </si>
  <si>
    <t>IC-213</t>
  </si>
  <si>
    <t>IC-212</t>
  </si>
  <si>
    <t>IC-211</t>
  </si>
  <si>
    <t>IC-180</t>
  </si>
  <si>
    <t>IC-179</t>
  </si>
  <si>
    <t>IC-178</t>
  </si>
  <si>
    <t>IC-177</t>
  </si>
  <si>
    <t>IC-176</t>
  </si>
  <si>
    <t>IC-170</t>
  </si>
  <si>
    <t>IC-167</t>
  </si>
  <si>
    <t>IC-166</t>
  </si>
  <si>
    <t>IC-146</t>
  </si>
  <si>
    <t>IC-145</t>
  </si>
  <si>
    <t>IC-144</t>
  </si>
  <si>
    <t>IC-133</t>
  </si>
  <si>
    <t>IC-128</t>
  </si>
  <si>
    <t>IC-105</t>
  </si>
  <si>
    <t>IC-104</t>
  </si>
  <si>
    <t>IC-101</t>
  </si>
  <si>
    <t>IC-100</t>
  </si>
  <si>
    <t>IC-99</t>
  </si>
  <si>
    <t>IC-94</t>
  </si>
  <si>
    <t>IC-91</t>
  </si>
  <si>
    <t>IC-90</t>
  </si>
  <si>
    <t>IC-24</t>
  </si>
  <si>
    <t>IC-98</t>
  </si>
  <si>
    <t>IC-97</t>
  </si>
  <si>
    <t>IC-96</t>
  </si>
  <si>
    <t>IC-88</t>
  </si>
  <si>
    <t>IC-87</t>
  </si>
  <si>
    <t>IC-86</t>
  </si>
  <si>
    <t>IC-85</t>
  </si>
  <si>
    <t>IC-84</t>
  </si>
  <si>
    <t>IC-83</t>
  </si>
  <si>
    <t>IC-78</t>
  </si>
  <si>
    <t>IC-77</t>
  </si>
  <si>
    <t>IC-76</t>
  </si>
  <si>
    <t>IC-75</t>
  </si>
  <si>
    <t>IC-74</t>
  </si>
  <si>
    <t>IC-73</t>
  </si>
  <si>
    <t>IC-72</t>
  </si>
  <si>
    <t>IC-71</t>
  </si>
  <si>
    <t>IC-70</t>
  </si>
  <si>
    <t>IC-69</t>
  </si>
  <si>
    <t>IC-68</t>
  </si>
  <si>
    <t>IC-67</t>
  </si>
  <si>
    <t>IC-66</t>
  </si>
  <si>
    <t>IC-55</t>
  </si>
  <si>
    <t>IC-54</t>
  </si>
  <si>
    <t>IC-53</t>
  </si>
  <si>
    <t>IC-52</t>
  </si>
  <si>
    <t>IC-51</t>
  </si>
  <si>
    <t>IC-50</t>
  </si>
  <si>
    <t>IC-49</t>
  </si>
  <si>
    <t>IC-48</t>
  </si>
  <si>
    <t>IC-47</t>
  </si>
  <si>
    <t>IC-29</t>
  </si>
  <si>
    <t>IC-28</t>
  </si>
  <si>
    <t>IC-25</t>
  </si>
  <si>
    <t>IC-23</t>
  </si>
  <si>
    <t>IC-10</t>
  </si>
  <si>
    <t>IC-9</t>
  </si>
  <si>
    <t>IC-5</t>
  </si>
  <si>
    <t>IC-4</t>
  </si>
  <si>
    <t>IC-3</t>
  </si>
  <si>
    <t>IC-2</t>
  </si>
  <si>
    <t>IC-1</t>
  </si>
  <si>
    <t>IC-8</t>
  </si>
  <si>
    <t>IC-7</t>
  </si>
  <si>
    <t>IC-6</t>
  </si>
  <si>
    <t>BL   B3003   BANCO DEL PACÍFICO CTA. CTE. # 0554910-8</t>
  </si>
  <si>
    <t>Auxiliar</t>
  </si>
  <si>
    <t>110201   BANCOS LOCALES</t>
  </si>
  <si>
    <t>Cuenta</t>
  </si>
  <si>
    <t>Saldo</t>
  </si>
  <si>
    <t>Detalle Movimiento</t>
  </si>
  <si>
    <t>F. Contab.</t>
  </si>
  <si>
    <t>Compr</t>
  </si>
  <si>
    <t>CC-Fase</t>
  </si>
  <si>
    <t>01 GUAYAQUIL</t>
  </si>
  <si>
    <t>Sucursal:</t>
  </si>
  <si>
    <t>División:</t>
  </si>
  <si>
    <t>03 LINKOTEL</t>
  </si>
  <si>
    <t>Compañía:</t>
  </si>
  <si>
    <t>Usuario:</t>
  </si>
  <si>
    <t>Hasta:</t>
  </si>
  <si>
    <t>Desde:</t>
  </si>
  <si>
    <t>Fecha:</t>
  </si>
  <si>
    <t>Página:</t>
  </si>
  <si>
    <t>LIBRO MAYOR - CUENTA</t>
  </si>
  <si>
    <t>TELEFONO</t>
  </si>
  <si>
    <t>CLIENTE</t>
  </si>
  <si>
    <t>DOCUMENTO</t>
  </si>
  <si>
    <t>IC</t>
  </si>
  <si>
    <t xml:space="preserve">SALAZAR JAIME CECILIA NARCISA           </t>
  </si>
  <si>
    <t xml:space="preserve">MIRIAM ANTONIETA MARIDUENA VAL          </t>
  </si>
  <si>
    <t xml:space="preserve">CAROLINA ALICIA EGAS NUNEZ              </t>
  </si>
  <si>
    <t xml:space="preserve">HUGO RENE LUNA                          </t>
  </si>
  <si>
    <t xml:space="preserve">SANCHEZ MEDINA FELIX                    </t>
  </si>
  <si>
    <t xml:space="preserve">ALVARO CORNEJO RODRIGUEZ                </t>
  </si>
  <si>
    <t xml:space="preserve">TANIA PAOLA ILLESCAS PIBAQUE            </t>
  </si>
  <si>
    <t xml:space="preserve">SIMON EMILIO BRIONES LOOR               </t>
  </si>
  <si>
    <t xml:space="preserve">ALVARADO PIN EMILIO PABLO               </t>
  </si>
  <si>
    <t xml:space="preserve">TANNIA ELIZABETH  CARRERA CALD          </t>
  </si>
  <si>
    <t xml:space="preserve">SALAS PLUAS PAULO ROBERTO               </t>
  </si>
  <si>
    <t xml:space="preserve">WILMER JONAS MEJIA LEON                 </t>
  </si>
  <si>
    <t xml:space="preserve">GONZALEZ SANCHEZ CESAR IVAN             </t>
  </si>
  <si>
    <t xml:space="preserve">LARA CHERE FREDY GONZALO                </t>
  </si>
  <si>
    <t xml:space="preserve">CARLOS BENJAMIN ROSALES PINO            </t>
  </si>
  <si>
    <t xml:space="preserve">ESPANA BAJANA STEFANIA ELIZABE          </t>
  </si>
  <si>
    <t xml:space="preserve">FERNANDO XAVIER DROUET CEDENO           </t>
  </si>
  <si>
    <t xml:space="preserve">ANA LUCRECIA  CABRERA GARCIA            </t>
  </si>
  <si>
    <t xml:space="preserve">CARLOS ADALBERTO SALAVARRIA PA          </t>
  </si>
  <si>
    <t xml:space="preserve">FAUSTO EDUARDO  CARBO RIVERA            </t>
  </si>
  <si>
    <t xml:space="preserve">PERALTA BENITEZ ROBERTO ELIAS           </t>
  </si>
  <si>
    <t xml:space="preserve">JAIRO ALBERTO GOMEZ COELLO              </t>
  </si>
  <si>
    <t xml:space="preserve">SUSANA HERMELINDA ANALUISA HAR          </t>
  </si>
  <si>
    <t xml:space="preserve">LUIS EDUARDO SANCHEZ TIMM               </t>
  </si>
  <si>
    <t xml:space="preserve">GILBERT SILVA CECILIA MARIA             </t>
  </si>
  <si>
    <t xml:space="preserve">PAULA JESUS SALAZAR MACIAS              </t>
  </si>
  <si>
    <t xml:space="preserve">MONICA CRIOLLO SALAZAR                  </t>
  </si>
  <si>
    <t xml:space="preserve">GISELLA MARIA YUNES ANDRADE             </t>
  </si>
  <si>
    <t xml:space="preserve">KETTY ARACELY GAROFALO LEON             </t>
  </si>
  <si>
    <t xml:space="preserve">ISABEL ROSARIO QUINDE SORIANO           </t>
  </si>
  <si>
    <t xml:space="preserve">LUIS CESAR GAMARRA GONZALES             </t>
  </si>
  <si>
    <t xml:space="preserve">JUAN XAVIER BENEDETI RIPALDA            </t>
  </si>
  <si>
    <t xml:space="preserve">GUILLERMO ELOY SERRANO GOMEZ            </t>
  </si>
  <si>
    <t xml:space="preserve">UVIDIA SALTOS  CARLOS BOLIVAR           </t>
  </si>
  <si>
    <t xml:space="preserve">GISELLE MARIELA CLEMENTE VERA           </t>
  </si>
  <si>
    <t xml:space="preserve">CANDO REYES JOSE MAURICIO               </t>
  </si>
  <si>
    <t xml:space="preserve">ANTONIO IGNACIO ARTEAGA FERAUD          </t>
  </si>
  <si>
    <t xml:space="preserve">CASTILLO PALMA DANIEL ALFREDO           </t>
  </si>
  <si>
    <t xml:space="preserve">ZULVY BEDON LAGOS                       </t>
  </si>
  <si>
    <t xml:space="preserve">FRANKLIN JOAQUIN  DOMINGUEZ VA          </t>
  </si>
  <si>
    <t xml:space="preserve">LUIS CARLOS ABAD YCAZA                  </t>
  </si>
  <si>
    <t xml:space="preserve">JUAN JOSE CHACON PACHECO                </t>
  </si>
  <si>
    <t xml:space="preserve">EVA MARIA VINUEZA OCANA                 </t>
  </si>
  <si>
    <t xml:space="preserve">CARLOS ALBERTO RENDON PALMA             </t>
  </si>
  <si>
    <t xml:space="preserve">MARIA ROSA DUNN YCAZA                   </t>
  </si>
  <si>
    <t xml:space="preserve">TERESA DE LA CRUZ TOSCANO BRIT          </t>
  </si>
  <si>
    <t xml:space="preserve">RICARDO PABLO FALCONI DUENAS            </t>
  </si>
  <si>
    <t xml:space="preserve">MANRIQUEZ SALAZAR MARIA PAZ             </t>
  </si>
  <si>
    <t xml:space="preserve">ROBERTO MUZZIO NARANJO                  </t>
  </si>
  <si>
    <t xml:space="preserve">JENNY CEDENO CAAMANO                    </t>
  </si>
  <si>
    <t xml:space="preserve">INDUVERIKA SA                           </t>
  </si>
  <si>
    <t xml:space="preserve">DUPROCSA SA                             </t>
  </si>
  <si>
    <t xml:space="preserve">BELLUSCIO SA                            </t>
  </si>
  <si>
    <t xml:space="preserve">EFFICACITAS CONSULTORA CIALTD           </t>
  </si>
  <si>
    <t xml:space="preserve">ASOC DE PROPIETARIOS URB TER            </t>
  </si>
  <si>
    <t xml:space="preserve">AUTOMEKANO CIA LTDA                     </t>
  </si>
  <si>
    <t xml:space="preserve">MARIA DOLORES COBOS MARMOLEJO           </t>
  </si>
  <si>
    <t xml:space="preserve">QUINTO BAZAN JOHNN HENRY                </t>
  </si>
  <si>
    <t xml:space="preserve">SILVA ARMAS MARIA TERESA                </t>
  </si>
  <si>
    <t xml:space="preserve">ASOC PRO NEW YORK 12 DE SEPT            </t>
  </si>
  <si>
    <t xml:space="preserve">MERA ESPINOZA LEONEL ANTONIO            </t>
  </si>
  <si>
    <t xml:space="preserve">COBREXLEG SA                            </t>
  </si>
  <si>
    <t xml:space="preserve">CHRISTIAN JAVIER MIDEROS ROMER          </t>
  </si>
  <si>
    <t xml:space="preserve">ROCA AGUILERA FRANCISCO                 </t>
  </si>
  <si>
    <t xml:space="preserve">ASOC DE PROPIETARIOS URB VIA            </t>
  </si>
  <si>
    <t xml:space="preserve">ASISTMED ASISTENCIA A MEDICOS           </t>
  </si>
  <si>
    <t xml:space="preserve">RAMIREZ TAMAYO ENMA MERCEDES            </t>
  </si>
  <si>
    <t xml:space="preserve">SERVICIO  MANTENIMIENTO INDUS           </t>
  </si>
  <si>
    <t xml:space="preserve">JORGE ARTURO ZANABRIA VILLAMAR          </t>
  </si>
  <si>
    <t xml:space="preserve">XAVIER ALFREDO ZANABRIA VILLAM          </t>
  </si>
  <si>
    <t xml:space="preserve">LOPEZ PALACIOS DANNY CHRISTIAN          </t>
  </si>
  <si>
    <t xml:space="preserve">MANUEL ISAIAS TAPIA LOPEZ               </t>
  </si>
  <si>
    <t xml:space="preserve">NARANJO BENITES LUIS ALBERTO            </t>
  </si>
  <si>
    <t xml:space="preserve">ELIANA JOANELY BARCHI GUTIERRE          </t>
  </si>
  <si>
    <t xml:space="preserve">ELECTROMOOM SA                          </t>
  </si>
  <si>
    <t xml:space="preserve">GUATEMAL COLIMBA JUAN BAUTISTA          </t>
  </si>
  <si>
    <t xml:space="preserve">DORCIEN SA                              </t>
  </si>
  <si>
    <t xml:space="preserve">FATIMA LEONOR AGUILAR MURILLO           </t>
  </si>
  <si>
    <t xml:space="preserve">BENILDA JESUS ACOSTA ZAMBRANO           </t>
  </si>
  <si>
    <t xml:space="preserve">JAVIER ALEJANDRO PAREDES SALTO          </t>
  </si>
  <si>
    <t xml:space="preserve">GLORIA ISABEL MITE LEON                 </t>
  </si>
  <si>
    <t xml:space="preserve">LAURO DAVID TORRES CARRILLO             </t>
  </si>
  <si>
    <t xml:space="preserve">LABORATORIO BIOTANICALS DEL EC          </t>
  </si>
  <si>
    <t xml:space="preserve">LOZANO OTERO RICARDO REIMONDI           </t>
  </si>
  <si>
    <t xml:space="preserve">VICTOR ANTONIO AGUSTO ALVARADO          </t>
  </si>
  <si>
    <t xml:space="preserve">GUILLERMO IGNACIO JORGE BAQUER          </t>
  </si>
  <si>
    <t xml:space="preserve">CASTANEDA RENDON JOFFRE AUGUST          </t>
  </si>
  <si>
    <t xml:space="preserve">LOURDES JANET BRITO GUILLEN             </t>
  </si>
  <si>
    <t xml:space="preserve">VILLON SORIANO DIOSELINA SOLED          </t>
  </si>
  <si>
    <t xml:space="preserve">JORGE RODRIGUEZ Y DUQUE                 </t>
  </si>
  <si>
    <t xml:space="preserve">EDGAR MARCELO MERA VASQUEZ              </t>
  </si>
  <si>
    <t xml:space="preserve">HERRERA DIAZ HIALINA AMALIA DE          </t>
  </si>
  <si>
    <t xml:space="preserve">LOURDES DEL ROCIO CHAVEZ VELEZ          </t>
  </si>
  <si>
    <t xml:space="preserve">DELIA JUDITH LEON LOPEZ                 </t>
  </si>
  <si>
    <t>Activo</t>
  </si>
  <si>
    <t>0702684754</t>
  </si>
  <si>
    <t>3930339</t>
  </si>
  <si>
    <t>0910453455</t>
  </si>
  <si>
    <t>3900449</t>
  </si>
  <si>
    <t>1706685409</t>
  </si>
  <si>
    <t>23923107</t>
  </si>
  <si>
    <t>0915335590</t>
  </si>
  <si>
    <t>3900174</t>
  </si>
  <si>
    <t>0905142774</t>
  </si>
  <si>
    <t>3901088</t>
  </si>
  <si>
    <t>0992699280001</t>
  </si>
  <si>
    <t>3903328</t>
  </si>
  <si>
    <t>0923987069</t>
  </si>
  <si>
    <t>3907876</t>
  </si>
  <si>
    <t>0904032539</t>
  </si>
  <si>
    <t>3900543</t>
  </si>
  <si>
    <t>0959977976</t>
  </si>
  <si>
    <t>3930343</t>
  </si>
  <si>
    <t>0915309694</t>
  </si>
  <si>
    <t>3903627</t>
  </si>
  <si>
    <t>1304098906</t>
  </si>
  <si>
    <t>3906036</t>
  </si>
  <si>
    <t>0801745803</t>
  </si>
  <si>
    <t>3907890</t>
  </si>
  <si>
    <t>0910536374</t>
  </si>
  <si>
    <t>3908796</t>
  </si>
  <si>
    <t>0908965338</t>
  </si>
  <si>
    <t>3900944</t>
  </si>
  <si>
    <t>0909368169</t>
  </si>
  <si>
    <t>3900210</t>
  </si>
  <si>
    <t>0501004311</t>
  </si>
  <si>
    <t>23923184</t>
  </si>
  <si>
    <t>0801956582</t>
  </si>
  <si>
    <t>0924152051</t>
  </si>
  <si>
    <t>3900492</t>
  </si>
  <si>
    <t>0916667504</t>
  </si>
  <si>
    <t>3903559</t>
  </si>
  <si>
    <t>0601832017</t>
  </si>
  <si>
    <t>3903206</t>
  </si>
  <si>
    <t>0924175292001</t>
  </si>
  <si>
    <t>3900343</t>
  </si>
  <si>
    <t>0960484996</t>
  </si>
  <si>
    <t>3909867</t>
  </si>
  <si>
    <t>0908765498</t>
  </si>
  <si>
    <t>3903655</t>
  </si>
  <si>
    <t>0930602834</t>
  </si>
  <si>
    <t>3907624</t>
  </si>
  <si>
    <t>0920197217</t>
  </si>
  <si>
    <t>3909826</t>
  </si>
  <si>
    <t>17:43:37</t>
  </si>
  <si>
    <t>0913306932</t>
  </si>
  <si>
    <t>3901119</t>
  </si>
  <si>
    <t>0919701227</t>
  </si>
  <si>
    <t>3907914</t>
  </si>
  <si>
    <t>0906231196</t>
  </si>
  <si>
    <t>3907916</t>
  </si>
  <si>
    <t>1201077664</t>
  </si>
  <si>
    <t>3946969</t>
  </si>
  <si>
    <t>0913437026</t>
  </si>
  <si>
    <t>3909017</t>
  </si>
  <si>
    <t>0103026498</t>
  </si>
  <si>
    <t>3906827</t>
  </si>
  <si>
    <t>0914190772</t>
  </si>
  <si>
    <t>3903728</t>
  </si>
  <si>
    <t>0902910108</t>
  </si>
  <si>
    <t>3902059</t>
  </si>
  <si>
    <t>0922436597</t>
  </si>
  <si>
    <t>3907730</t>
  </si>
  <si>
    <t>0906995568</t>
  </si>
  <si>
    <t>3900516</t>
  </si>
  <si>
    <t>0954298923</t>
  </si>
  <si>
    <t>3908059</t>
  </si>
  <si>
    <t>1202370241</t>
  </si>
  <si>
    <t>3907840</t>
  </si>
  <si>
    <t>0917765448</t>
  </si>
  <si>
    <t>3908742</t>
  </si>
  <si>
    <t>0927167544</t>
  </si>
  <si>
    <t>3907877</t>
  </si>
  <si>
    <t>0914648787</t>
  </si>
  <si>
    <t>3930324</t>
  </si>
  <si>
    <t>0927935627</t>
  </si>
  <si>
    <t>3901253</t>
  </si>
  <si>
    <t>3900018</t>
  </si>
  <si>
    <t>0906938642</t>
  </si>
  <si>
    <t>3909052</t>
  </si>
  <si>
    <t>0927177683</t>
  </si>
  <si>
    <t>3909817</t>
  </si>
  <si>
    <t>0942575002001</t>
  </si>
  <si>
    <t>3901638</t>
  </si>
  <si>
    <t>1716031602</t>
  </si>
  <si>
    <t>23923070</t>
  </si>
  <si>
    <t>0910364967</t>
  </si>
  <si>
    <t>3907199</t>
  </si>
  <si>
    <t>0912617933</t>
  </si>
  <si>
    <t>3907713</t>
  </si>
  <si>
    <t>0908992951</t>
  </si>
  <si>
    <t>3901092</t>
  </si>
  <si>
    <t>0922858808</t>
  </si>
  <si>
    <t>3900651</t>
  </si>
  <si>
    <t>0915466700</t>
  </si>
  <si>
    <t>3901510</t>
  </si>
  <si>
    <t>0918777459</t>
  </si>
  <si>
    <t>3909166</t>
  </si>
  <si>
    <t>1305703991</t>
  </si>
  <si>
    <t>3945146</t>
  </si>
  <si>
    <t>1204419202</t>
  </si>
  <si>
    <t>3909128</t>
  </si>
  <si>
    <t>0923801682</t>
  </si>
  <si>
    <t>3903891</t>
  </si>
  <si>
    <t>0902099449</t>
  </si>
  <si>
    <t>3908811</t>
  </si>
  <si>
    <t>1103995088</t>
  </si>
  <si>
    <t>3903840</t>
  </si>
  <si>
    <t>0925532343</t>
  </si>
  <si>
    <t>3906843</t>
  </si>
  <si>
    <t>0910755792</t>
  </si>
  <si>
    <t>3901122</t>
  </si>
  <si>
    <t>1203588973</t>
  </si>
  <si>
    <t>3908971</t>
  </si>
  <si>
    <t>0915251995</t>
  </si>
  <si>
    <t>3903591</t>
  </si>
  <si>
    <t>0602835787</t>
  </si>
  <si>
    <t>23923209</t>
  </si>
  <si>
    <t>0802413138</t>
  </si>
  <si>
    <t>3907576</t>
  </si>
  <si>
    <t>0901886986</t>
  </si>
  <si>
    <t>3907648</t>
  </si>
  <si>
    <t>3903058</t>
  </si>
  <si>
    <t>0909772006</t>
  </si>
  <si>
    <t>3900690</t>
  </si>
  <si>
    <t>0914156559</t>
  </si>
  <si>
    <t>3900647</t>
  </si>
  <si>
    <t>1306856616</t>
  </si>
  <si>
    <t>3902648</t>
  </si>
  <si>
    <t>0914830682</t>
  </si>
  <si>
    <t>3930152</t>
  </si>
  <si>
    <t>0905367363</t>
  </si>
  <si>
    <t>3903081</t>
  </si>
  <si>
    <t>0931157176</t>
  </si>
  <si>
    <t>3907430</t>
  </si>
  <si>
    <t>0903553584</t>
  </si>
  <si>
    <t>3945470</t>
  </si>
  <si>
    <t>1714820766001</t>
  </si>
  <si>
    <t>23923110</t>
  </si>
  <si>
    <t>0992362219001</t>
  </si>
  <si>
    <t>3900958</t>
  </si>
  <si>
    <t>3930014</t>
  </si>
  <si>
    <t>0908784465</t>
  </si>
  <si>
    <t>3901947</t>
  </si>
  <si>
    <t>3902175</t>
  </si>
  <si>
    <t>0992713844001</t>
  </si>
  <si>
    <t>3903850</t>
  </si>
  <si>
    <t>0905830097</t>
  </si>
  <si>
    <t>3945218</t>
  </si>
  <si>
    <t>0919040162</t>
  </si>
  <si>
    <t>3907293</t>
  </si>
  <si>
    <t>1310368152</t>
  </si>
  <si>
    <t>3906004</t>
  </si>
  <si>
    <t>0913383626</t>
  </si>
  <si>
    <t>3909034</t>
  </si>
  <si>
    <t>1311389868</t>
  </si>
  <si>
    <t>3903515</t>
  </si>
  <si>
    <t>0926200486</t>
  </si>
  <si>
    <t>3902759</t>
  </si>
  <si>
    <t>0913314530</t>
  </si>
  <si>
    <t>3907743</t>
  </si>
  <si>
    <t>0917151714</t>
  </si>
  <si>
    <t>3906851</t>
  </si>
  <si>
    <t>0802360354</t>
  </si>
  <si>
    <t>3907944</t>
  </si>
  <si>
    <t>1304158122001</t>
  </si>
  <si>
    <t>3902510</t>
  </si>
  <si>
    <t>0930586169</t>
  </si>
  <si>
    <t>3903653</t>
  </si>
  <si>
    <t>0913019956</t>
  </si>
  <si>
    <t>3930032</t>
  </si>
  <si>
    <t>3908876</t>
  </si>
  <si>
    <t>0915104665</t>
  </si>
  <si>
    <t>3902774</t>
  </si>
  <si>
    <t>0907416861</t>
  </si>
  <si>
    <t>3900924</t>
  </si>
  <si>
    <t>0910934413</t>
  </si>
  <si>
    <t>3920094</t>
  </si>
  <si>
    <t>0909314551</t>
  </si>
  <si>
    <t>3930251</t>
  </si>
  <si>
    <t>1714856075</t>
  </si>
  <si>
    <t>23923196</t>
  </si>
  <si>
    <t>08:51:40</t>
  </si>
  <si>
    <t>0940717697</t>
  </si>
  <si>
    <t>3909190</t>
  </si>
  <si>
    <t>0950306829</t>
  </si>
  <si>
    <t>3902251</t>
  </si>
  <si>
    <t>0919496166</t>
  </si>
  <si>
    <t>3900450</t>
  </si>
  <si>
    <t>0911367431</t>
  </si>
  <si>
    <t>3907859</t>
  </si>
  <si>
    <t>0950567362</t>
  </si>
  <si>
    <t>3930025</t>
  </si>
  <si>
    <t>0950690453</t>
  </si>
  <si>
    <t>3901719</t>
  </si>
  <si>
    <t>0927045310</t>
  </si>
  <si>
    <t>3900470</t>
  </si>
  <si>
    <t>1304422429</t>
  </si>
  <si>
    <t>23923051</t>
  </si>
  <si>
    <t>0916205917</t>
  </si>
  <si>
    <t>3945509</t>
  </si>
  <si>
    <t>12:33:27</t>
  </si>
  <si>
    <t>0923276059</t>
  </si>
  <si>
    <t>3906895</t>
  </si>
  <si>
    <t>1309814968</t>
  </si>
  <si>
    <t>3906284</t>
  </si>
  <si>
    <t>0913448189</t>
  </si>
  <si>
    <t>3908051</t>
  </si>
  <si>
    <t>0602041287</t>
  </si>
  <si>
    <t>3900606</t>
  </si>
  <si>
    <t>0921628723</t>
  </si>
  <si>
    <t>3907673</t>
  </si>
  <si>
    <t>0907595235</t>
  </si>
  <si>
    <t>3907389</t>
  </si>
  <si>
    <t>1310929656</t>
  </si>
  <si>
    <t>3900929</t>
  </si>
  <si>
    <t>0907308845</t>
  </si>
  <si>
    <t>3907441</t>
  </si>
  <si>
    <t>0904860160</t>
  </si>
  <si>
    <t>3905114</t>
  </si>
  <si>
    <t>0918053141</t>
  </si>
  <si>
    <t>3909106</t>
  </si>
  <si>
    <t>0705855153</t>
  </si>
  <si>
    <t>3902686</t>
  </si>
  <si>
    <t>0954753190</t>
  </si>
  <si>
    <t>3906907</t>
  </si>
  <si>
    <t>0913522017</t>
  </si>
  <si>
    <t>3901539</t>
  </si>
  <si>
    <t>0913794848</t>
  </si>
  <si>
    <t>3906716</t>
  </si>
  <si>
    <t>0914537717</t>
  </si>
  <si>
    <t>3901631</t>
  </si>
  <si>
    <t>0907936744</t>
  </si>
  <si>
    <t>3907687</t>
  </si>
  <si>
    <t>0907239958</t>
  </si>
  <si>
    <t>3907865</t>
  </si>
  <si>
    <t>0923023741</t>
  </si>
  <si>
    <t>3903345</t>
  </si>
  <si>
    <t>0917904195</t>
  </si>
  <si>
    <t>3906298</t>
  </si>
  <si>
    <t>3906299</t>
  </si>
  <si>
    <t>1310822331</t>
  </si>
  <si>
    <t>3909195</t>
  </si>
  <si>
    <t>0917337750</t>
  </si>
  <si>
    <t>3900177</t>
  </si>
  <si>
    <t>14:39:29</t>
  </si>
  <si>
    <t>3900036</t>
  </si>
  <si>
    <t>0923046858001</t>
  </si>
  <si>
    <t>3903496</t>
  </si>
  <si>
    <t>1715704563</t>
  </si>
  <si>
    <t>23923204</t>
  </si>
  <si>
    <t>1204151060001</t>
  </si>
  <si>
    <t>3900430</t>
  </si>
  <si>
    <t>3906717</t>
  </si>
  <si>
    <t>0911066041</t>
  </si>
  <si>
    <t>3900336</t>
  </si>
  <si>
    <t>1302124761</t>
  </si>
  <si>
    <t>3903615</t>
  </si>
  <si>
    <t>0200792992</t>
  </si>
  <si>
    <t>3907766</t>
  </si>
  <si>
    <t>0911937282</t>
  </si>
  <si>
    <t>3900362</t>
  </si>
  <si>
    <t>0912555000</t>
  </si>
  <si>
    <t>3901499</t>
  </si>
  <si>
    <t>0908005135</t>
  </si>
  <si>
    <t>3906795</t>
  </si>
  <si>
    <t>1102694096</t>
  </si>
  <si>
    <t>3907029</t>
  </si>
  <si>
    <t>0913343380</t>
  </si>
  <si>
    <t>3901634</t>
  </si>
  <si>
    <t>1302255912</t>
  </si>
  <si>
    <t>3900208</t>
  </si>
  <si>
    <t>12:40:04</t>
  </si>
  <si>
    <t>0919560607</t>
  </si>
  <si>
    <t>3901607</t>
  </si>
  <si>
    <t>0905842837</t>
  </si>
  <si>
    <t>3945467</t>
  </si>
  <si>
    <t>0922619853</t>
  </si>
  <si>
    <t>3902131</t>
  </si>
  <si>
    <t>0907545495</t>
  </si>
  <si>
    <t>3906794</t>
  </si>
  <si>
    <t>1720300506</t>
  </si>
  <si>
    <t>3906738</t>
  </si>
  <si>
    <t>0993137723001</t>
  </si>
  <si>
    <t>3900134</t>
  </si>
  <si>
    <t>1304952722</t>
  </si>
  <si>
    <t>3907569</t>
  </si>
  <si>
    <t>0993145645001</t>
  </si>
  <si>
    <t>3903915</t>
  </si>
  <si>
    <t>0918397969</t>
  </si>
  <si>
    <t>3909115</t>
  </si>
  <si>
    <t>0913551479</t>
  </si>
  <si>
    <t>3909038</t>
  </si>
  <si>
    <t>0904371432</t>
  </si>
  <si>
    <t>3945430</t>
  </si>
  <si>
    <t>0914342381</t>
  </si>
  <si>
    <t>3900566</t>
  </si>
  <si>
    <t>0992895772001</t>
  </si>
  <si>
    <t>3930045</t>
  </si>
  <si>
    <t>0908745300</t>
  </si>
  <si>
    <t>3909222</t>
  </si>
  <si>
    <t>0906881586</t>
  </si>
  <si>
    <t>3930238</t>
  </si>
  <si>
    <t>0910701044</t>
  </si>
  <si>
    <t>3909957</t>
  </si>
  <si>
    <t>0917909590</t>
  </si>
  <si>
    <t>3907933</t>
  </si>
  <si>
    <t>0924694672001</t>
  </si>
  <si>
    <t>3909144</t>
  </si>
  <si>
    <t>0900193004</t>
  </si>
  <si>
    <t>3901635</t>
  </si>
  <si>
    <t>0922636402</t>
  </si>
  <si>
    <t>3900370</t>
  </si>
  <si>
    <t>0910718717</t>
  </si>
  <si>
    <t>3900144</t>
  </si>
  <si>
    <t>0930246715</t>
  </si>
  <si>
    <t>3908139</t>
  </si>
  <si>
    <t>0930252358</t>
  </si>
  <si>
    <t>3909220</t>
  </si>
  <si>
    <t>0917961518</t>
  </si>
  <si>
    <t>3907705</t>
  </si>
  <si>
    <t>0992322993001</t>
  </si>
  <si>
    <t>3902285</t>
  </si>
  <si>
    <t>0201111200</t>
  </si>
  <si>
    <t>3945486</t>
  </si>
  <si>
    <t>0911304111</t>
  </si>
  <si>
    <t>3908806</t>
  </si>
  <si>
    <t>0993191280001</t>
  </si>
  <si>
    <t>3907286</t>
  </si>
  <si>
    <t>0914365945</t>
  </si>
  <si>
    <t>3901137</t>
  </si>
  <si>
    <t>0904939543</t>
  </si>
  <si>
    <t>3903574</t>
  </si>
  <si>
    <t>1715747547001</t>
  </si>
  <si>
    <t>23923124</t>
  </si>
  <si>
    <t>1310681042</t>
  </si>
  <si>
    <t>3907943</t>
  </si>
  <si>
    <t>15:55:25</t>
  </si>
  <si>
    <t>0900718362</t>
  </si>
  <si>
    <t>3903240</t>
  </si>
  <si>
    <t>0919131300</t>
  </si>
  <si>
    <t>3908009</t>
  </si>
  <si>
    <t>0902890540</t>
  </si>
  <si>
    <t>3960279</t>
  </si>
  <si>
    <t>0913688107</t>
  </si>
  <si>
    <t>3908889</t>
  </si>
  <si>
    <t>0912330875</t>
  </si>
  <si>
    <t>3900194</t>
  </si>
  <si>
    <t>0928334440</t>
  </si>
  <si>
    <t>3907985</t>
  </si>
  <si>
    <t>0910886365</t>
  </si>
  <si>
    <t>3906961</t>
  </si>
  <si>
    <t>0926194531</t>
  </si>
  <si>
    <t>3909216</t>
  </si>
  <si>
    <t>0925343345</t>
  </si>
  <si>
    <t>3903168</t>
  </si>
  <si>
    <t>1309514923</t>
  </si>
  <si>
    <t>3908821</t>
  </si>
  <si>
    <t>0914343512</t>
  </si>
  <si>
    <t>3930357</t>
  </si>
  <si>
    <t>0959923855</t>
  </si>
  <si>
    <t>3906748</t>
  </si>
  <si>
    <t>1708108848</t>
  </si>
  <si>
    <t>23923159</t>
  </si>
  <si>
    <t>1500550767</t>
  </si>
  <si>
    <t>23923170</t>
  </si>
  <si>
    <t>17:31:23</t>
  </si>
  <si>
    <t>1102904206</t>
  </si>
  <si>
    <t>3908107</t>
  </si>
  <si>
    <t>0907265938</t>
  </si>
  <si>
    <t>3950101</t>
  </si>
  <si>
    <t>0907734925</t>
  </si>
  <si>
    <t>3900367</t>
  </si>
  <si>
    <t>0953350550</t>
  </si>
  <si>
    <t>3900577</t>
  </si>
  <si>
    <t>0925180192</t>
  </si>
  <si>
    <t>3900363</t>
  </si>
  <si>
    <t>0926827759</t>
  </si>
  <si>
    <t>3909861</t>
  </si>
  <si>
    <t>0910962851</t>
  </si>
  <si>
    <t>3903176</t>
  </si>
  <si>
    <t>0910348069</t>
  </si>
  <si>
    <t>3930332</t>
  </si>
  <si>
    <t>0908031511</t>
  </si>
  <si>
    <t>3900930</t>
  </si>
  <si>
    <t>0913708723</t>
  </si>
  <si>
    <t>3907898</t>
  </si>
  <si>
    <t>0909549040</t>
  </si>
  <si>
    <t>3901750</t>
  </si>
  <si>
    <t>0950679720</t>
  </si>
  <si>
    <t>3903613</t>
  </si>
  <si>
    <t>0908516487</t>
  </si>
  <si>
    <t>3907721</t>
  </si>
  <si>
    <t>0924331598</t>
  </si>
  <si>
    <t>3900561</t>
  </si>
  <si>
    <t>0908752157</t>
  </si>
  <si>
    <t>3903582</t>
  </si>
  <si>
    <t>1303960528</t>
  </si>
  <si>
    <t>3903294</t>
  </si>
  <si>
    <t>0915965495</t>
  </si>
  <si>
    <t>3930243</t>
  </si>
  <si>
    <t>0917616336</t>
  </si>
  <si>
    <t>3906760</t>
  </si>
  <si>
    <t>1102490800</t>
  </si>
  <si>
    <t>3908728</t>
  </si>
  <si>
    <t>0921879565</t>
  </si>
  <si>
    <t>3900239</t>
  </si>
  <si>
    <t xml:space="preserve"> </t>
  </si>
  <si>
    <t>0910538412</t>
  </si>
  <si>
    <t>3903540</t>
  </si>
  <si>
    <t>0900188566</t>
  </si>
  <si>
    <t>3930044</t>
  </si>
  <si>
    <t>12:13:37</t>
  </si>
  <si>
    <t>1302338726</t>
  </si>
  <si>
    <t>3901758</t>
  </si>
  <si>
    <t>0906713086</t>
  </si>
  <si>
    <t>3906389</t>
  </si>
  <si>
    <t>0924852817</t>
  </si>
  <si>
    <t>3906850</t>
  </si>
  <si>
    <t>0913305652</t>
  </si>
  <si>
    <t>3908081</t>
  </si>
  <si>
    <t>0920319316</t>
  </si>
  <si>
    <t>3909076</t>
  </si>
  <si>
    <t>0921772794</t>
  </si>
  <si>
    <t>3909003</t>
  </si>
  <si>
    <t>0912152964</t>
  </si>
  <si>
    <t>3909099</t>
  </si>
  <si>
    <t>1756609127</t>
  </si>
  <si>
    <t>3909235</t>
  </si>
  <si>
    <t>Estado</t>
  </si>
  <si>
    <t>Documento</t>
  </si>
  <si>
    <t>Valor</t>
  </si>
  <si>
    <t>Codigo_Activa</t>
  </si>
  <si>
    <t>Hora</t>
  </si>
  <si>
    <t>Fecha</t>
  </si>
  <si>
    <t xml:space="preserve">STEFFIE GALLESE DE DUNN                 </t>
  </si>
  <si>
    <t xml:space="preserve">MEDINA CRUZ JHONNY SERGIO               </t>
  </si>
  <si>
    <t>3901123</t>
  </si>
  <si>
    <t xml:space="preserve">RICARDO ARMANDO COLOMA MOLINA           </t>
  </si>
  <si>
    <t xml:space="preserve">PAZ SANCHEZ ROXANA MICHELLE             </t>
  </si>
  <si>
    <t xml:space="preserve">HUGO ANTONIO SALMERON ACOSTA            </t>
  </si>
  <si>
    <t xml:space="preserve">MANRIQUE OSORIO XAVIER ENRIQUE          </t>
  </si>
  <si>
    <t xml:space="preserve">LORENA VANONI ARMIJOS                   </t>
  </si>
  <si>
    <t xml:space="preserve">CARLOS IVAN AGUIRRE GARCIA              </t>
  </si>
  <si>
    <t xml:space="preserve">ANEMASA SA                              </t>
  </si>
  <si>
    <t xml:space="preserve">DUARTE DEMERA FRANCISCO JAVIER          </t>
  </si>
  <si>
    <t xml:space="preserve">CAROLINA AMALIA IDROVO PIEDRAH          </t>
  </si>
  <si>
    <t xml:space="preserve">JOSE JOAQUIN OLMEDO CASTELLO            </t>
  </si>
  <si>
    <t xml:space="preserve">DURAN POLIT MARIA DANIELLA              </t>
  </si>
  <si>
    <t xml:space="preserve">MELCHOR MAURICIO VALENCIA PERE          </t>
  </si>
  <si>
    <t xml:space="preserve">JAIME RICARDO ZUNIGA RODRIGUEZ          </t>
  </si>
  <si>
    <t xml:space="preserve">VELIZ CASTRO RICARDO XAVIER             </t>
  </si>
  <si>
    <t xml:space="preserve">FAUSTO LEONARDO  ORTIZ DE LA C          </t>
  </si>
  <si>
    <t xml:space="preserve">MONTES BRIONES JEFFERSON ANTON          </t>
  </si>
  <si>
    <t xml:space="preserve">PERALTA CASTILLO ELSA DEL ROCI          </t>
  </si>
  <si>
    <t xml:space="preserve">FEDERICO GUILLERMO VARAS CHIQU          </t>
  </si>
  <si>
    <t xml:space="preserve">NIEVES RODRIGUEZ JORGE ELIECER          </t>
  </si>
  <si>
    <t xml:space="preserve">JOSE FRANCISCO  FERNANDEZ   ES          </t>
  </si>
  <si>
    <t xml:space="preserve">ARMIJOS SALAZAR ANA ISABEL              </t>
  </si>
  <si>
    <t xml:space="preserve">CHACON CALDERON SARITA MARIA D          </t>
  </si>
  <si>
    <t xml:space="preserve">NORMA ELISA YEPEZ JIMENEZ               </t>
  </si>
  <si>
    <t xml:space="preserve">RAMOS MARCILLO CATHERINE LISSE          </t>
  </si>
  <si>
    <t xml:space="preserve">JIMENEZ BERNAL TANIA BEATRIZ            </t>
  </si>
  <si>
    <t xml:space="preserve">ALVAREZ MOLINA PAUL ALEJANDRO           </t>
  </si>
  <si>
    <t xml:space="preserve">BERNAL MORAN ALEX XAVIER                </t>
  </si>
  <si>
    <t xml:space="preserve">CATHERINE NICOLE RUGEL CARRERA          </t>
  </si>
  <si>
    <t xml:space="preserve">PABLO ENRIQUE GONZENBACH IGLES          </t>
  </si>
  <si>
    <t xml:space="preserve">DELGADO VINTIMILLA CARLOS FERN          </t>
  </si>
  <si>
    <t xml:space="preserve">INDUSTRIAL JUVENALIS SA                 </t>
  </si>
  <si>
    <t xml:space="preserve">CASTRO CASTILLO BYRON MANUEL            </t>
  </si>
  <si>
    <t xml:space="preserve">PINO MAULME ENRIQUE GABRIEL             </t>
  </si>
  <si>
    <t xml:space="preserve">SERVICIO DE OFICINA COMPUTARIZ          </t>
  </si>
  <si>
    <t xml:space="preserve">VINUEZA GARCIA EDISON EDUARDO           </t>
  </si>
  <si>
    <t xml:space="preserve">SERVICITY C A                           </t>
  </si>
  <si>
    <t xml:space="preserve">AIMARA RODRIGUEZ FERNANDEZ              </t>
  </si>
  <si>
    <t xml:space="preserve">GRACIELA GUADALUPE MEREJILDO V          </t>
  </si>
  <si>
    <t xml:space="preserve">LAUDE SA LAUDESA ADMINISTRAD            </t>
  </si>
  <si>
    <t xml:space="preserve">ZAMBRANO MOREIRA LUIS ALFREDO           </t>
  </si>
  <si>
    <t xml:space="preserve">MORAN CABELLO JUSUETH WENSTLAN          </t>
  </si>
  <si>
    <t xml:space="preserve">RIOS ORELLANA INGRID DE LA CRU          </t>
  </si>
  <si>
    <t xml:space="preserve">PAN ZI                                  </t>
  </si>
  <si>
    <t xml:space="preserve">FERNANDO GABRIEL AVILES USCOCO          </t>
  </si>
  <si>
    <t xml:space="preserve">REIMBERG BADUY PETER PAUL               </t>
  </si>
  <si>
    <t xml:space="preserve">PRADO FRANCO ANDREA JACQUELINE          </t>
  </si>
  <si>
    <t xml:space="preserve">SILVA ESPINOZA CARLOTA ELIZABE          </t>
  </si>
  <si>
    <t xml:space="preserve">ELIAS CABRERA ANGELA MARIA              </t>
  </si>
  <si>
    <t xml:space="preserve">ITURRALDE TORRES EDUARDO ANIBA          </t>
  </si>
  <si>
    <t xml:space="preserve">ROMELIA JACOBA FERNANDEZ RAMIR          </t>
  </si>
  <si>
    <t xml:space="preserve">ADMINASES S A                           </t>
  </si>
  <si>
    <t xml:space="preserve">CASTRO ESPINALES LUCELINA PRIM          </t>
  </si>
  <si>
    <t>0918036328</t>
  </si>
  <si>
    <t>3908248</t>
  </si>
  <si>
    <t>0926274234</t>
  </si>
  <si>
    <t>3902505</t>
  </si>
  <si>
    <t>0910929025</t>
  </si>
  <si>
    <t>3902650</t>
  </si>
  <si>
    <t>0908690795</t>
  </si>
  <si>
    <t>3909881</t>
  </si>
  <si>
    <t>0909029886</t>
  </si>
  <si>
    <t>3909093</t>
  </si>
  <si>
    <t>3907365</t>
  </si>
  <si>
    <t>0915716583</t>
  </si>
  <si>
    <t>3908055</t>
  </si>
  <si>
    <t>0926205600</t>
  </si>
  <si>
    <t>3902590</t>
  </si>
  <si>
    <t>0923534234</t>
  </si>
  <si>
    <t>3900940</t>
  </si>
  <si>
    <t>0914893714</t>
  </si>
  <si>
    <t>3908622</t>
  </si>
  <si>
    <t>0913234324</t>
  </si>
  <si>
    <t>3906286</t>
  </si>
  <si>
    <t>0925293797</t>
  </si>
  <si>
    <t>3909130</t>
  </si>
  <si>
    <t>0600026249</t>
  </si>
  <si>
    <t>3922130</t>
  </si>
  <si>
    <t>0914159561</t>
  </si>
  <si>
    <t>3906736</t>
  </si>
  <si>
    <t>0801761891</t>
  </si>
  <si>
    <t>3908905</t>
  </si>
  <si>
    <t>0921265468</t>
  </si>
  <si>
    <t>3902713</t>
  </si>
  <si>
    <t>0905894085</t>
  </si>
  <si>
    <t>3960261</t>
  </si>
  <si>
    <t>1750531160</t>
  </si>
  <si>
    <t>23923164</t>
  </si>
  <si>
    <t>0915189716</t>
  </si>
  <si>
    <t>3900238</t>
  </si>
  <si>
    <t>0924795149</t>
  </si>
  <si>
    <t>3900399</t>
  </si>
  <si>
    <t>0917046534</t>
  </si>
  <si>
    <t>3906811</t>
  </si>
  <si>
    <t>0940643943</t>
  </si>
  <si>
    <t>3908661</t>
  </si>
  <si>
    <t>1201488440</t>
  </si>
  <si>
    <t>3900563</t>
  </si>
  <si>
    <t>0915478713</t>
  </si>
  <si>
    <t>3903944</t>
  </si>
  <si>
    <t>0917830267</t>
  </si>
  <si>
    <t>3900692</t>
  </si>
  <si>
    <t>1804322616</t>
  </si>
  <si>
    <t>23923142</t>
  </si>
  <si>
    <t>0913294781</t>
  </si>
  <si>
    <t>3903573</t>
  </si>
  <si>
    <t>15:56:59</t>
  </si>
  <si>
    <t>0922112966</t>
  </si>
  <si>
    <t>3901710</t>
  </si>
  <si>
    <t>0929308823</t>
  </si>
  <si>
    <t>3901943</t>
  </si>
  <si>
    <t>0927206490</t>
  </si>
  <si>
    <t>3900406</t>
  </si>
  <si>
    <t>14:53:22</t>
  </si>
  <si>
    <t>15:33:42</t>
  </si>
  <si>
    <t>0917667958</t>
  </si>
  <si>
    <t>3901266</t>
  </si>
  <si>
    <t>0918124710</t>
  </si>
  <si>
    <t>3908822</t>
  </si>
  <si>
    <t>0909377897</t>
  </si>
  <si>
    <t>3901756</t>
  </si>
  <si>
    <t>0915898597</t>
  </si>
  <si>
    <t>3903830</t>
  </si>
  <si>
    <t>13:07:53</t>
  </si>
  <si>
    <t>1312957853</t>
  </si>
  <si>
    <t>3909823</t>
  </si>
  <si>
    <t>1792994292001</t>
  </si>
  <si>
    <t>3900304</t>
  </si>
  <si>
    <t>3908137</t>
  </si>
  <si>
    <t>1301094288</t>
  </si>
  <si>
    <t>3907856</t>
  </si>
  <si>
    <t>14:45:30</t>
  </si>
  <si>
    <t>0924894298001</t>
  </si>
  <si>
    <t>3930395</t>
  </si>
  <si>
    <t>0924226772</t>
  </si>
  <si>
    <t>3906039</t>
  </si>
  <si>
    <t>0923348940</t>
  </si>
  <si>
    <t>3906813</t>
  </si>
  <si>
    <t>0701472508</t>
  </si>
  <si>
    <t>3907708</t>
  </si>
  <si>
    <t>0910660984</t>
  </si>
  <si>
    <t>3900497</t>
  </si>
  <si>
    <t>3900466</t>
  </si>
  <si>
    <t>0925129900</t>
  </si>
  <si>
    <t>3908649</t>
  </si>
  <si>
    <t>1102770516</t>
  </si>
  <si>
    <t>3900641</t>
  </si>
  <si>
    <t>0906559877</t>
  </si>
  <si>
    <t>3903871</t>
  </si>
  <si>
    <t>0907054282</t>
  </si>
  <si>
    <t>3902776</t>
  </si>
  <si>
    <t>0911754224</t>
  </si>
  <si>
    <t>3907383</t>
  </si>
  <si>
    <t>0918418179</t>
  </si>
  <si>
    <t>3901459</t>
  </si>
  <si>
    <t>0924510159</t>
  </si>
  <si>
    <t>3903490</t>
  </si>
  <si>
    <t>1204407132</t>
  </si>
  <si>
    <t>3907292</t>
  </si>
  <si>
    <t>0904212453</t>
  </si>
  <si>
    <t>3907288</t>
  </si>
  <si>
    <t>0915846984</t>
  </si>
  <si>
    <t>3907408</t>
  </si>
  <si>
    <t>0950893503</t>
  </si>
  <si>
    <t>3908958</t>
  </si>
  <si>
    <t>0918004367</t>
  </si>
  <si>
    <t>3907287</t>
  </si>
  <si>
    <t>1721152732</t>
  </si>
  <si>
    <t>23923010</t>
  </si>
  <si>
    <t>0940441165</t>
  </si>
  <si>
    <t>3900605</t>
  </si>
  <si>
    <t>0801932948</t>
  </si>
  <si>
    <t>3900221</t>
  </si>
  <si>
    <t>18:45:10</t>
  </si>
  <si>
    <t>11:37:52</t>
  </si>
  <si>
    <t>0941459471</t>
  </si>
  <si>
    <t>3900319</t>
  </si>
  <si>
    <t>0905309886</t>
  </si>
  <si>
    <t>3960253</t>
  </si>
  <si>
    <t>0603728445</t>
  </si>
  <si>
    <t>3908047</t>
  </si>
  <si>
    <t>1704955598</t>
  </si>
  <si>
    <t>23923042</t>
  </si>
  <si>
    <t>1312872227</t>
  </si>
  <si>
    <t>3902254</t>
  </si>
  <si>
    <t>0910611987</t>
  </si>
  <si>
    <t>3903476</t>
  </si>
  <si>
    <t>0922617394</t>
  </si>
  <si>
    <t>3907971</t>
  </si>
  <si>
    <t>0920095361</t>
  </si>
  <si>
    <t>3906026</t>
  </si>
  <si>
    <t>1710976042</t>
  </si>
  <si>
    <t>3900172</t>
  </si>
  <si>
    <t>0928457944</t>
  </si>
  <si>
    <t>3909125</t>
  </si>
  <si>
    <t>0914420708</t>
  </si>
  <si>
    <t>3907354</t>
  </si>
  <si>
    <t>0917968091</t>
  </si>
  <si>
    <t>3903860</t>
  </si>
  <si>
    <t>0916678725</t>
  </si>
  <si>
    <t>3908714</t>
  </si>
  <si>
    <t>0930643457</t>
  </si>
  <si>
    <t>3903886</t>
  </si>
  <si>
    <t>0913599437</t>
  </si>
  <si>
    <t>3901340</t>
  </si>
  <si>
    <t>0905765467</t>
  </si>
  <si>
    <t>3945100</t>
  </si>
  <si>
    <t>0925079998</t>
  </si>
  <si>
    <t>3903191</t>
  </si>
  <si>
    <t>0931903561</t>
  </si>
  <si>
    <t>3908257</t>
  </si>
  <si>
    <t>0910675214</t>
  </si>
  <si>
    <t>3909928</t>
  </si>
  <si>
    <t>0929812485</t>
  </si>
  <si>
    <t>3908740</t>
  </si>
  <si>
    <t>0906523055</t>
  </si>
  <si>
    <t>3907357</t>
  </si>
  <si>
    <t>0921227179</t>
  </si>
  <si>
    <t>3907666</t>
  </si>
  <si>
    <t>0952564664</t>
  </si>
  <si>
    <t>0915679401</t>
  </si>
  <si>
    <t>3907977</t>
  </si>
  <si>
    <t>11:16:35</t>
  </si>
  <si>
    <t>1207267574</t>
  </si>
  <si>
    <t>3907375</t>
  </si>
  <si>
    <t>0927226803</t>
  </si>
  <si>
    <t>3907476</t>
  </si>
  <si>
    <t>10:18:57</t>
  </si>
  <si>
    <t>0917729949</t>
  </si>
  <si>
    <t>3909956</t>
  </si>
  <si>
    <t>0914648761</t>
  </si>
  <si>
    <t>3900179</t>
  </si>
  <si>
    <t>0904399870</t>
  </si>
  <si>
    <t>3908848</t>
  </si>
  <si>
    <t>0920161098</t>
  </si>
  <si>
    <t>3908221</t>
  </si>
  <si>
    <t>0918916446</t>
  </si>
  <si>
    <t>3930037</t>
  </si>
  <si>
    <t>15:36:19</t>
  </si>
  <si>
    <t>0915580393</t>
  </si>
  <si>
    <t>3908667</t>
  </si>
  <si>
    <t>0914463112</t>
  </si>
  <si>
    <t>3906833</t>
  </si>
  <si>
    <t>0908268493</t>
  </si>
  <si>
    <t>3907017</t>
  </si>
  <si>
    <t>0802436659</t>
  </si>
  <si>
    <t>3908192</t>
  </si>
  <si>
    <t>0905840963</t>
  </si>
  <si>
    <t>3900311</t>
  </si>
  <si>
    <t>1003251756</t>
  </si>
  <si>
    <t>3908186</t>
  </si>
  <si>
    <t>0906615489</t>
  </si>
  <si>
    <t>3907836</t>
  </si>
  <si>
    <t>0960303469</t>
  </si>
  <si>
    <t>3900202</t>
  </si>
  <si>
    <t>0953936739</t>
  </si>
  <si>
    <t>3907540</t>
  </si>
  <si>
    <t>0959206657</t>
  </si>
  <si>
    <t>3900161</t>
  </si>
  <si>
    <t>0928314764</t>
  </si>
  <si>
    <t>3909060</t>
  </si>
  <si>
    <t>0925313611</t>
  </si>
  <si>
    <t>3906018</t>
  </si>
  <si>
    <t>0944302801</t>
  </si>
  <si>
    <t>3930010</t>
  </si>
  <si>
    <t>0924610041</t>
  </si>
  <si>
    <t>3907699</t>
  </si>
  <si>
    <t>13:17:01</t>
  </si>
  <si>
    <t>17:17:06</t>
  </si>
  <si>
    <t>0927411074</t>
  </si>
  <si>
    <t>3900243</t>
  </si>
  <si>
    <t>0904747284</t>
  </si>
  <si>
    <t>3906825</t>
  </si>
  <si>
    <t>0909668337</t>
  </si>
  <si>
    <t>3907973</t>
  </si>
  <si>
    <t>0914370994</t>
  </si>
  <si>
    <t>3903524</t>
  </si>
  <si>
    <t>1302180748</t>
  </si>
  <si>
    <t>3950128</t>
  </si>
  <si>
    <t>0915761050</t>
  </si>
  <si>
    <t>3903196</t>
  </si>
  <si>
    <t>0916095854</t>
  </si>
  <si>
    <t>3930126</t>
  </si>
  <si>
    <t>0905994489</t>
  </si>
  <si>
    <t>3908188</t>
  </si>
  <si>
    <t>0101363463</t>
  </si>
  <si>
    <t>3907378</t>
  </si>
  <si>
    <t>0992996927001</t>
  </si>
  <si>
    <t>3930155</t>
  </si>
  <si>
    <t>0905058772</t>
  </si>
  <si>
    <t>3906378</t>
  </si>
  <si>
    <t>0904402575</t>
  </si>
  <si>
    <t>3909840</t>
  </si>
  <si>
    <t>0919398388</t>
  </si>
  <si>
    <t>3908719</t>
  </si>
  <si>
    <t>0916190150</t>
  </si>
  <si>
    <t>3907947</t>
  </si>
  <si>
    <t>09:59:11</t>
  </si>
  <si>
    <t>1100364817</t>
  </si>
  <si>
    <t>3950022</t>
  </si>
  <si>
    <t>0800929267</t>
  </si>
  <si>
    <t>3906897</t>
  </si>
  <si>
    <t>0908973928</t>
  </si>
  <si>
    <t>0962630323</t>
  </si>
  <si>
    <t>3908158</t>
  </si>
  <si>
    <t>12:35:07</t>
  </si>
  <si>
    <t>0105049258</t>
  </si>
  <si>
    <t>3908289</t>
  </si>
  <si>
    <t>0912214467</t>
  </si>
  <si>
    <t>3907391</t>
  </si>
  <si>
    <t>0909216574</t>
  </si>
  <si>
    <t>3909883</t>
  </si>
  <si>
    <t>09:40:40</t>
  </si>
  <si>
    <t>09:42:43</t>
  </si>
  <si>
    <t>0914617279</t>
  </si>
  <si>
    <t>3908826</t>
  </si>
  <si>
    <t>0908790538</t>
  </si>
  <si>
    <t>3901235</t>
  </si>
  <si>
    <t>10:02:12</t>
  </si>
  <si>
    <t>1204090441</t>
  </si>
  <si>
    <t>3906743</t>
  </si>
  <si>
    <t>0918773938</t>
  </si>
  <si>
    <t>3908642</t>
  </si>
  <si>
    <t>11:02:35</t>
  </si>
  <si>
    <t>0909025611</t>
  </si>
  <si>
    <t>3903060</t>
  </si>
  <si>
    <t>14:43:39</t>
  </si>
  <si>
    <t>0913330890</t>
  </si>
  <si>
    <t>3909098</t>
  </si>
  <si>
    <t>1307954543</t>
  </si>
  <si>
    <t>3900938</t>
  </si>
  <si>
    <t>0900122722</t>
  </si>
  <si>
    <t>3906390</t>
  </si>
  <si>
    <t>0993034460001</t>
  </si>
  <si>
    <t>3902960</t>
  </si>
  <si>
    <t>3902950</t>
  </si>
  <si>
    <t>0919379719</t>
  </si>
  <si>
    <t>3903931</t>
  </si>
  <si>
    <t>16:09:56</t>
  </si>
  <si>
    <t>12:31:11</t>
  </si>
  <si>
    <t>0923613582</t>
  </si>
  <si>
    <t>3907833</t>
  </si>
  <si>
    <t>1200748711</t>
  </si>
  <si>
    <t>3945165</t>
  </si>
  <si>
    <t>0922554555</t>
  </si>
  <si>
    <t>3903451</t>
  </si>
  <si>
    <t>10:30:17</t>
  </si>
  <si>
    <t>0914099312</t>
  </si>
  <si>
    <t>3900195</t>
  </si>
  <si>
    <t>0930476551</t>
  </si>
  <si>
    <t>3901624</t>
  </si>
  <si>
    <t>0921233532</t>
  </si>
  <si>
    <t>3903288</t>
  </si>
  <si>
    <t>0914685177</t>
  </si>
  <si>
    <t>3909870</t>
  </si>
  <si>
    <t>0915049290</t>
  </si>
  <si>
    <t>3901476</t>
  </si>
  <si>
    <t>10:32:01</t>
  </si>
  <si>
    <t>0905198214</t>
  </si>
  <si>
    <t>3945208</t>
  </si>
  <si>
    <t>0912721586</t>
  </si>
  <si>
    <t>3907667</t>
  </si>
  <si>
    <t>0931201594</t>
  </si>
  <si>
    <t>3907022</t>
  </si>
  <si>
    <t>0993091731001</t>
  </si>
  <si>
    <t>3903717</t>
  </si>
  <si>
    <t>0913226080</t>
  </si>
  <si>
    <t>3901465</t>
  </si>
  <si>
    <t>0914196944</t>
  </si>
  <si>
    <t>3907939</t>
  </si>
  <si>
    <t>0916181514</t>
  </si>
  <si>
    <t>3901147</t>
  </si>
  <si>
    <t>0926435058</t>
  </si>
  <si>
    <t>3930352</t>
  </si>
  <si>
    <t>0920015369</t>
  </si>
  <si>
    <t>3906013</t>
  </si>
  <si>
    <t>0961058849</t>
  </si>
  <si>
    <t>3903859</t>
  </si>
  <si>
    <t>15:23:47</t>
  </si>
  <si>
    <t>12:52:35</t>
  </si>
  <si>
    <t>0914443353</t>
  </si>
  <si>
    <t>3940049</t>
  </si>
  <si>
    <t>13:46:21</t>
  </si>
  <si>
    <t>0924346349</t>
  </si>
  <si>
    <t>3900594</t>
  </si>
  <si>
    <t>0919558304</t>
  </si>
  <si>
    <t>18:13:37</t>
  </si>
  <si>
    <t>0917026205</t>
  </si>
  <si>
    <t>3960292</t>
  </si>
  <si>
    <t>1710447622</t>
  </si>
  <si>
    <t>23923265</t>
  </si>
  <si>
    <t>0910676931</t>
  </si>
  <si>
    <t>3901481</t>
  </si>
  <si>
    <t>15:44:21</t>
  </si>
  <si>
    <t>0913228060</t>
  </si>
  <si>
    <t>3908101</t>
  </si>
  <si>
    <t>0910359595001</t>
  </si>
  <si>
    <t>3903863</t>
  </si>
  <si>
    <t>3903864</t>
  </si>
  <si>
    <t>1792623332001</t>
  </si>
  <si>
    <t>3908245</t>
  </si>
  <si>
    <t>0917046922</t>
  </si>
  <si>
    <t>3902102</t>
  </si>
  <si>
    <t>1205326810</t>
  </si>
  <si>
    <t>3908189</t>
  </si>
  <si>
    <t>1204906877</t>
  </si>
  <si>
    <t>3908922</t>
  </si>
  <si>
    <t>0923557490</t>
  </si>
  <si>
    <t>3909993</t>
  </si>
  <si>
    <t>0916826969</t>
  </si>
  <si>
    <t>3901944</t>
  </si>
  <si>
    <t>13:03:26</t>
  </si>
  <si>
    <t>12:51:24</t>
  </si>
  <si>
    <t>0907624878</t>
  </si>
  <si>
    <t>3900437</t>
  </si>
  <si>
    <t>0931596076</t>
  </si>
  <si>
    <t>3907896</t>
  </si>
  <si>
    <t>0930548052</t>
  </si>
  <si>
    <t>3908326</t>
  </si>
  <si>
    <t>0926224247</t>
  </si>
  <si>
    <t>3903889</t>
  </si>
  <si>
    <t>1305077560</t>
  </si>
  <si>
    <t>3930100</t>
  </si>
  <si>
    <t>0904545076</t>
  </si>
  <si>
    <t>3908329</t>
  </si>
  <si>
    <t>12:38:38</t>
  </si>
  <si>
    <t>15:29:38</t>
  </si>
  <si>
    <t>0908391808001</t>
  </si>
  <si>
    <t>3901950</t>
  </si>
  <si>
    <t>17:42:39</t>
  </si>
  <si>
    <t>0909159212</t>
  </si>
  <si>
    <t>3930358</t>
  </si>
  <si>
    <t>10:34:59</t>
  </si>
  <si>
    <t>0918733056</t>
  </si>
  <si>
    <t>3906027</t>
  </si>
  <si>
    <t>0909105819</t>
  </si>
  <si>
    <t>3945219</t>
  </si>
  <si>
    <t>17:28:09</t>
  </si>
  <si>
    <t>0924148786</t>
  </si>
  <si>
    <t>3909002</t>
  </si>
  <si>
    <t>12:15:44</t>
  </si>
  <si>
    <t>0993247308001</t>
  </si>
  <si>
    <t>3903532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</si>
  <si>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</si>
  <si>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</t>
  </si>
  <si>
    <t xml:space="preserve">                                       </t>
  </si>
  <si>
    <t xml:space="preserve">                                                      </t>
  </si>
  <si>
    <t>10:42:32</t>
  </si>
  <si>
    <t>NDL-5</t>
  </si>
  <si>
    <t>NC-1</t>
  </si>
  <si>
    <t>NDL-33</t>
  </si>
  <si>
    <t>NDL-27</t>
  </si>
  <si>
    <t>NDL-26</t>
  </si>
  <si>
    <t>NDL-25</t>
  </si>
  <si>
    <t>NDL-22</t>
  </si>
  <si>
    <t>NDL-20</t>
  </si>
  <si>
    <t>NDL-19</t>
  </si>
  <si>
    <t>IC-4026</t>
  </si>
  <si>
    <t>IC-3593</t>
  </si>
  <si>
    <t>NDL-21</t>
  </si>
  <si>
    <t>NDL-38</t>
  </si>
  <si>
    <t>NDL-13</t>
  </si>
  <si>
    <t>NDL-39</t>
  </si>
  <si>
    <t>NDL-42</t>
  </si>
  <si>
    <t>NDL-41</t>
  </si>
  <si>
    <t>NDL-40</t>
  </si>
  <si>
    <t>NDL-35</t>
  </si>
  <si>
    <t>NDL-44</t>
  </si>
  <si>
    <t>NDL-36</t>
  </si>
  <si>
    <t>NDL-34</t>
  </si>
  <si>
    <t>TRANSFERENCIAS GIRADAS Y NO COBRADOS</t>
  </si>
  <si>
    <t>NDL-45</t>
  </si>
  <si>
    <t>NDL-51</t>
  </si>
  <si>
    <t>NDL-50</t>
  </si>
  <si>
    <t>NDL-49</t>
  </si>
  <si>
    <t>NDL-48</t>
  </si>
  <si>
    <t>NDL-37</t>
  </si>
  <si>
    <t>NDL-47</t>
  </si>
  <si>
    <t>NDL-46</t>
  </si>
  <si>
    <t xml:space="preserve">ANDRADE AMOROZO AUGUSTO GUIDO           </t>
  </si>
  <si>
    <t xml:space="preserve">AREVALO PONCE JAVIER MAURICIO           </t>
  </si>
  <si>
    <t xml:space="preserve">DUQUE ESTEVEZ MIRKA                     </t>
  </si>
  <si>
    <t xml:space="preserve">VINUEZA GALLARDO CARLOS ENRIQU          </t>
  </si>
  <si>
    <t xml:space="preserve">MULLER CARDENAS MICHAEL                 </t>
  </si>
  <si>
    <t xml:space="preserve">SUESCUM ROMERO  NATHALY VIRINE          </t>
  </si>
  <si>
    <t>11:30:37</t>
  </si>
  <si>
    <t>0918058579</t>
  </si>
  <si>
    <t>3900643</t>
  </si>
  <si>
    <t>11:12:25</t>
  </si>
  <si>
    <t>0924150733</t>
  </si>
  <si>
    <t>3907874</t>
  </si>
  <si>
    <t>0911226652</t>
  </si>
  <si>
    <t>3908863</t>
  </si>
  <si>
    <t>0900168378</t>
  </si>
  <si>
    <t>3908216</t>
  </si>
  <si>
    <t>3906037</t>
  </si>
  <si>
    <t>TSANCHEZ</t>
  </si>
  <si>
    <t>23920523</t>
  </si>
  <si>
    <t>1792925150001</t>
  </si>
  <si>
    <t>18:48:46</t>
  </si>
  <si>
    <t>3960338</t>
  </si>
  <si>
    <t>0992483199001</t>
  </si>
  <si>
    <t>11:23:46</t>
  </si>
  <si>
    <t>11:22:19</t>
  </si>
  <si>
    <t>3903266</t>
  </si>
  <si>
    <t>0926319658</t>
  </si>
  <si>
    <t>3903487</t>
  </si>
  <si>
    <t>0923064018</t>
  </si>
  <si>
    <t>15:40:07</t>
  </si>
  <si>
    <t>3908535</t>
  </si>
  <si>
    <t>0926860198</t>
  </si>
  <si>
    <t xml:space="preserve">JUAN CARLOS MARTINEZ FASSIO             </t>
  </si>
  <si>
    <t xml:space="preserve">GARCIA SORIANO LUZ MARIA                </t>
  </si>
  <si>
    <t xml:space="preserve">CRISTIAN ALAN PARRALES TUMBACO          </t>
  </si>
  <si>
    <t>N/D PACIFICO TRANSF. ROLES DE PAGO 2DA QUINCENA MES DE ENERO 2021</t>
  </si>
  <si>
    <t>N/D PACIFICO TRANSF. ANTICIPO A FACTURA#433 A PABLO BAQUERIZO DAVILA</t>
  </si>
  <si>
    <t>N/D PACIFICO TRANSF. CANCELACIÓN DE FACTURA#109 ESTUPIÑAN FRANCISCO Y FACTURA#134 BAQUE BYRON</t>
  </si>
  <si>
    <t>N/D PACIFICO TRANSF. CANCELACIÓN DE FACTURA#7392 ALDAS ROMERO ERIK ANDRES (REEMBOLSO A P.B.D.)</t>
  </si>
  <si>
    <t>Fact#: 349296-351484 Rec#: 16364 CARLOS EDUARDO CARVAJAL LOOR</t>
  </si>
  <si>
    <t>Fact#: 352256 Rec#: 16363 GUERRERO RENDON VICTORIA EDITA</t>
  </si>
  <si>
    <t>Fact#: 348081-350363-352633 Rec#: 16362 CABRERA SOLORZANO NELSON CATITO</t>
  </si>
  <si>
    <t>Fact#: 351553 Rec#: 16361 HOLGER ALFREDO TOMALA DE LA ROSA</t>
  </si>
  <si>
    <t>Fact#: 352379 Rec#: 16360 LUCAS VALAREZO CRISTINA EVELIN</t>
  </si>
  <si>
    <t>Fact#: 352228 Rec#: 16359 BORBOR VILLON ALEX ALEJANDRO</t>
  </si>
  <si>
    <t>Fact#: 348531-350759 Rec#: 16358 FORMICONSTRUC S.A.</t>
  </si>
  <si>
    <t>Fact#: 351886 Rec#: 16357 VERA GUZMAN SILVIA AZUCENA</t>
  </si>
  <si>
    <t>Fact#: 352695 Rec#: 16356 MENDEZ LAINEZ RUTH ELIZABETH</t>
  </si>
  <si>
    <t>Fact#: 352254 Rec#: 16355 ROSERO MERCADO ELSA KARINA</t>
  </si>
  <si>
    <t>Fact#: 351280 Rec#: 16354 BELLA FRANCISCA FARIAS BANEGAS</t>
  </si>
  <si>
    <t>Fact#: 351791 Rec#: 16353 ARIAS FLORES ENRIQUE SEBASTIAN</t>
  </si>
  <si>
    <t>Fact#: 351853 Rec#: 16352 HERBAS MORALES CHRISTIAN ALFREDO</t>
  </si>
  <si>
    <t>Fact#: 3704 Rec#: 16351 SANGUNA RON TANIA GRICELDA</t>
  </si>
  <si>
    <t>Fact#: 352646 Rec#: 16350 JIMENEZ OCHOA LUIS ENRIQUE</t>
  </si>
  <si>
    <t>Fact#: 350222-352484 Rec#: 16349 CASTRO SAENZ DIANA INDIRA</t>
  </si>
  <si>
    <t>Fact#: 349984-352215 Rec#: 16348 BORJA MESIAS SEGUNDO ALFREDO</t>
  </si>
  <si>
    <t>Fact#: 352685 Rec#: 16347 LINDAO CEDENO KATHERIN LIZBETH</t>
  </si>
  <si>
    <t>Fact#: 346972-349446-351648 Rec#: 16346 LOURDES DEL ROCIO JIMENEZ ACOSTA</t>
  </si>
  <si>
    <t>Fact#: 350290-352559 Rec#: 16345 TAPIA RODRIGUEZ MARIOLI MARITZA</t>
  </si>
  <si>
    <t>Fact#: 351405 Rec#: 16344 MIRIAM ISABEL CRUZ REVELO</t>
  </si>
  <si>
    <t>Fact#: 352683 Rec#: 16343 PRECIADO SALVATIERRA PATRICIA PAOLA</t>
  </si>
  <si>
    <t>N/D PACIFICO TRANSF. CANCELACIÓN DE FACTURA#433 A PABLO BAQUERIZO DAVILA</t>
  </si>
  <si>
    <t>N/D PACIFICO TRANSF. CANCELACIÓN FODETEL 1% 4TO TRIMESTRE OCT A DIC 2020 POR SERVICIO DE TELECOMUNICACIONES A TRAVÉS  DE TERMINALES DE USO PÚBLICO</t>
  </si>
  <si>
    <t>N/D PACIFICO TRANSF. CANCELACIÓN FODETEL 1% 4TO TRIMESTRE OCT A DIC 2020 POR TELEFONIA LARGA DISTANCIA INTERNACIONAL</t>
  </si>
  <si>
    <t>N/D PACIFICO TRANSF. CANCELACIÓN FODETEL 1% 4TO TRIMESTRES OCT A DIC 2020 TELEFONIA FIJA LOCAL</t>
  </si>
  <si>
    <t>N/D PACIFICO TRANSF. CANCELACIÓN DERECHO DE CONCESIONES 0.50% 4TO  TRIMESTRE OCT A DIC 2020, TELEFONIA LARGA DISTANCIA INTERNACIONAL</t>
  </si>
  <si>
    <t>N/D PACIFICO TRANSF. CANCELACIÓN DERECHO DE CONCESIONES 0.50% 4TO TRIMESTRE OCT A DIC 2020, SERVICIOS DE TELECOMUNICACIONES A TRAVÉS DE TERMINALES DE USO PÚBLICO</t>
  </si>
  <si>
    <t>N/D PACIFICO TRANSF. CANCELACIÓN DERECHO DE CONCESIONES 0.50% 4TO TRIMESTRE OCT A DIC 2020, TELEFONIA FIJA LOCAL</t>
  </si>
  <si>
    <t>Fact#: 351038-351039 Rec#: 32272 CONSORCIO ECUATORIANO DE TELECOMUNICACIONES S.A. CONECEL</t>
  </si>
  <si>
    <t>Fact#: 351049 Rec#: 32271 Corporación Nacional de Telecomunicaciones-CNT EP</t>
  </si>
  <si>
    <t>Fact#: 349603-351814 Rec#: 16342 NAREA BAJANA ANGELA DEL CARMEN</t>
  </si>
  <si>
    <t>Fact#: 344222-347042-349516 Rec#: 32270 JAVIER ALEJANDRO PAREDES SALTOS</t>
  </si>
  <si>
    <t>Fact#: 351196 Rec#: 32269 TANNIA ELIZABETH  CARRERA CALDERON</t>
  </si>
  <si>
    <t>Fact#: 351868 Rec#: 32268 HERRERA DIAZ HIALINA AMALIA DE LAS ROSAS</t>
  </si>
  <si>
    <t>Fact#: 351799 Rec#: 32267 LOPEZ PALACIOS DANNY CHRISTIAN</t>
  </si>
  <si>
    <t>Fact#: 351130 Rec#: 32266 ALVARO CORNEJO RODRIGUEZ</t>
  </si>
  <si>
    <t>Fact#: 348716-350940 Rec#: 32265 CENTOP S.A.</t>
  </si>
  <si>
    <t>Fact#: 351257 Rec#: 32264 HUGO RENE LUNA</t>
  </si>
  <si>
    <t>Fact#: 351058 Rec#: 32263 STEFFIE GALLESE DE DUNN</t>
  </si>
  <si>
    <t>Fact#: 352566 Rec#: 32262 GABINO MIRANDA DAVID EDUARDO</t>
  </si>
  <si>
    <t>Fact#: 351084 Rec#: 16341 NERY LILIANA OCHOA BAQUE</t>
  </si>
  <si>
    <t>Fact#: 349848-352069 Rec#: 16340 VILLEGAS BASTIDAS JOSE ALFREDO</t>
  </si>
  <si>
    <t>Fact#: 349493-351695 Rec#: 16339 ESMERALDA MARITZA ALVARADO SEGURA</t>
  </si>
  <si>
    <t>IC-1431</t>
  </si>
  <si>
    <t>Fact#: 338338-341330-344854 Rec#: 16338 CAMPUZANO CASTILLO TOMAS ROLANDO</t>
  </si>
  <si>
    <t>IC-1430</t>
  </si>
  <si>
    <t>Fact#: 352007 Rec#: 16337 PINO MAULME ENRIQUE GABRIEL</t>
  </si>
  <si>
    <t>IC-1429</t>
  </si>
  <si>
    <t>Fact#: 352372 Rec#: 16336 CHANCAY SOLEDISPA VICTOR MANUEL</t>
  </si>
  <si>
    <t>IC-1428</t>
  </si>
  <si>
    <t>Fact#: 351439 Rec#: 16335 JESSICA LORENA TRIANA VELIS</t>
  </si>
  <si>
    <t>Fact#: 323052-325814-328564-331388-334299-337233-340224-343753 Rec#: 16334 ANDRES ENRIQUE COTERA GALLO</t>
  </si>
  <si>
    <t>Fact#: 350780 Rec#: 16333 ALLINPUBLICIDAD&amp;MARKETING S A</t>
  </si>
  <si>
    <t>Fact#: 352325 Rec#: 16332 MALDONADO VILLAMAR HUMBERTO MARTIN</t>
  </si>
  <si>
    <t>Fact#: 349419-351617 Rec#: 16331 CESAR AURELIO BARRERA MORALES</t>
  </si>
  <si>
    <t>Fact#: 352258 Rec#: 16330 ANDRADE AMOROZO AUGUSTO GUIDO</t>
  </si>
  <si>
    <t>Fact#: 349973-352202 Rec#: 16329 VALENCIA MEDINA JOSE RICARDO</t>
  </si>
  <si>
    <t>Fact#: 348230-350437-352715 Rec#: 16328 GONZALES LOJA MARIA FERNANDA</t>
  </si>
  <si>
    <t>Fact#: 351891 Rec#: 16327 TOMALA SANCAN JORGE LUIS</t>
  </si>
  <si>
    <t>Fact#: 351733 Rec#: 16326 TOMALA SANCAN JORGE LUIS</t>
  </si>
  <si>
    <t>IC-1418</t>
  </si>
  <si>
    <t>Fact#: 349858-352080 Rec#: 16325 MAYEZA REGALADO JIMMY HARRY</t>
  </si>
  <si>
    <t>Fact#: 351845 Rec#: 16324 HOLGUIN SUAREZ NELSON AMADOR</t>
  </si>
  <si>
    <t>IC-1416</t>
  </si>
  <si>
    <t>Fact#: 347558-350043-352281 Rec#: 16323 MUNIZ MARTINEZ CARMEN ALEJA</t>
  </si>
  <si>
    <t>GASTO BANCARIO PACIFICO #3561746-61608-53719-53768-45929-45986-37870-37811-02046-01934-3467878-67970-58568-58697-51102-50990-42781042692-11676-11819-03537-03637-3396228-96347-88394-88314-58463-58356-33785-33673-3287011-86950-73581-73634-14952-15141-318698</t>
  </si>
  <si>
    <t>DR-541</t>
  </si>
  <si>
    <t>VISA - MASTERCARD - PACIFICARD CANCELACION PAGO POR PAYMENTS CLIENTE RIERA ORDONEZ MIGUEL ANGEL, BCO PACIFICO POR TRANSFERENCIA #DOC 0517</t>
  </si>
  <si>
    <t>NC-15</t>
  </si>
  <si>
    <t>Fact#: 351008 Rec#: 32294 REPROLIMIT CIA.LTDA</t>
  </si>
  <si>
    <t>IC-2509</t>
  </si>
  <si>
    <t>Fact#: 352405 Rec#: 32261 CASTAÑEDA RENDON JOFFRE AUGUSTO</t>
  </si>
  <si>
    <t>Fact#: 351064 Rec#: 32260 LOURDES DEL ROCIO CHAVEZ VELEZ</t>
  </si>
  <si>
    <t>Fact#: 351169 Rec#: 32259 HUGO ANTONIO SALMERON ACOSTA</t>
  </si>
  <si>
    <t>Fact#: 348957-351147 Rec#: 32258 BENILDA JESUS ACOSTA ZAMBRANO</t>
  </si>
  <si>
    <t>Fact#: 350134-352384 Rec#: 32257 CASTRO CASTILLO BYRON MANUEL</t>
  </si>
  <si>
    <t>Fact#: 349508-351712 Rec#: 32256 TANIA PAOLA ILLESCAS PIBAQUE</t>
  </si>
  <si>
    <t>Fact#: 351573 Rec#: 32255 AIMARA RODRIGUEZ FERNANDEZ</t>
  </si>
  <si>
    <t>Fact#: 3540-3728 Rec#: 32254 ALVAREZ MOLINA PAUL ALEJANDRO</t>
  </si>
  <si>
    <t>Fact#: 349545-351752 Rec#: 32253 CESAR AUGUSTO GAVILANES AGUIRRE</t>
  </si>
  <si>
    <t>Fact#: 349496-351698 Rec#: 32252 JUAN CARLOS MARTINEZ FASSIO</t>
  </si>
  <si>
    <t>Fact#: 352643 Rec#: 32251 CHACON CALDERON SARITA MARIA DE LOS ANGEL</t>
  </si>
  <si>
    <t>Fact#: 350589-352883 Rec#: 16321 ANDRADE RIVERA RAFAEL ALBERTO</t>
  </si>
  <si>
    <t>Fact#: 352302 Rec#: 16320 JURADO VELEZ JONNY EUGENIO</t>
  </si>
  <si>
    <t>Fact#: 349349-351545 Rec#: 16319 ALONSO RIGOBERTO VALENCIA CHICA</t>
  </si>
  <si>
    <t>Fact#: 351164 Rec#: 16318 CAROLA MISHEL ABISAAB MEDINA</t>
  </si>
  <si>
    <t>Fact#: 352506 Rec#: 16317 CERCADO MENDOZA MARIA AUXILIADORA</t>
  </si>
  <si>
    <t>Fact#: 351187 Rec#: 16316 LAURA BEATRIZ  ENCALADA ESPINOZA</t>
  </si>
  <si>
    <t>Fact#: 349930-352155 Rec#: 16315 SEGOVIA TOMALA DENNIS ABEL</t>
  </si>
  <si>
    <t>Fact#: 349328-351521 Rec#: 16314 LUIS FERNANDO RODRIGUEZ TAPIA</t>
  </si>
  <si>
    <t>Fact#: 346986-349460-351661 Rec#: 16313 MARITZA MABEL USHIÑA GIRALDO</t>
  </si>
  <si>
    <t>Fact#: 352760 Rec#: 16312 SORIA LAMAN HARRY SUN</t>
  </si>
  <si>
    <t>Fact#: 351523 Rec#: 16311 ALFREDO JONATHAN MACIAS VILLAGRAN</t>
  </si>
  <si>
    <t>Fact#: 349712-351932 Rec#: 16310 DIAZ CHAMBA WALTER OVIDIO</t>
  </si>
  <si>
    <t>Fact#: 346797-349261-351451 Rec#: 16309 PACO OLMEDO ORNA AYMACANA</t>
  </si>
  <si>
    <t>Fact#: 352041 Rec#: 16308 RIVADENEIRA SACON GRACE ALEXANDRA</t>
  </si>
  <si>
    <t>Fact#: 347149-349625-351838 Rec#: 16307 PLAZA CHUNGA SILVIA MARIA</t>
  </si>
  <si>
    <t>Fact#: 344176-347012-349486 Rec#: 16306 ANDRES GONZALO CELI PEREZ</t>
  </si>
  <si>
    <t>Fact#: 352739 Rec#: 16305 GANCINO TOAPANTA NAPOLEON ISRAEL</t>
  </si>
  <si>
    <t>Fact#: 349487-351689 Rec#: 16304 BEATRIZ MARIA DEL CARMEN PACHECO BALLESTEROS</t>
  </si>
  <si>
    <t>Fact#: 350590 Rec#: 32250 ALZAMORA BATALLA BLANCA LEONOR</t>
  </si>
  <si>
    <t>Fact#: 348843-348844-351021-351022 Rec#: 32249 COSTASHUE S.A.</t>
  </si>
  <si>
    <t>IC-1319</t>
  </si>
  <si>
    <t>Fact#: 352574 Rec#: 32248 ESPINOSA ESPINOZA HUGO STANLEY</t>
  </si>
  <si>
    <t>IC-1310</t>
  </si>
  <si>
    <t>Fact#: 352291 Rec#: 32247 ANDRADE FORNELL JOSE LUIS</t>
  </si>
  <si>
    <t>IC-1309</t>
  </si>
  <si>
    <t>Fact#: 321918-324676-327464-330236-333097-336022-338968-341963-345486-347989 Rec#: 32246 LUCIN DE LA A JOSE WILMER</t>
  </si>
  <si>
    <t>IC-1308</t>
  </si>
  <si>
    <t>Fact#: 351160 Rec#: 32245 FAUSTO LEONARDO  ORTIZ DE LA CADENA</t>
  </si>
  <si>
    <t>Fact#: 349566-351775 Rec#: 32244 SALAZAR JAIME CECILIA NARCISA</t>
  </si>
  <si>
    <t>Fact#: 351807 Rec#: 16303 ESPIN PEREZ JOSE XAVIER</t>
  </si>
  <si>
    <t>Fact#: 351758 Rec#: 16302 MINO DOYLET YOLANDA ABIGAIL</t>
  </si>
  <si>
    <t>Fact#: 347705-350145-352396 Rec#: 16301 MORA SANCHEZ DIANA LISSETH</t>
  </si>
  <si>
    <t>Fact#: 351466 Rec#: 16300 LUIS GALO IDROBO ACEBO</t>
  </si>
  <si>
    <t>Fact#: 350215-352477 Rec#: 16299 PERALTA RODRIGUEZ MARLON SANTIAGO</t>
  </si>
  <si>
    <t>Fact#: 351819 Rec#: 16298 PINO MATAMOROS GALO EFRAIN</t>
  </si>
  <si>
    <t>Fact#: 351297 Rec#: 16297 MARIA PIEDAD MONTALVAN CAMPOVERDE</t>
  </si>
  <si>
    <t>Fact#: 350602-352895 Rec#: 16296 OVIEDO OVIEDO MANUEL ALFREDO</t>
  </si>
  <si>
    <t>Fact#: 351143 Rec#: 16295 EDDY MANUEL CHAVEZ CEDEÑO</t>
  </si>
  <si>
    <t>Fact#: 351755 Rec#: 16294 NIETO BARQUET OSCAR AHMED</t>
  </si>
  <si>
    <t>Fact#: 351960 Rec#: 16293 VASQUEZ DORA JUAN JOSE</t>
  </si>
  <si>
    <t>Fact#: 352244 Rec#: 16292 ROBALINO VALENCIA  SPARTA SUSANA</t>
  </si>
  <si>
    <t>Fact#: 351946 Rec#: 16291 GOMEZ PENAFIEL BLANCA VICTORIA</t>
  </si>
  <si>
    <t>Fact#: 341839-345362-347864 Rec#: 16290 PARRAGA JOSE JUAN</t>
  </si>
  <si>
    <t>Fact#: 350568-352862 Rec#: 16289 ANDRADE TOBAR MIGUEL ANTONIO</t>
  </si>
  <si>
    <t>Fact#: 349755-351974 Rec#: 16288 ALARCON MORALES JENNY ROCIO</t>
  </si>
  <si>
    <t>Fact#: 3581 Rec#: 16287 AGUILAR ECHEVERRIA LUIS FERNANDO</t>
  </si>
  <si>
    <t>Fact#: 351578 Rec#: 16286 DAYANNA ANABELL BAQUERIZO AQUINO</t>
  </si>
  <si>
    <t>Fact#: 349978-352207 Rec#: 32243 SAMPEDRO BASURTO MARIA JULIANA</t>
  </si>
  <si>
    <t>IC-1275</t>
  </si>
  <si>
    <t>Fact#: 350485-352778 Rec#: 32242 SAMAN CERASUOLO CRISTHIAN VICENTE</t>
  </si>
  <si>
    <t>IC-1265</t>
  </si>
  <si>
    <t>Fact#: 319333-322046-336169-339115-342110-345634-348137 Rec#: 32241 VELASCO ROMERO MARIA DEL CARMEN</t>
  </si>
  <si>
    <t>Fact#: 333333-336274-339234-342238-345762-348265 Rec#: 32655 MORALES MORALES ALEXANDRA MARISELA</t>
  </si>
  <si>
    <t>Fact#: 350411-352684 Rec#: 32240 ARMIJOS SALAZAR ANA ISABEL</t>
  </si>
  <si>
    <t>Fact#: 352678 Rec#: 32239 PRADO FRANCO ANDREA JACQUELINE</t>
  </si>
  <si>
    <t>Fact#: 351576 Rec#: 32238 CATHERINE NICOLE RUGEL CARRERA</t>
  </si>
  <si>
    <t>Fact#: 348653-350886 Rec#: 32237 ASISTMED ASISTENCIA A MEDICOS S.A.</t>
  </si>
  <si>
    <t>Fact#: 348968-351158 Rec#: 16285 VICENTE GABRIEL VINUEZA MERINO</t>
  </si>
  <si>
    <t>Fact#: 351314 Rec#: 16284 CESAR AUGUSTO BAQUERIZO AROSEMENA</t>
  </si>
  <si>
    <t>Fact#: 351938 Rec#: 16283 FREIRE ORTIZ PEDRO PABLO</t>
  </si>
  <si>
    <t>Fact#: 346890-349358-351555 Rec#: 16282 EINER JOSE VALENCIA BUSTAMANTE</t>
  </si>
  <si>
    <t>Fact#: 352465 Rec#: 16281 ARROYO MOURA RENE PATRICIO</t>
  </si>
  <si>
    <t>Fact#: 351847 Rec#: 16280 SANCHEZ CARRIEL NARCISA DE JESUS</t>
  </si>
  <si>
    <t>Fact#: 337354-340345-343875 Rec#: 16279 ANDRES XAVIER MESIAS MORALES</t>
  </si>
  <si>
    <t>Fact#: 352933 Rec#: 16278 GILBERT SILVA CECILIA MARIA</t>
  </si>
  <si>
    <t>Fact#: 352473 Rec#: 16277 AVILES PEREZ ALFONSO</t>
  </si>
  <si>
    <t>Fact#: 349614-351828 Rec#: 16276 CABEZA BENITEZ MONSERRATE FATIMA</t>
  </si>
  <si>
    <t>IC-1240</t>
  </si>
  <si>
    <t>Fact#: 320720-323470-326237-328995-331833-334746-337685-340677-344202 Rec#: 16275 OSCAR LEONEL MONTERO HINOJOSA</t>
  </si>
  <si>
    <t>Fact#: 352432 Rec#: 16274 ALZAMORA ALVARADO HECTOR JAVIER</t>
  </si>
  <si>
    <t>Fact#: 348970-351159 Rec#: 16273 GRACIELA ELENA CAMACHO COELLO</t>
  </si>
  <si>
    <t>Fact#: 345498-348001-350317 Rec#: 16272 ALVARADO JALCA JAZMIN ESTHER</t>
  </si>
  <si>
    <t>Fact#: 350708-350799 Rec#: 32230 MEGADATOS S.A.</t>
  </si>
  <si>
    <t>Fact#: 350729 Rec#: 32229 YARECUADOR CIA. LTDA</t>
  </si>
  <si>
    <t>Fact#: 348425 Rec#: 32228 SOLVESA  ECUADOR S.A</t>
  </si>
  <si>
    <t>Fact#: 351163 Rec#: 32236 PABLO ENRIQUE GONZENBACH IGLESIAS</t>
  </si>
  <si>
    <t>Fact#: 348056-350352-352621 Rec#: 32235 ELIAS CABRERA ANGELA MARIA</t>
  </si>
  <si>
    <t>Fact#: 351053-352175 Rec#: 32234 VELASCO ARIAS LEYTON VICENTE</t>
  </si>
  <si>
    <t>Fact#: 352722 Rec#: 32233 DUQUE ESTEVEZ MIRKA</t>
  </si>
  <si>
    <t>Fact#: 352721 Rec#: 32232 SUESCUM ROMERO  NATHALY VIRINEYA</t>
  </si>
  <si>
    <t>Fact#: 349843-352062 Rec#: 32231 DUARTE DEMERA FRANCISCO JAVIER</t>
  </si>
  <si>
    <t>Fact#: 351993 Rec#: 16271 VELEZ CASTRO HARRY VICENTE</t>
  </si>
  <si>
    <t>Fact#: 347509-349994-352225 Rec#: 16270 CASTRO MORA AGRIPINA GARDENIA</t>
  </si>
  <si>
    <t>Fact#: 333058-335982-338928-341924-345447-347951 Rec#: 16269 MUNOZ PROANO HUGO</t>
  </si>
  <si>
    <t>Fact#: 352131 Rec#: 16268 YUNEZ PARRA JOSE MIGUEL</t>
  </si>
  <si>
    <t>Fact#: 352127 Rec#: 16267 YUNEZ PARRA JOSE MIGUEL</t>
  </si>
  <si>
    <t>Fact#: 352136 Rec#: 16266 VELASTEGUI COELLAR MICHAEL PATRICIO</t>
  </si>
  <si>
    <t>Fact#: 351854 Rec#: 16265 CEVALLOS PLUAS JULIT LORENA</t>
  </si>
  <si>
    <t>Fact#: 352307 Rec#: 16264 ROVELLO VALENCIA JOSE ROMAN</t>
  </si>
  <si>
    <t>Fact#: 349922-352147 Rec#: 16263 CEDENO VILLAVICENCIO ROBERTO ANTONIO</t>
  </si>
  <si>
    <t>Fact#: 349424-351622 Rec#: 16262 LUIS ENRIQUE COLOMBO MALTA</t>
  </si>
  <si>
    <t>Fact#: 3539-3727 Rec#: 16261 MINDA POZO EDVIN ERNESTO</t>
  </si>
  <si>
    <t>Fact#: 352453 Rec#: 16260 FRANCO RODRIGUEZ FEDERICO ENRIQUE</t>
  </si>
  <si>
    <t>IC-1193</t>
  </si>
  <si>
    <t>Fact#: 349067-351253 Rec#: 16259 ASTUDILLO AYORA CECILIA FILOMENA</t>
  </si>
  <si>
    <t>IC-1192</t>
  </si>
  <si>
    <t>Fact#: 350262-352530 Rec#: 16258 BACA GARAYCOA HILDA SHELLMA</t>
  </si>
  <si>
    <t>IC-1191</t>
  </si>
  <si>
    <t>Fact#: 351421 Rec#: 16257 ANDREA CANAHUATI CHAIN</t>
  </si>
  <si>
    <t>IC-1190</t>
  </si>
  <si>
    <t>Fact#: 351212 Rec#: 16256 ANGELA MARIA ANA  FERAUD MANSSUR</t>
  </si>
  <si>
    <t>Fact#: 347666-350124-352371 Rec#: 16255 REYES PINCAY JORGE VICTOR</t>
  </si>
  <si>
    <t>IC-1188</t>
  </si>
  <si>
    <t>Fact#: 351774 Rec#: 16254 ORTIZ CARRILLO ROBERTO JAVIER</t>
  </si>
  <si>
    <t>IC-1187</t>
  </si>
  <si>
    <t>Fact#: 352436 Rec#: 32226 ARANA BARROS AMBAR GEOVANA</t>
  </si>
  <si>
    <t>IC-1186</t>
  </si>
  <si>
    <t>Fact#: 349032-351216 Rec#: 32225 SILVIA XIMENA CHAVEZ CABRERA</t>
  </si>
  <si>
    <t>IC-1185</t>
  </si>
  <si>
    <t>Fact#: 350996 Rec#: 16253 ASISTENCA TECNICA INDUSTRIAL ATEIND S.A.</t>
  </si>
  <si>
    <t>IC-1184</t>
  </si>
  <si>
    <t>Fact#: 348996-351183 Rec#: 16252 OSCAR HUMBERTO  BRITO GUILLEN</t>
  </si>
  <si>
    <t>IC-1183</t>
  </si>
  <si>
    <t>Fact#: 351548 Rec#: 16251 MAGDALENA CONCEPCION FRANCO CORREA</t>
  </si>
  <si>
    <t>IC-1182</t>
  </si>
  <si>
    <t>Fact#: 345217-347718-350154 Rec#: 16250 MITE VERGARA EDISON CLAUDIO</t>
  </si>
  <si>
    <t>IC-1181</t>
  </si>
  <si>
    <t>Fact#: 3486-3674 Rec#: 16249 JARAMILLO MONTANO JESSICA XIMENA</t>
  </si>
  <si>
    <t>IC-1180</t>
  </si>
  <si>
    <t>Fact#: 348873-351056 Rec#: 16248 SONNIA VANESSA AVILA ESPINOZA</t>
  </si>
  <si>
    <t>IC-1179</t>
  </si>
  <si>
    <t>Fact#: 349705-351924 Rec#: 16247 FLORES MARTINEZ RAQUEL VERONICA</t>
  </si>
  <si>
    <t>IC-1178</t>
  </si>
  <si>
    <t>Fact#: 351386 Rec#: 16246 GISELA LEONOR GARCIA VARGAS</t>
  </si>
  <si>
    <t>IC-1177</t>
  </si>
  <si>
    <t>Fact#: 352887 Rec#: 16245 MENDOZA VELEZ CARLOS DAMIAN</t>
  </si>
  <si>
    <t>IC-1176</t>
  </si>
  <si>
    <t>Fact#: 350575-352869 Rec#: 16244 BARBERAN BRIONES CARMEN ASUNCION</t>
  </si>
  <si>
    <t>IC-1175</t>
  </si>
  <si>
    <t>Fact#: 339703-343248-346276-348726 Rec#: 16243 VASQUEZ MOREIRA HILDA VIVIANA</t>
  </si>
  <si>
    <t>IC-1174</t>
  </si>
  <si>
    <t>Fact#: 339704-343249-346277-348727 Rec#: 16242 VASQUEZ MOREIRA HILDA VIVIANA</t>
  </si>
  <si>
    <t>IC-1173</t>
  </si>
  <si>
    <t>Fact#: 341053-344578-347282 Rec#: 16241 ALVERNIA OJEDA NIDIA ROSA</t>
  </si>
  <si>
    <t>IC-1172</t>
  </si>
  <si>
    <t>Fact#: 351802 Rec#: 16240 VASQUEZ AYALA MARIA DE LOURDES</t>
  </si>
  <si>
    <t>IC-1171</t>
  </si>
  <si>
    <t>Fact#: 348396-350565-352859 Rec#: 32224 AGUILAR TOLEDO MARCELA ALEJANDRA</t>
  </si>
  <si>
    <t>IC-1168</t>
  </si>
  <si>
    <t>Fact#: 347536-350023-352257 Rec#: 32222 JURADO LARREA FABRICIO GUSTAVO</t>
  </si>
  <si>
    <t>Liquidacion de certificado de deposito 262096990 mas intereses generados</t>
  </si>
  <si>
    <t>DR-250</t>
  </si>
  <si>
    <t>Fact#: 351495 Rec#: 32221 ENRIQUE FEDERICO ARENAS PILATAXI</t>
  </si>
  <si>
    <t>Fact#: 347315-349794-352012 Rec#: 16239 PENA PAREDES PEDRO PABLO</t>
  </si>
  <si>
    <t>IC-1144</t>
  </si>
  <si>
    <t>Fact#: 346956-349431-351629 Rec#: 16238 BELGICA ALEXANDRA MALATS PENA</t>
  </si>
  <si>
    <t>IC-1143</t>
  </si>
  <si>
    <t>Fact#: 349222-351409 Rec#: 16237 DENISSE JUDITH FLORES HUERTA</t>
  </si>
  <si>
    <t>IC-1142</t>
  </si>
  <si>
    <t>Fact#: 348192-350421-352697 Rec#: 16236 SANCHEZ CONSTANTE RICHARD ALBERTO</t>
  </si>
  <si>
    <t>Fact#: 351795 Rec#: 16235 MORALES CASTRO SAMUEL</t>
  </si>
  <si>
    <t>Fact#: 347251-349729-351948 Rec#: 16234 CARRASCO ARANA LEONELA MERCEDES</t>
  </si>
  <si>
    <t>Fact#: 347142-349618-351832 Rec#: 16233 CAJAS BOHORQUEZ FREDDY XAVIER</t>
  </si>
  <si>
    <t>Fact#: 349813-352032 Rec#: 16232 PENAFIEL TAPIA FRANCISCO MIGUEL</t>
  </si>
  <si>
    <t>Fact#: 349826-352045 Rec#: 16231 GUTIERREZ HERNANDEZ RICARDO ALBERTO</t>
  </si>
  <si>
    <t>IC-1136</t>
  </si>
  <si>
    <t>Fact#: 352280 Rec#: 16230 CABRERA JIMENES FAUSTO IBAN</t>
  </si>
  <si>
    <t>IC-1135</t>
  </si>
  <si>
    <t>Fact#: 347461-349945-352172 Rec#: 16229 ROMERO VERSOZA RICARDO GERONIMO</t>
  </si>
  <si>
    <t>IC-1134</t>
  </si>
  <si>
    <t>Fact#: 349252 Rec#: 16228 WILLINGTON HUGO ROSALES MEDINA</t>
  </si>
  <si>
    <t>IC-1133</t>
  </si>
  <si>
    <t>Fact#: 322106-324847-327615-330411-333293-336234-339191-342187-345711-348214 Rec#: 16227 LOOR ROMERO HILDA MERCEDES</t>
  </si>
  <si>
    <t>IC-1132</t>
  </si>
  <si>
    <t>Fact#: 345099-347599-350087 Rec#: 16226 TRIVINO BARONA GEORGE XAVIER</t>
  </si>
  <si>
    <t>Fact#: 349882 Rec#: 16225 GRANADOS MUTIS JUAN PABLO</t>
  </si>
  <si>
    <t>Fact#: 350398 Rec#: 16224 CEDENO ANGULO JAIRO RENE</t>
  </si>
  <si>
    <t>Fact#: 341801-345324-347825 Rec#: 16223 CATAGUA CHALEN JOHANNA MARIELA</t>
  </si>
  <si>
    <t>Fact#: 348173-350415 Rec#: 16222 LANDA SANCHEZ JAZMIN ALEXANDRA</t>
  </si>
  <si>
    <t>Fact#: 344778-347405-349886 Rec#: 16221 CAICHE ROMERO GRACE SOFIA</t>
  </si>
  <si>
    <t>Fact#: 337790-340782-344306 Rec#: 16220 LOOR GOMEZ MARIA ANTONIETA</t>
  </si>
  <si>
    <t>Fact#: 346937-349407 Rec#: 16219 EDISON FERNANDO MERA CASTAÑEDA</t>
  </si>
  <si>
    <t>IC-1122</t>
  </si>
  <si>
    <t>Fact#: 344828-347434-349916 Rec#: 16218 MARTINEZ DAVILA YINET</t>
  </si>
  <si>
    <t>IC-1121</t>
  </si>
  <si>
    <t>Fact#: 338166-341157-344681 Rec#: 16217 CHIRIBOGA GONZALEZ DIGNA MERCEDES</t>
  </si>
  <si>
    <t>IC-1120</t>
  </si>
  <si>
    <t>Fact#: 335737-338682-341676-345200-347701 Rec#: 16216 MORAN POZO CRUZ HYDEE</t>
  </si>
  <si>
    <t>IC-1119</t>
  </si>
  <si>
    <t>Fact#: 348508 Rec#: 32220 ASESORIA ECONOMICA INTEGRAL ADVFINSERVICES S.A.</t>
  </si>
  <si>
    <t>IC-1117</t>
  </si>
  <si>
    <t>Fact#: 3483 Rec#: 32219 ZAPATA FLORES GILMAR FABRICIO</t>
  </si>
  <si>
    <t>Fact#: 345093-347596 Rec#: 32218 MALDONADO RODRIGUEZ RAUL ANTONIO</t>
  </si>
  <si>
    <t>Fact#: 344460-347200-349674 Rec#: 32217 RODRIGUEZ BADILLO GLENDA MARITZA</t>
  </si>
  <si>
    <t>Fact#: 350730 Rec#: 32216 WANHAI LINES ECUADOR S.A.</t>
  </si>
  <si>
    <t>Fact#: 350897 Rec#: 32215 RAMIREZ TAMAYO ENMA MERCEDES</t>
  </si>
  <si>
    <t>Fact#: 350892 Rec#: 32214 RAMIREZ TAMAYO ENMA MERCEDES</t>
  </si>
  <si>
    <t>Fact#: 350884 Rec#: 32213 SERVICIO &amp; MANTENIMIENTO INDUSTRIAL MANSEINSAJAB S.A</t>
  </si>
  <si>
    <t>Fact#: 350754 Rec#: 32212 LABORATORIOS RENALABSA S A</t>
  </si>
  <si>
    <t>Fact#: 349725 Rec#: 32211 MORAN CABELLO JUSUETH WENSTLAND</t>
  </si>
  <si>
    <t>Fact#: 351011 Rec#: 32210 ADMINASES S A</t>
  </si>
  <si>
    <t>Fact#: 346943-349414 Rec#: 32209 GALLEGOS ABARCA FILOMENA RUTH</t>
  </si>
  <si>
    <t>Fact#: 337831-340822-344347 Rec#: 16215 QUIÑONEZ SIMISTERRA CARLOS EFREN</t>
  </si>
  <si>
    <t>Fact#: 344805-347419-349899 Rec#: 16214 MOREIRA VELEZ MANUEL ISIDRO</t>
  </si>
  <si>
    <t>Fact#: 318448-321164-323921-326693-329458-332306-335225-338169-341160-344684 Rec#: 16213 CALI PINCAY SANDRA ELIZABETH</t>
  </si>
  <si>
    <t>Fact#: 350427 Rec#: 16212 TOMALA CEDENO ANATOLIA ESTHER</t>
  </si>
  <si>
    <t>Fact#: 350232 Rec#: 16211 CABEZA RODRIGUEZ PETER FABRICIO</t>
  </si>
  <si>
    <t>Fact#: 349779 Rec#: 16210 RUIZ SOLANO KELVIL ORLANDO</t>
  </si>
  <si>
    <t>Fact#: 347865-350240 Rec#: 16209 PARRAGA JOSE JUAN</t>
  </si>
  <si>
    <t>Fact#: 336170-339116-342111-345635-348138 Rec#: 16208 TRUJILL0 ELJURI ROBERTO FARID</t>
  </si>
  <si>
    <t>Fact#: 301963-304610-307365 Rec#: 16207 PARIAS QUINTERO FRANKLIN ANTONIO</t>
  </si>
  <si>
    <t>Fact#: 3495 Rec#: 16206 ZABALA BARRIONUEVO RITA CECILIA</t>
  </si>
  <si>
    <t>Fact#: 348167-350412 Rec#: 16205 LINDAO CEDENO KATHERIN LIZBETH</t>
  </si>
  <si>
    <t>Fact#: 350166 Rec#: 16204 RODRIGUEZ REYES JINSOP ORLIN</t>
  </si>
  <si>
    <t>Fact#: 348917 Rec#: 32208 SERGIO ANDRES SEMMINARIO VALENZUELA</t>
  </si>
  <si>
    <t>Fact#: 347388-349866 Rec#: 32206 MEDINA CRUZ JHONNY SERGIO</t>
  </si>
  <si>
    <t>IC-1064</t>
  </si>
  <si>
    <t>Fact#: 350978 Rec#: 32205 INDUSTRIAL JUVENALIS S.A.</t>
  </si>
  <si>
    <t>IC-1063</t>
  </si>
  <si>
    <t>Fact#: 348903 Rec#: 32204 VICTOR ANTONIO AGUSTO ALVARADO</t>
  </si>
  <si>
    <t>IC-1062</t>
  </si>
  <si>
    <t>Fact#: 348939 Rec#: 32203 LAURO DAVID TORRES CARRILLO</t>
  </si>
  <si>
    <t>IC-1061</t>
  </si>
  <si>
    <t>Fact#: 349938 Rec#: 16203 VALENCIA NIEVES BYRON BOLIVAR</t>
  </si>
  <si>
    <t>IC-1060</t>
  </si>
  <si>
    <t>Fact#: 336792-339787-343330-346358-348808 Rec#: 16202 CEDENO SOLIS ERICKA VANESSA</t>
  </si>
  <si>
    <t>IC-1059</t>
  </si>
  <si>
    <t>Fact#: 339916-343453-346476 Rec#: 16201 MARTHA ROCIO  TRIVIÑO GRIJALVA</t>
  </si>
  <si>
    <t>IC-1058</t>
  </si>
  <si>
    <t>Fact#: 350073 Rec#: 16200 TOALA VELEZ CONSUELO ELIZABETH</t>
  </si>
  <si>
    <t>Fact#: 349944 Rec#: 16199 PENA MENDOZA JEFFERSON RAFAEL</t>
  </si>
  <si>
    <t>Fact#: 3267-3498 Rec#: 16198 CHAVEZ ZAMBRANO BRYAN SEBASTIAN</t>
  </si>
  <si>
    <t>IC-1055</t>
  </si>
  <si>
    <t>Fact#: 349475 Rec#: 16197 ALEXANDRA JACKELINE SANCHEZ ZAMBRANO</t>
  </si>
  <si>
    <t>IC-1054</t>
  </si>
  <si>
    <t>Fact#: 350982 Rec#: 16196 SEGURIDAD &amp; PROTECCION TECNICA SEPROTECSECURITY CIA. LTDA.</t>
  </si>
  <si>
    <t>Fact#: 334760-337699-340691-344216 Rec#: 16195 LISETTE VICTORIA FRANCO CASTRO</t>
  </si>
  <si>
    <t>Fact#: 350037 Rec#: 16194 SANCHEZ QUINCHUELA INES MONICA</t>
  </si>
  <si>
    <t>IC-1051</t>
  </si>
  <si>
    <t>Fact#: 349515-350448 Rec#: 32202 ANGEL ROGELIO PUMA MEDINA</t>
  </si>
  <si>
    <t>Fact#: 348370-350540 Rec#: 32200 FLORES VELIZ CARMEN ROSA</t>
  </si>
  <si>
    <t>Fact#: 349775 Rec#: 32199 PAZMINO PRIETO SIXTO JAVIER</t>
  </si>
  <si>
    <t>Fact#: 347397-349875 Rec#: 32198 SILVA ARMAS MARIA TERESA</t>
  </si>
  <si>
    <t>IC-1008</t>
  </si>
  <si>
    <t>Fact#: 347996-350314 Rec#: 32197 LARA CHERE FREDY GONZALO</t>
  </si>
  <si>
    <t>IC-1007</t>
  </si>
  <si>
    <t>Fact#: 350653 Rec#: 32196 DORCIEN S.A</t>
  </si>
  <si>
    <t>IC-1006</t>
  </si>
  <si>
    <t>Fact#: 348954 Rec#: 32195 GLORIA ISABEL MITE LEON</t>
  </si>
  <si>
    <t>IC-1005</t>
  </si>
  <si>
    <t>Fact#: 350076 Rec#: 16193 INFANTE MINDIOLA JULIA MARLENE</t>
  </si>
  <si>
    <t>IC-999</t>
  </si>
  <si>
    <t>Fact#: 350624 Rec#: 16192 PAREDES LOPEZ MARIA PIEDAD</t>
  </si>
  <si>
    <t>IC-998</t>
  </si>
  <si>
    <t>Fact#: 347112-349589 Rec#: 16191 CARRIEL DELGADO SIRLYS JADIRA</t>
  </si>
  <si>
    <t>Fact#: 351034 Rec#: 16190 AYALA LATORRE JOSE LUIS</t>
  </si>
  <si>
    <t>Fact#: 3372-3579 Rec#: 16189 RODRIGUEZ GUEVARA MARIA AUGUSTA</t>
  </si>
  <si>
    <t>Fact#: 282491-284773-287033 Rec#: 16188 ISABELLA BELLETTINI CHAVEZ</t>
  </si>
  <si>
    <t>Fact#: 349920 Rec#: 16187 ROMMEL ANTONIO ZAMORA TRIGUERO</t>
  </si>
  <si>
    <t>Fact#: 333088-336013-338959-341955-345478-347981 Rec#: 16186 IZQUIERDO NOBOA ANDREA STEFANIA</t>
  </si>
  <si>
    <t>Fact#: 350941 Rec#: 16185 ALVARADO COBOS ALDO MANUEL</t>
  </si>
  <si>
    <t>Fact#: 349399 Rec#: 16184 EDWIN ANDRES REYES TOALA</t>
  </si>
  <si>
    <t>Fact#: 349708 Rec#: 16183 RAMIREZ RUIZ MILTON EMILIO</t>
  </si>
  <si>
    <t>Fact#: 347439-349921 Rec#: 16182 AVILA ORTIZ GEOVANNY FABRICIO</t>
  </si>
  <si>
    <t>Fact#: 347639-350110 Rec#: 16181 ALVAREZ BORRERO JUAN CARLOS</t>
  </si>
  <si>
    <t>Fact#: 349932 Rec#: 16180 GONZALEZ PENA WRLEY ARNULFO</t>
  </si>
  <si>
    <t>N/D PACIFICO TRANSF. ROLES DE PAGO 1ERA QUINCENA MES DE ENERO 2021</t>
  </si>
  <si>
    <t>N/D PACIFICO TRANSF. FONDOS DE RESERVA MES DE DICIEMBRE 2020</t>
  </si>
  <si>
    <t>N/D PACIFICO TRANSF. ANTICIPO A FACTURA#433 PABLO BAQUERIZO DAVILA</t>
  </si>
  <si>
    <t>Fact#: 350788 Rec#: 32194 JORGE ARTURO ZANABRIA VILLAMAR</t>
  </si>
  <si>
    <t>IC-1004</t>
  </si>
  <si>
    <t>Fact#: 350661 Rec#: 32193 LAUDE S.A. LAUDESA ADMINISTRADORA DE FONDOS Y FIDEICOMISOS</t>
  </si>
  <si>
    <t>IC-1003</t>
  </si>
  <si>
    <t>Fact#: 350336 Rec#: 32192 SANCHEZ MEDINA FELIX</t>
  </si>
  <si>
    <t>IC-1002</t>
  </si>
  <si>
    <t>Fact#: 350477 Rec#: 32191 SILVA ESPINOZA CARLOTA ELIZABETH</t>
  </si>
  <si>
    <t>IC-1001</t>
  </si>
  <si>
    <t>Fact#: 349128 Rec#: 32190 JAIME RICARDO ZUÑIGA RODRIGUEZ</t>
  </si>
  <si>
    <t>IC-1000</t>
  </si>
  <si>
    <t>Fact#: 349232 Rec#: 16179 ANDREA CANAHUATI CHAIN</t>
  </si>
  <si>
    <t>Fact#: 347152-349628 Rec#: 16178 CARRILLO ANCHUNDIA FLOR MARIA</t>
  </si>
  <si>
    <t>IC-984</t>
  </si>
  <si>
    <t>Fact#: 349335 Rec#: 16177 CESAR ORLANDO VALLEJO VERA</t>
  </si>
  <si>
    <t>IC-983</t>
  </si>
  <si>
    <t>Fact#: 350877 Rec#: 16176 CORPORACION DE TRANSPORTISTAS DEL ECUADOR S.A.</t>
  </si>
  <si>
    <t>IC-982</t>
  </si>
  <si>
    <t>Fact#: 347395-349873 Rec#: 16175 CHOLOTA OQUENDO JORDAN GONZALO</t>
  </si>
  <si>
    <t>IC-981</t>
  </si>
  <si>
    <t>Fact#: 346900-349369 Rec#: 16174 IRENE ZENOBIA MUÑIZ DELGADO</t>
  </si>
  <si>
    <t>Fact#: 349900 Rec#: 16173 ESCANDON DIAZ FRANCISCO DAVID</t>
  </si>
  <si>
    <t>Fact#: 350644 Rec#: 16172 ASOCIACION DE PROPIETARIOS VALLE ALTO ETAPA PARIS</t>
  </si>
  <si>
    <t>Fact#: 347856-350234 Rec#: 16171 PONCE GANCHOZO MARICELA RAQUEL</t>
  </si>
  <si>
    <t>Fact#: 323302-326067-328821-331653-334565-337503-340495-344022 Rec#: 16170 CRISTIAN DAVID LOOR CERVANTES</t>
  </si>
  <si>
    <t>Fact#: 757 Rec#: 32189 CONSORCIO VEOLIA-PROACTIVA</t>
  </si>
  <si>
    <t>Fact#: 349924 Rec#: 32187 FALCONI DUEÑAS ELISA MARIA</t>
  </si>
  <si>
    <t>Fact#: 350865 Rec#: 32186 PAYLESS SHOESOURCE ECUADOR CIA. LTDA.</t>
  </si>
  <si>
    <t>Fact#: 347577-350063 Rec#: 16169 MORALES MARCILLO YESENIA MONICA</t>
  </si>
  <si>
    <t>Fact#: 346875-349342 Rec#: 16168 YOFFRE TEODORO ROQUE APOLO</t>
  </si>
  <si>
    <t>Fact#: 3460 Rec#: 16167 ZAMBRANO OLMEDO VERONICA PATRICIA</t>
  </si>
  <si>
    <t>N/D PACIFICO TRANSF. CANCELACIÓN DE FACTURA#164445330, 164445331, 164445332, 164445333 CNT EP</t>
  </si>
  <si>
    <t>Fact#: 3438 Rec#: 16166 CACUANGO LINCANGO EDISON FABIAN</t>
  </si>
  <si>
    <t>Fact#: 3452 Rec#: 16165 CRUZ SANTANA MARCOS BOLIVAR</t>
  </si>
  <si>
    <t>Fact#: 3047-3291-3518 Rec#: 16164 CORREA CUNIN GRACIELA PIEDAD</t>
  </si>
  <si>
    <t>Fact#: 349854 Rec#: 16163 MIRABAL RODRIGUEZ CRISTINA</t>
  </si>
  <si>
    <t>Fact#: 348946 Rec#: 16162 JULIO LUIS ESPARZA  MORAN</t>
  </si>
  <si>
    <t>Fact#: 348942 Rec#: 16161 MARIA GERMANIA ZAMORA RUIZ</t>
  </si>
  <si>
    <t>Fact#: 350295 Rec#: 16160 VILLAMAR CARRANZA MARISOL DEL PILAR</t>
  </si>
  <si>
    <t>Fact#: 350756 Rec#: 16159 FILUS S.A</t>
  </si>
  <si>
    <t>Fact#: 350755 Rec#: 16158 FILUS S.A</t>
  </si>
  <si>
    <t>Fact#: 346711-349173 Rec#: 16157 EVELYN DAYANA LINO DELGADO</t>
  </si>
  <si>
    <t>Fact#: 347585-350072 Rec#: 16156 MARTINEZ ABAD DOUGLAS GUILLERMO</t>
  </si>
  <si>
    <t>Fact#: 349558 Rec#: 16155 MOROCHO CRUZ ELIZABETH MERCEDEZ</t>
  </si>
  <si>
    <t>Fact#: 321492-324243-327019-329787-332643-335567-338509-345025-350047 Rec#: 16154 RAMOS PACHAY JOSE MANUEL</t>
  </si>
  <si>
    <t>Fact#: 350281 Rec#: 16153 LAUZO MARISCAL MANUEL DAVID</t>
  </si>
  <si>
    <t>DUCHI ALCOSER JHONNY FERNANDO CANCELA TELEFONO 3909125 ABONA SGTE FACTURA</t>
  </si>
  <si>
    <t>AT-3211</t>
  </si>
  <si>
    <t>N/D POR COMISIONES DE WESTERN UNION POR RECAUDACION DEL 08/01/2021 AL 14/01/2021</t>
  </si>
  <si>
    <t>Fact#: 348881 Rec#: 32417 JORGE ALFREDO FRANCO MORAN</t>
  </si>
  <si>
    <t>IC-2218</t>
  </si>
  <si>
    <t>Fact#: 333337 Rec#: 32188 ANZOATEGUI SANTOS WENDY STEFANIA</t>
  </si>
  <si>
    <t>Fact#: 350144 Rec#: 16152 CORTEZ CANTOS  PEDRO PABLO</t>
  </si>
  <si>
    <t>Fact#: 346780-349244 Rec#: 16151 TERESA LEONOR SALAZAR PLUAS</t>
  </si>
  <si>
    <t>Fact#: 344487-347220-349694 Rec#: 16150 CASTRO DORADO MARJORIE LUCIA</t>
  </si>
  <si>
    <t>IC-921</t>
  </si>
  <si>
    <t>Fact#: 350273 Rec#: 16149 SANTANA MORENO SAUL AUGUSTO</t>
  </si>
  <si>
    <t>IC-920</t>
  </si>
  <si>
    <t>Fact#: 350227 Rec#: 16148 HERRERA LOOR GUILLERMO NILBERTO</t>
  </si>
  <si>
    <t>IC-919</t>
  </si>
  <si>
    <t>Fact#: 349347 Rec#: 16147 TEODOMIRO MAYO</t>
  </si>
  <si>
    <t>IC-918</t>
  </si>
  <si>
    <t>Fact#: 334855-337795-340787-344311 Rec#: 16146 JOHN FRANCISCO IZQUIERDO ZAVALA</t>
  </si>
  <si>
    <t>IC-917</t>
  </si>
  <si>
    <t>Fact#: 349434 Rec#: 16145 GALO ENRIQUE ESTUPIÑAN VERA</t>
  </si>
  <si>
    <t>IC-916</t>
  </si>
  <si>
    <t>Fact#: 350102 Rec#: 16144 SOLANO DE LA TORRE EFRAIN ALFREDO</t>
  </si>
  <si>
    <t>Fact#: 349808 Rec#: 16143 SIMISTERRA MICOLTA RUBEN DARIO</t>
  </si>
  <si>
    <t>Fact#: 349097 Rec#: 16142 JULIO CESAR MONCAYO CRESPIN</t>
  </si>
  <si>
    <t>Fact#: 349034 Rec#: 16141 ENCALADA SANCHEZ NIEVES ELIZABETH</t>
  </si>
  <si>
    <t>IC-912</t>
  </si>
  <si>
    <t>Fact#: 350849 Rec#: 16140 PACHECO CACERES DENISE ERIKA</t>
  </si>
  <si>
    <t>IC-911</t>
  </si>
  <si>
    <t>Fact#: 349811 Rec#: 16139 VALLE GONZALEZ LIDIA ELIZABETH</t>
  </si>
  <si>
    <t>IC-910</t>
  </si>
  <si>
    <t>Fact#: 301394-304057-306814 Rec#: 16138 NUBE MARLENE GONZALEZ CASTILLO</t>
  </si>
  <si>
    <t>IC-909</t>
  </si>
  <si>
    <t>Fact#: 345591-348094-350373 Rec#: 32185 NAVARRETE CEDENO RUTH ELIZABETH</t>
  </si>
  <si>
    <t>Fact#: 349904 Rec#: 32184 RAMOS MARCILLO CATHERINE LISSETTE</t>
  </si>
  <si>
    <t>Fact#: 350633 Rec#: 32183 ASOC. DE PROPIETARIOS URB. VIA AL SOL</t>
  </si>
  <si>
    <t>Fact#: 350776 Rec#: 32182 SERVICITY C A</t>
  </si>
  <si>
    <t>Fact#: 348958 Rec#: 32181 LOURDES JANET BRITO GUILLEN</t>
  </si>
  <si>
    <t>Fact#: 349871 Rec#: 32180 REIMBERG BADUY PETER PAUL</t>
  </si>
  <si>
    <t>Fact#: 350771 Rec#: 32179 CHRISTIAN JAVIER MIDEROS ROMERO</t>
  </si>
  <si>
    <t>IC-899</t>
  </si>
  <si>
    <t>Fact#: 348395 Rec#: 32178 CHICALA GARCIA GEOVANNY PATRICIO</t>
  </si>
  <si>
    <t>Fact#: 350813 Rec#: 32177 CIPORT &amp; TECNAC CIPTE C.L</t>
  </si>
  <si>
    <t>Fact#: 350830 Rec#: 32176 DATA TOOLS S.A.</t>
  </si>
  <si>
    <t>Fact#: 756-758 Rec#: 32175 F.V - AREA ANDINA S.A.</t>
  </si>
  <si>
    <t>Fact#: 350654 Rec#: 32174 LG ELECTRONICS PANAMA S.A</t>
  </si>
  <si>
    <t>NARANJO BENITES LUIS ALBERTO CANCELA TELEFONO 3907960 ABONA SGTE FACTURA, BCO PACIFICO POR VENTANILLA</t>
  </si>
  <si>
    <t>AT-3210</t>
  </si>
  <si>
    <t>N/D PACIFICO TRANSF. PLLAS. IESS NORMALES MES DE DIC 2020, COMPROBANTE#138166789</t>
  </si>
  <si>
    <t>N/D PACIFICO TRANSF. PAGO DE PLLAS. IESS AJUSTES MES DE DIC 2020, COMP#138177851</t>
  </si>
  <si>
    <t>N/D PACIFICO TRANSF. PAGO DE PLLAS. IESS FONDOS DE RESERVA MES DE DIC 2020, COMP#20662215</t>
  </si>
  <si>
    <t>N/D PACIFICO TRANSF. CANCELACIÓN DE FACTURA#26730572 CNEL EP</t>
  </si>
  <si>
    <t>N/D PACIFICO TRANSF. CANCELACIÓN DE FACTURA#26815569 CNEL EP</t>
  </si>
  <si>
    <t>N/D PACIFICO TRANSF. CANCELACIÓN DE FACTURA#26737862 CNEL EP</t>
  </si>
  <si>
    <t>N/D PACIFICO TRANSF. CANCELACIÓN DE FACTURA#26740478 CNEL EP, CTV, PERIODO 11/DIC/2020 AL 11/ENE/2021</t>
  </si>
  <si>
    <t>N/D PACIFICO TRANSF. CANCELACIÓN DE FACTURA#26750381 CNEL EP</t>
  </si>
  <si>
    <t>N/D PACIFICO TRANSF. CANCELACIÓN DE FACTURA#3801060 CNEL EP</t>
  </si>
  <si>
    <t>N/D PACIFICO PAGO DE PLLAS IESS PREST. HIPOTECARIO MES DE DIC 2020, COMP#9920008</t>
  </si>
  <si>
    <t>N/D PACIFICO PAGO DE PLLAS. IESS PREST. QUIROGRAFARIOS MES DE DIC 2020, COMP#32644391</t>
  </si>
  <si>
    <t>Fact#: 350831 Rec#: 32201 FERRUX S.A.</t>
  </si>
  <si>
    <t>Fact#: 348400-350570 Rec#: 16137 RODRIGUEZ PALMA NELSON IVAN</t>
  </si>
  <si>
    <t>Fact#: 347093-349569 Rec#: 16136 MORA GUERRERO HILDA ANTONIETA</t>
  </si>
  <si>
    <t>Fact#: 347497-349981 Rec#: 16135 NIETO PIN ANDREA ISABELA</t>
  </si>
  <si>
    <t>Fact#: 349024 Rec#: 16134 ROSA MARGARITA  BARRIGA CANTOS</t>
  </si>
  <si>
    <t>Fact#: 350114 Rec#: 16133 CASTRO BARZOLA KEVIN JONATHAN</t>
  </si>
  <si>
    <t>Fact#: 350947 Rec#: 16132 SPORTMEDIC.S.A</t>
  </si>
  <si>
    <t>Fact#: 350202 Rec#: 16131 SOLARTE SOLARTE HERNEY SEBASTIAN</t>
  </si>
  <si>
    <t>Fact#: 347481-349965 Rec#: 16130 DESINTONIO HUAYAMAVE ALBERTO LUIS</t>
  </si>
  <si>
    <t>Fact#: 347209-349683 Rec#: 16129 BAÑOS BARRAGAN FLOR AMERICA</t>
  </si>
  <si>
    <t>Fact#: 346503-348962 Rec#: 16128 MARCOS ROBERTO CALDERON VELASQUEZ</t>
  </si>
  <si>
    <t>Fact#: 349918 Rec#: 16127 SALAZAR TELLO NICOLAS EDUARDO</t>
  </si>
  <si>
    <t>Fact#: 340629-344154-346998 Rec#: 16126 BETSY DEL ROCIO GARCIA CASTRO</t>
  </si>
  <si>
    <t>Fact#: 335543-338485-341477-345001 Rec#: 16125 MARTINEZ OCHOA BRISTOL ANTONIO</t>
  </si>
  <si>
    <t>Fact#: 313122-315777-318473 Rec#: 16124 NUNEZ CEDENO ANGY SABRINA</t>
  </si>
  <si>
    <t>Fact#: 3128-3373-3580 Rec#: 16123 LARREA NARVAEZ SANDY FERNANDA</t>
  </si>
  <si>
    <t>Fact#: 350044 Rec#: 16122 HERNANDEZ MARIA ISABEL</t>
  </si>
  <si>
    <t>Fact#: 334692-337631-340622-344147 Rec#: 32173 DELIA JUDITH LEON LOPEZ</t>
  </si>
  <si>
    <t>Fact#: 349046 Rec#: 32172 VINUEZA GALLARDO CARLOS ENRIQUE</t>
  </si>
  <si>
    <t>Fact#: 348922 Rec#: 32171 NORMA ELISA YEPEZ JIMENEZ</t>
  </si>
  <si>
    <t>Fact#: 350753 Rec#: 32170 ELECTROMOOM S.A.</t>
  </si>
  <si>
    <t>Fact#: 347600-350088 Rec#: 32169 AREVALO PONCE JAVIER MAURICIO</t>
  </si>
  <si>
    <t>Fact#: 349715 Rec#: 32168 LOZANO OTERO RICARDO REIMONDI LOZANO OTERO</t>
  </si>
  <si>
    <t>Fact#: 345566-348069 Rec#: 32167 VALLEJO PROANO FABIAN IGNACIO</t>
  </si>
  <si>
    <t>IC-839</t>
  </si>
  <si>
    <t>Fact#: 337231-340223-343752 Rec#: 32166 GASTON ALLAND CORTEZ ESPINOZA</t>
  </si>
  <si>
    <t>IC-838</t>
  </si>
  <si>
    <t>N/D PACIFICO CANCELACIÓN DE FACTURA#72125760  OTECEL PLAN CORP.</t>
  </si>
  <si>
    <t>Fact#: 349147 Rec#: 32164 JAVIER SANTIAGO GUZHÑAY ANDRADE</t>
  </si>
  <si>
    <t>IC-833</t>
  </si>
  <si>
    <t>Fact#: 349574 Rec#: 32163 QUINTO BAZAN JOHNN HENRY</t>
  </si>
  <si>
    <t>IC-823</t>
  </si>
  <si>
    <t>Fact#: 348902 Rec#: 32162 FATIMA LEONOR AGUILAR MURILLO</t>
  </si>
  <si>
    <t>IC-822</t>
  </si>
  <si>
    <t>Fact#: 350391 Rec#: 32161 GARCIA SORIANO LUZ MARIA</t>
  </si>
  <si>
    <t>IC-821</t>
  </si>
  <si>
    <t>Fact#: 349100 Rec#: 32160 GRACIELA GUADALUPE MEREJILDO VERA</t>
  </si>
  <si>
    <t>IC-820</t>
  </si>
  <si>
    <t>Fact#: 349853 Rec#: 32159 MANRIQUE OSORIO XAVIER ENRIQUE</t>
  </si>
  <si>
    <t>IC-819</t>
  </si>
  <si>
    <t>Fact#: 348964 Rec#: 32158 BELINDA LEONOR QUIJANO GOMEZ</t>
  </si>
  <si>
    <t>IC-818</t>
  </si>
  <si>
    <t>Fact#: 349963 Rec#: 32157 VELIZ CASTRO RICARDO XAVIER</t>
  </si>
  <si>
    <t>IC-817</t>
  </si>
  <si>
    <t>Fact#: 347621-350099 Rec#: 16121 CHELE TORO OSCAR EULICES</t>
  </si>
  <si>
    <t>IC-816</t>
  </si>
  <si>
    <t>Fact#: 350935 Rec#: 16120 ALVARADO BASURTO SEGUNDO GABRIEL</t>
  </si>
  <si>
    <t>IC-815</t>
  </si>
  <si>
    <t>Fact#: 349842 Rec#: 16119 BUENAVENTURA RODRIGUEZ MARIA DEL CARMEN</t>
  </si>
  <si>
    <t>IC-814</t>
  </si>
  <si>
    <t>Fact#: 347430-349910 Rec#: 16118 VELASTEGUI COELLAR MICHAEL PATRICIO</t>
  </si>
  <si>
    <t>IC-813</t>
  </si>
  <si>
    <t>Fact#: 347322-349801 Rec#: 16117 PARRALES GONZALEZ NIXA JASMIN</t>
  </si>
  <si>
    <t>IC-812</t>
  </si>
  <si>
    <t>Fact#: 345692-348195-350423 Rec#: 16116 MITE LOPEZ JESSICA ALEXANDRA</t>
  </si>
  <si>
    <t>IC-811</t>
  </si>
  <si>
    <t>Fact#: 331536-334449-337385-340376-343906 Rec#: 16115 LUIS FERNANDO FALCONES ZAMBRANO</t>
  </si>
  <si>
    <t>IC-810</t>
  </si>
  <si>
    <t>Fact#: 3186-3437 Rec#: 16114 SANCHEZ RIOS FERNANDO ALEXIS</t>
  </si>
  <si>
    <t>IC-809</t>
  </si>
  <si>
    <t>Fact#: 346852-349318 Rec#: 16113 WILINTON ALEXANDER GUZMAN MUÑETON</t>
  </si>
  <si>
    <t>Fact#: 347686-350135 Rec#: 16112 BHURANI SUMEET</t>
  </si>
  <si>
    <t>IC-807</t>
  </si>
  <si>
    <t>Fact#: 349255 Rec#: 16111 ULISES MARTIN VARGAS FIGUEROA</t>
  </si>
  <si>
    <t>IC-806</t>
  </si>
  <si>
    <t>Fact#: 347242-349718 Rec#: 16110 FREIRE ORTIZ PEDRO PABLO</t>
  </si>
  <si>
    <t>IC-805</t>
  </si>
  <si>
    <t>Fact#: 350410 Rec#: 16109 PRECIADO SALVATIERRA PATRICIA PAOLA</t>
  </si>
  <si>
    <t>Fact#: 344537-347250-349728 Rec#: 16108 DUCHI ALCOSER JHONNY FERNANDO</t>
  </si>
  <si>
    <t>Fact#: 346317-348767-350969 Rec#: 32152 ROYAL TOUR S.A.</t>
  </si>
  <si>
    <t>AMERICAN EXPRESS CANCELACION DEBITO TARJETAS GUAYAQUIL- PAGO DE FACT 349153- 349462- 348537- 350766- 349580- 350876- 350878- 349834- 350066- 350155- 350247- 350794- 350293- 350361- 350296- 350117- 350242- 348004- 350318- 350979- 350474  - 350503- 350490</t>
  </si>
  <si>
    <t>Fact#: 345862-348356-350525 Rec#: 32134 AGUILAR BALSECA FANNY TERESA</t>
  </si>
  <si>
    <t>Fact#: 331386-334297-337231 Rec#: 32165 GASTON ALLAND CORTEZ ESPINOZA</t>
  </si>
  <si>
    <t>IC-837</t>
  </si>
  <si>
    <t>Fact#: 350738 Rec#: 32155 STEVEN MICHAEL RAMOS MEZA</t>
  </si>
  <si>
    <t>Fact#: 348510 Rec#: 32154 STEVEN MICHAEL RAMOS MEZA</t>
  </si>
  <si>
    <t>Fact#: 345982 Rec#: 32153 STEVEN MICHAEL RAMOS MEZA</t>
  </si>
  <si>
    <t>Fact#: 349073 Rec#: 32151 ITURRALDE TORRES EDUARDO ANIBAL</t>
  </si>
  <si>
    <t>Fact#: 349146 Rec#: 32150 CAROLINA AMALIA IDROVO PIEDRAHITA</t>
  </si>
  <si>
    <t>Fact#: 349789 Rec#: 32149 PINO MAULME ENRIQUE GABRIEL</t>
  </si>
  <si>
    <t>Fact#: 350024 Rec#: 32148 ANDRADE AMOROZO AUGUSTO GUIDO</t>
  </si>
  <si>
    <t>Fact#: 349288 Rec#: 32147 CAROLINA ALICIA EGAS NUÑEZ</t>
  </si>
  <si>
    <t>Fact#: 346736-349196 Rec#: 16107 JESUS NEREYDA CHIQUITO VERA</t>
  </si>
  <si>
    <t>Fact#: 348973 Rec#: 16106 SANDRA PATRICIA MOREJON LLANOS</t>
  </si>
  <si>
    <t>Fact#: 350355 Rec#: 16105 HENRIQUEZ PAZMINO EVELIN MARGARITA</t>
  </si>
  <si>
    <t>IC-767</t>
  </si>
  <si>
    <t>Fact#: 347492-349976 Rec#: 16104 BOLANO HURTADO SUGEY MERY</t>
  </si>
  <si>
    <t>IC-766</t>
  </si>
  <si>
    <t>Fact#: 344786-347410-349891 Rec#: 16103 MINA MONTANO JUVER RUBEN</t>
  </si>
  <si>
    <t>Fact#: 347104-349581 Rec#: 16102 ARIAS FLORES ENRIQUE SEBASTIAN</t>
  </si>
  <si>
    <t>Fact#: 324550-327331-330102-332962-335886-338831-341826-345349-347850 Rec#: 16101 VELEZ LOZANO HECTOR EDUARDO</t>
  </si>
  <si>
    <t>Fact#: 350632 Rec#: 16100 ANGELICA MARIA BARCIA SAN MARTIN</t>
  </si>
  <si>
    <t>Fact#: 347287-349764 Rec#: 16099 BELARDE BRAVO WILLIAM JASMANI</t>
  </si>
  <si>
    <t>Fact#: 337075-340067-343598 Rec#: 16098 CAJAS MARISCAL JAVIER IGNACIO</t>
  </si>
  <si>
    <t>Fact#: 348535-350764 Rec#: 16097 FOODSERVEC FOOD SERVICE ECUADOR S.A</t>
  </si>
  <si>
    <t>Fact#: 348269-350455 Rec#: 16096 GANCINO TOAPANTA NAPOLEON ISRAEL</t>
  </si>
  <si>
    <t>Fact#: 349883 Rec#: 16095 CEVALLOS BRIONES GEMA PAOLA</t>
  </si>
  <si>
    <t>Fact#: 346750-349211 Rec#: 16094 CARLOS JOSE SALAZAR ALBAN</t>
  </si>
  <si>
    <t>Fact#: 334943-337885-340876-344401 Rec#: 16093 HERBAS MORALES CHRISTIAN ALFREDO</t>
  </si>
  <si>
    <t>Fact#: 335494-338436-341428-344952 Rec#: 16092 BRAVO BRIONES JOSE FEDERICO</t>
  </si>
  <si>
    <t>Fact#: 318547-321261-324020-326793-329557-332408-335329-338271-341263-344787 Rec#: 16091 ITURRALDE THORET ALBERTO FELIX</t>
  </si>
  <si>
    <t>Fact#: 336573-339565-343109-346137 Rec#: 16090 LOOR VIEJO ESTEFANIA EILLIN</t>
  </si>
  <si>
    <t>Fact#: 350097 Rec#: 16089 ROMO VILLAFUERTE MARIA ISABEL</t>
  </si>
  <si>
    <t>Fact#: 347514-349999 Rec#: 16088 MORENO GOMEZ DUQUE ALFREDO</t>
  </si>
  <si>
    <t>Fact#: 347521-350006 Rec#: 16087 MORENO GOMEZ DUQUE ALFREDO</t>
  </si>
  <si>
    <t>Fact#: 347037-349510 Rec#: 32135 WENDY LORENA QUIMIS CHOEZ</t>
  </si>
  <si>
    <t>Fact#: 350308 Rec#: 32133 VARGAS ZAMBRANO HILDA MARIA</t>
  </si>
  <si>
    <t>N/D PACIFICO TRANSF. CANCELACIÓN DE FACTURAS#3969215 CNEL EP</t>
  </si>
  <si>
    <t>N/D PACIFICO TRANSF. CANCELACIÓN DE FACTURA#3675548 CNEL EP</t>
  </si>
  <si>
    <t>N/D PACIFICO TRANSF. CANCELACIÓN DE FACTURA#164445334 CNT EP</t>
  </si>
  <si>
    <t>PAGO TARJ. CORP. CUOTA MES DE ENE-2021</t>
  </si>
  <si>
    <t>Fact#: 346957-349432 Rec#: 16086 YULEXI ANDREA ANGULO ROSALES</t>
  </si>
  <si>
    <t>Fact#: 348952 Rec#: 16085 DANIELA DEL CAMPO VALDEZ</t>
  </si>
  <si>
    <t>IC-747</t>
  </si>
  <si>
    <t>Fact#: 350845 Rec#: 16084 CORPORACION GUERRERO DEL CAMPO CORPGUECONSA</t>
  </si>
  <si>
    <t>Fact#: 350846 Rec#: 16083 CORPORACION GUERRERO DEL CAMPO CORPGUECONSA</t>
  </si>
  <si>
    <t>IC-745</t>
  </si>
  <si>
    <t>Fact#: 349724 Rec#: 16082 YANEZ ARROYO LUIS ALBERTO</t>
  </si>
  <si>
    <t>IC-744</t>
  </si>
  <si>
    <t>Fact#: 347365-349844 Rec#: 16081 AGUIRRE HURTADO KATHERINE ELIZABETH</t>
  </si>
  <si>
    <t>IC-743</t>
  </si>
  <si>
    <t>Fact#: 349132 Rec#: 16080 MARIA ELENA MORA LUZCANDO</t>
  </si>
  <si>
    <t>IC-742</t>
  </si>
  <si>
    <t>Fact#: 344403-347161-349637 Rec#: 16079 ACOSTA HERNANDEZ MARITZA NOEMI</t>
  </si>
  <si>
    <t>Fact#: 349025 Rec#: 16078 PATRICIA ALEXANDRA  COBOS JARA</t>
  </si>
  <si>
    <t>IC-740</t>
  </si>
  <si>
    <t>Fact#: 349710 Rec#: 16077 DE LA O CHACON JOSEPH CHRISTIAN</t>
  </si>
  <si>
    <t>IC-739</t>
  </si>
  <si>
    <t>Fact#: 346982-349456 Rec#: 16076 ALEX RICARDO POLIT LUNA</t>
  </si>
  <si>
    <t>IC-738</t>
  </si>
  <si>
    <t>Fact#: 347164-349640 Rec#: 16075 GOMEZ LOPEZ SAMUEL ELEODORO</t>
  </si>
  <si>
    <t>Fact#: 347966-350300 Rec#: 16074 LOPEZ MALDONADO CARLOS ROLANDO</t>
  </si>
  <si>
    <t>Fact#: 349958 Rec#: 16073 LINDAO RODRIGUEZ STEFANY NARCISA</t>
  </si>
  <si>
    <t>Fact#: 347921-350270 Rec#: 16072 MARIN RIVERA FREDDY OMAR</t>
  </si>
  <si>
    <t>Fact#: 350993 Rec#: 16071 LANDIVAR VELIZ CARLOS ALEX</t>
  </si>
  <si>
    <t>Fact#: 344371-347141-349617 Rec#: 16070 RAMIREZ ROJAS  RONNEY RAFAEL</t>
  </si>
  <si>
    <t>Fact#: 349846 Rec#: 16069 ESCOBAR HERRERA EDISON EDUARDO</t>
  </si>
  <si>
    <t>IC-731</t>
  </si>
  <si>
    <t>Fact#: 351030 Rec#: 16068 MENDOZA VELEZ CARLOS DAMIAN</t>
  </si>
  <si>
    <t>IC-730</t>
  </si>
  <si>
    <t>Fact#: 332528-335451-338393-341385-344909 Rec#: 16067 ESTUPINAN PEREZ EDUARDO</t>
  </si>
  <si>
    <t>IC-729</t>
  </si>
  <si>
    <t>Fact#: 347389-349867 Rec#: 16066 GUAMAN IZA LILIANA ARACELY</t>
  </si>
  <si>
    <t>IC-728</t>
  </si>
  <si>
    <t>Fact#: 347353-349832 Rec#: 16065 ARGUELLO VACILIA HILDA ARACELLY</t>
  </si>
  <si>
    <t>IC-727</t>
  </si>
  <si>
    <t>Fact#: 347593-350080 Rec#: 16064 MENENDEZ GARCIA RODRIGO ANTONIO</t>
  </si>
  <si>
    <t>IC-726</t>
  </si>
  <si>
    <t>Fact#: 344540-347253-349731 Rec#: 32146 DURAN POLIT MARIA DANIELLA</t>
  </si>
  <si>
    <t>IC-725</t>
  </si>
  <si>
    <t>Fact#: 345058-347578-350064 Rec#: 32145 SALAS PLUAS PAULO ROBERTO</t>
  </si>
  <si>
    <t>IC-724</t>
  </si>
  <si>
    <t>Fact#: 349454 Rec#: 32144 XAVIER ALFREDO ZANABRIA VILLAMAR</t>
  </si>
  <si>
    <t>IC-723</t>
  </si>
  <si>
    <t>Fact#: 3443 Rec#: 32143 GUATEMAL COLIMBA JUAN BAUTISTA</t>
  </si>
  <si>
    <t>IC-722</t>
  </si>
  <si>
    <t>Fact#: 349166 Rec#: 32142 MANUEL ISAIAS TAPIA LOPEZ</t>
  </si>
  <si>
    <t>IC-721</t>
  </si>
  <si>
    <t>Fact#: 348479-350707 Rec#: 32141 LABORATORIO BIOTANICALS DEL ECUADOR S.A.</t>
  </si>
  <si>
    <t>IC-720</t>
  </si>
  <si>
    <t>Fact#: 348624-350859 Rec#: 32140 ALVARADO PIN EMILIO PABLO</t>
  </si>
  <si>
    <t>IC-719</t>
  </si>
  <si>
    <t>Fact#: 349746 Rec#: 32139 PAZ SANCHEZ ROXANA MICHELLE</t>
  </si>
  <si>
    <t>IC-718</t>
  </si>
  <si>
    <t>Fact#: 350372 Rec#: 32138 CHACON CALDERON SARITA MARIA DE LOS ANGEL</t>
  </si>
  <si>
    <t>IC-717</t>
  </si>
  <si>
    <t>Fact#: 348940 Rec#: 32137 ALVARO CORNEJO RODRIGUEZ</t>
  </si>
  <si>
    <t>IC-716</t>
  </si>
  <si>
    <t>Fact#: 346512-348971 Rec#: 32136 FAUSTO LEONARDO  ORTIZ DE LA CADENA</t>
  </si>
  <si>
    <t>Fact#: 350790 Rec#: 32132 CONSTRU-YA S.A.</t>
  </si>
  <si>
    <t>Fact#: 751 Rec#: 32131 CONSORCIO VEOLIA-PROACTIVA</t>
  </si>
  <si>
    <t>Fact#: 745 Rec#: 32130 CONSORCIO VEOLIA-PROACTIVA</t>
  </si>
  <si>
    <t>Registro.- Liquidacion actas por Pago de Vacaciones, actual y acumuladas de todo el personal activo</t>
  </si>
  <si>
    <t>EN-8</t>
  </si>
  <si>
    <t>Fact#: 346874-349341 Rec#: 16063 MARTHA WENDY VILLEGAS MONTOYA</t>
  </si>
  <si>
    <t>Fact#: 337879-340870-344394 Rec#: 16062 GAVINO LARREATEGUI  JUAN ALFREDO</t>
  </si>
  <si>
    <t>Fact#: 346462-348920 Rec#: 16061 LINO MARTIN  BRITO BRITO</t>
  </si>
  <si>
    <t>Fact#: 350254 Rec#: 16060 PONCE BURGOS NORMA ISABEL</t>
  </si>
  <si>
    <t>Fact#: 350253 Rec#: 16059 PONCE BURGOS NORMA ISABEL</t>
  </si>
  <si>
    <t>Fact#: 337443-340435-343963 Rec#: 16058 SEGUNDO ELEUTERIO OROVIO COROZO</t>
  </si>
  <si>
    <t>Fact#: 322078-324817-327589-330386-333267-336209-339156-342151-345675-348178 Rec#: 16057 PARADA PARRA MIGUEL ANGEL</t>
  </si>
  <si>
    <t>Fact#: 348884 Rec#: 16056 ORLANDO BOLIVAR RAMOS CRUZ</t>
  </si>
  <si>
    <t>IC-586</t>
  </si>
  <si>
    <t>Fact#: 350931 Rec#: 16055 SOLIS REYES OMAR MICHAEL</t>
  </si>
  <si>
    <t>IC-585</t>
  </si>
  <si>
    <t>Fact#: 349947 Rec#: 16054 MOLINA PALMA WALTER DANIEL</t>
  </si>
  <si>
    <t>IC-584</t>
  </si>
  <si>
    <t>Fact#: 350297 Rec#: 32129 GABINO MIRANDA DAVID EDUARDO</t>
  </si>
  <si>
    <t>IC-582</t>
  </si>
  <si>
    <t>Fact#: 281383-283689-285972 Rec#: 32128 CARLOS PALMIRO SILVA TOASA</t>
  </si>
  <si>
    <t>IC-581</t>
  </si>
  <si>
    <t>Fact#: 348509-350737 Rec#: 32127 ANEMASA S.A.</t>
  </si>
  <si>
    <t>IC-567</t>
  </si>
  <si>
    <t>Fact#: 349260 Rec#: 32126 FEDERICO GUILLERMO VARAS CHIQUITO</t>
  </si>
  <si>
    <t>IC-566</t>
  </si>
  <si>
    <t>Fact#: 348974 Rec#: 32125 PABLO ENRIQUE GONZENBACH IGLESIAS</t>
  </si>
  <si>
    <t>IC-565</t>
  </si>
  <si>
    <t>Fact#: 349648 Rec#: 32124 HERRERA DIAZ HIALINA AMALIA DE LAS ROSAS</t>
  </si>
  <si>
    <t>IC-564</t>
  </si>
  <si>
    <t>Fact#: 347031-349504 Rec#: 16053 PEDRO ROBERTO MERELLO LOPEZ</t>
  </si>
  <si>
    <t>IC-563</t>
  </si>
  <si>
    <t>Fact#: 348953 Rec#: 16052 EDDY MANUEL CHAVEZ CEDEÑO</t>
  </si>
  <si>
    <t>IC-562</t>
  </si>
  <si>
    <t>Fact#: 346466-348924 Rec#: 16051 ALFREDO BARRIGA HOLGUIN</t>
  </si>
  <si>
    <t>IC-561</t>
  </si>
  <si>
    <t>Fact#: 327638-330438-333323-336264-339224-342225-345749-348252 Rec#: 16050 VILLAFUERTE PEREZ PETRA MARIA</t>
  </si>
  <si>
    <t>IC-560</t>
  </si>
  <si>
    <t>Fact#: 346878-349345 Rec#: 16049 MATILDE PILAR MORA QUIROZ</t>
  </si>
  <si>
    <t>IC-559</t>
  </si>
  <si>
    <t>Fact#: 347223-349698 Rec#: 16048 MOLINA ALCIVAR CESAR RAUL</t>
  </si>
  <si>
    <t>IC-558</t>
  </si>
  <si>
    <t>Fact#: 340674-344199-347028 Rec#: 16047 NANCY VERONICA RODRIGUEZ GUTIERREZ</t>
  </si>
  <si>
    <t>IC-557</t>
  </si>
  <si>
    <t>Fact#: 349935 Rec#: 16046 BERMELLO PONCE SALBADOR ATILIO</t>
  </si>
  <si>
    <t>IC-556</t>
  </si>
  <si>
    <t>Fact#: 348891 Rec#: 16045 EDDA GLADYS PARRALES GOMEZ</t>
  </si>
  <si>
    <t>IC-555</t>
  </si>
  <si>
    <t>Fact#: 349000 Rec#: 16044 LAURA BEATRIZ  ENCALADA ESPINOZA</t>
  </si>
  <si>
    <t>IC-554</t>
  </si>
  <si>
    <t>Fact#: 347249-349726 Rec#: 16043 GOMEZ PENAFIEL BLANCA VICTORIA</t>
  </si>
  <si>
    <t>IC-553</t>
  </si>
  <si>
    <t>Fact#: 348661-350896 Rec#: 16042 VIOSCULPT ECUADOR S.A.</t>
  </si>
  <si>
    <t>IC-552</t>
  </si>
  <si>
    <t>Fact#: 335587-338530-341522-345046 Rec#: 16041 SANCHEZ PARRA MAYURI EMILIA</t>
  </si>
  <si>
    <t>Fact#: 350952 Rec#: 16040 TRSC ENTERPRISES S.A</t>
  </si>
  <si>
    <t>IC-550</t>
  </si>
  <si>
    <t>Fact#: 346946-349417 Rec#: 16039 RUTH ANGELICA VERDEZOTO GAIBOR</t>
  </si>
  <si>
    <t>Fact#: 349498 Rec#: 16038 JUVIKA JOHANNA CABUYALES HUACON</t>
  </si>
  <si>
    <t>Fact#: 3621 Rec#: 16037 INKA BURGER</t>
  </si>
  <si>
    <t>IC-547</t>
  </si>
  <si>
    <t>Fact#: 350959-350960 Rec#: 32110 TOPFOOD CIA. LTDA.</t>
  </si>
  <si>
    <t>IC-2536</t>
  </si>
  <si>
    <t>Fact#: 348544 Rec#: 16032 SOCIEDAD DE HECHO SAMBAC</t>
  </si>
  <si>
    <t>Fact#: 350680 Rec#: 32123 SOLUCIONES SEGURAS S.A</t>
  </si>
  <si>
    <t>IC-534</t>
  </si>
  <si>
    <t>Fact#: 350241 Rec#: 16036 CERCADO MENDOZA MARIA AUXILIADORA</t>
  </si>
  <si>
    <t>Fact#: 348741 Rec#: 16035 BRODERIN S.A</t>
  </si>
  <si>
    <t>Fact#: 324849-327616-333295-336235-339194-342190-345714-348217 Rec#: 16034 PILLIGUA ANCHUNDIA SEGUNDO BAUDILLO</t>
  </si>
  <si>
    <t>Fact#: 347923-350271 Rec#: 16033 RIVADENEIRA ZAMBRANO ANGEL FAUSTO</t>
  </si>
  <si>
    <t>Fact#: 347018-349492 Rec#: 16031 ELIDA DEL CARMEN MOREIRA VELEZ</t>
  </si>
  <si>
    <t>Fact#: 348673 Rec#: 16030 CAMPOS VELEZ HENRRY GONZALO</t>
  </si>
  <si>
    <t>Fact#: 339847-343390-346426 Rec#: 16029 ANA MIRIAM ACUÑA AUCATOMA</t>
  </si>
  <si>
    <t>Fact#: 348847 Rec#: 16028 DENNIS TOMALA ALBA ROSA</t>
  </si>
  <si>
    <t>Fact#: 348772 Rec#: 16027 VDS C.C.C</t>
  </si>
  <si>
    <t>IC-510</t>
  </si>
  <si>
    <t>Fact#: 348768 Rec#: 16026 ANTEPARAS FOOD COMPANY ANTEFOOD S.A.</t>
  </si>
  <si>
    <t>IC-509</t>
  </si>
  <si>
    <t>Fact#: 346782-349246 Rec#: 16025 CARLA MARIA GARCIA ANDRADE</t>
  </si>
  <si>
    <t>IC-508</t>
  </si>
  <si>
    <t>Fact#: 347512-349997 Rec#: 16024 BENITEZ SIGUENZA CECILIA DEL CARMEN</t>
  </si>
  <si>
    <t>Fact#: 347538-350025 Rec#: 16023 FERNANDEZ ZAMBRANO ELSA VIOLETA</t>
  </si>
  <si>
    <t>IC-506</t>
  </si>
  <si>
    <t>Fact#: 348099-350376 Rec#: 16022 JIMENEZ OCHOA LUIS ENRIQUE</t>
  </si>
  <si>
    <t>IC-505</t>
  </si>
  <si>
    <t>Fact#: 348135-350395 Rec#: 16021 CABEZAS QUINONEZ LEONELA KATHERINE</t>
  </si>
  <si>
    <t>Fact#: 349230 Rec#: 16020 UBALDO HELIODORO MOTOCHE MEDINA</t>
  </si>
  <si>
    <t>Fact#: 347812-350208 Rec#: 16019 VILLACIS ALVARADO EDGAR EUSTORGIO</t>
  </si>
  <si>
    <t>Fact#: 347386-349864 Rec#: 16018 AGUINO ARTEAGA MARIA DE LOURDES</t>
  </si>
  <si>
    <t>Fact#: 349044 Rec#: 16017 ARCE FLORES NORBERTO</t>
  </si>
  <si>
    <t>Fact#: 325063-327831-330634-333524-336472-339469-343017-346044 Rec#: 16016 DANILO ROMO LEROUX ZUÑIGA</t>
  </si>
  <si>
    <t>Fact#: 322305-323300-326065-328819-331651-334563-337501-340493-344020 Rec#: 16015 DANILO ROMO LEROUX ZUÑIGA</t>
  </si>
  <si>
    <t>Fact#: 340583-344108-346966 Rec#: 16014 JOSE BENITO MUÑOZ ZAMBRANO</t>
  </si>
  <si>
    <t>Fact#: 348372-350542 Rec#: 16013 CASTRO GALARZA RUTH CECILIA</t>
  </si>
  <si>
    <t>Fact#: 3432-3622 Rec#: 32122 LAMINA ALMEIDA SOLEDAD ANGELICA</t>
  </si>
  <si>
    <t>Fact#: 349773 Rec#: 32121 PERALTA CASTILLO ELSA DEL ROCIO</t>
  </si>
  <si>
    <t>Fact#: 347477-349961 Rec#: 32120 MERA ESPINOZA LEONEL ANTONIO</t>
  </si>
  <si>
    <t>Fact#: 347478-349962 Rec#: 32119 MERA ESPINOZA LEONEL ANTONIO</t>
  </si>
  <si>
    <t>Fact#: 350787 Rec#: 32118 EDGAR MARCELO MERA VASQUEZ</t>
  </si>
  <si>
    <t>Fact#: 347670-350126 Rec#: 32117 ROCA AGUILERA FRANCISCO</t>
  </si>
  <si>
    <t>Fact#: 3281-3510 Rec#: 32116 LAMIÑA ALMEIDA  SOLEDAD ANGELICA</t>
  </si>
  <si>
    <t>Fact#: 348875 Rec#: 32115 LORENA VANONI ARMIJOS</t>
  </si>
  <si>
    <t>Fact#: 350851 Rec#: 32114 DELGADO VINTIMILLA CARLOS FERNANDO</t>
  </si>
  <si>
    <t>Fact#: 348397-350566 Rec#: 32112 CAMPOSANO VACA GLENDA MARJORIE</t>
  </si>
  <si>
    <t>Fact#: 350745 Rec#: 32111 OPENGROUP S.A.</t>
  </si>
  <si>
    <t>Fact#: 346933 Rec#: 32109 CARMEN ELIZABETH BELTRAN GARCES</t>
  </si>
  <si>
    <t>Fact#: 347128-349605 Rec#: 32107 MORENO VELOZ ELECTRA AZUCENA</t>
  </si>
  <si>
    <t>Fact#: 329683-332537 Rec#: 32223 SAMPEDRO BASURTO MARIA JULIANA</t>
  </si>
  <si>
    <t>Fact#: 348442-350668 Rec#: 32108 DVT DEL ECUADOR S.A</t>
  </si>
  <si>
    <t>Fact#: 348386-350555 Rec#: 32106 DE SANTIS NEIRA JUAN JAIME CRISTIAN</t>
  </si>
  <si>
    <t>Fact#: 350829 Rec#: 32105 SINERGIA MARIN SANCHEZ S.A. SINERMASA</t>
  </si>
  <si>
    <t>Fact#: 336742-339736-350962 Rec#: 32097 COBREXLEG SA</t>
  </si>
  <si>
    <t>Fact#: 3578 Rec#: 32104 CALLE DURAN DIEGO VINICIO</t>
  </si>
  <si>
    <t>Fact#: 346580-349041 Rec#: 32103 RIOS ORELLANA INGRID DE LA CRUZ</t>
  </si>
  <si>
    <t>Fact#: 348770-350972 Rec#: 32102 PAN ZI</t>
  </si>
  <si>
    <t>Fact#: 348769-350971 Rec#: 32101 PAN ZI</t>
  </si>
  <si>
    <t>Fact#: 346876-349343 Rec#: 32100 ROMELIA JACOBA FERNANDEZ RAMIREZ</t>
  </si>
  <si>
    <t>Fact#: 348880 Rec#: 32099 LOURDES DEL ROCIO CHAVEZ VELEZ</t>
  </si>
  <si>
    <t>Fact#: 349587 Rec#: 32098 LOPEZ PALACIOS DANNY CHRISTIAN</t>
  </si>
  <si>
    <t>Fact#: 346730-349191 Rec#: 32096 CARLOS IVAN AGUIRRE GARCIA</t>
  </si>
  <si>
    <t>Fact#: 348965 Rec#: 32095 FERNANDO GABRIEL AVILES USCOCOVICH</t>
  </si>
  <si>
    <t>Fact#: 348478-350706 Rec#: 32094 LABORATORIO BIOTANICALS DEL ECUADOR S.A.</t>
  </si>
  <si>
    <t>Fact#: 350986 Rec#: 32093 SERVICIO DE OFICINA COMPUTARIZADO SEROFICOM S.A.</t>
  </si>
  <si>
    <t>Fact#: 348882 Rec#: 32092 SIMON EMILIO BRIONES LOOR</t>
  </si>
  <si>
    <t>Fact#: 349818 Rec#: 16012 VELASQUEZ POLIT NINA NATASHA</t>
  </si>
  <si>
    <t>Fact#: 349700 Rec#: 16011 ARROBA VALENCIA  JULIO ZENON</t>
  </si>
  <si>
    <t>Fact#: 349448 Rec#: 16010 JACKELINE LUCIA LOOR ORTEGA</t>
  </si>
  <si>
    <t>Fact#: 347319-349798 Rec#: 16009 ZHICAY CARRILLO FRANKLIN GEOVANNY</t>
  </si>
  <si>
    <t>Fact#: 348725 Rec#: 16008 SPORTMEDIC.S.A</t>
  </si>
  <si>
    <t>Fact#: 348161-350408 Rec#: 16007 HOLGUIN VAQUE PEDRO PABLO</t>
  </si>
  <si>
    <t>Fact#: 347264-349742 Rec#: 16006 DUPRE MELLA HERNAN TADEO</t>
  </si>
  <si>
    <t>Fact#: 347520-350005 Rec#: 16005 ORTEGA ARGUELLO GISELLA LORENA</t>
  </si>
  <si>
    <t>Fact#: 347804-350203 Rec#: 16004 ARROYO MOURA RENE PATRICIO</t>
  </si>
  <si>
    <t>Fact#: 347198-349673 Rec#: 16003 PERALTA GODOY JORGE DAVID</t>
  </si>
  <si>
    <t>Fact#: 349336 Rec#: 16002 CECILIA ISABEL PORTILLA ESPINOZA</t>
  </si>
  <si>
    <t>Fact#: 344351-347125-349602 Rec#: 16001 ORRALA BALLADARES  JENNIFFER ALEXANDRA</t>
  </si>
  <si>
    <t>Fact#: 347216-349690 Rec#: 16000 SALEM ONETO MARIA AUXILIADORA</t>
  </si>
  <si>
    <t>Fact#: 347229-349704 Rec#: 15999 CAZAR ERAZO RODRIGO ARTURO</t>
  </si>
  <si>
    <t>Fact#: 347300-349778 Rec#: 15998 VALLEJO MARTINEZ LEIDIZ DIANA</t>
  </si>
  <si>
    <t>Fact#: 349360 Rec#: 15997 FELIX EDUARDO CARRERA CEDEÑO</t>
  </si>
  <si>
    <t>Fact#: 349037 Rec#: 15996 SALAZAR CARRILLO MARIA ANDREA</t>
  </si>
  <si>
    <t>Fact#: 348013-350323 Rec#: 15995 PENAFIEL MOSQUERA MIRNA LORGIA</t>
  </si>
  <si>
    <t>IC-391</t>
  </si>
  <si>
    <t>Fact#: 347029-349502 Rec#: 15994 NARCISA MIRELLA ANDRADE SALTOS</t>
  </si>
  <si>
    <t>IC-390</t>
  </si>
  <si>
    <t>Fact#: 346888-349356 Rec#: 15993 JORJY JIMY RIVERA MONTIEL</t>
  </si>
  <si>
    <t>IC-389</t>
  </si>
  <si>
    <t>Fact#: 347576-350062 Rec#: 15992 BALSECA CALVA GRACIELA RAQUEL</t>
  </si>
  <si>
    <t>Fact#: 346781-349245 Rec#: 15991 MOISES SIGIFREDO OBANDO MONTENEGRO</t>
  </si>
  <si>
    <t>Fact#: 319875-322643-325400-328147-330968-333883-336829-339840-343383-346420 Rec#: 15990 CARMEN CECILIA SORIA FLORENCIA</t>
  </si>
  <si>
    <t>Fact#: 344181-347016-349490 Rec#: 15989 DAVID PETER CHAVEZ GUALE</t>
  </si>
  <si>
    <t>Fact#: 349302 Rec#: 15988 JAVIER ENRIQUE ARTEAGA MENENDEZ</t>
  </si>
  <si>
    <t>Fact#: 348326 Rec#: 32091 BATTEN SORIANO CARLOS ARTURO</t>
  </si>
  <si>
    <t>IC-367</t>
  </si>
  <si>
    <t>Fact#: 346513 Rec#: 32089 CHRISTIAN ARTHUR KONANZ SCHOTEL</t>
  </si>
  <si>
    <t>IC-359</t>
  </si>
  <si>
    <t>LUIS GALO IDROBO ACEBO CANCELA TELEFONO 3903240 ABONA SGTE FACTURA, PAGO WETSERN UNION</t>
  </si>
  <si>
    <t>AT-3207</t>
  </si>
  <si>
    <t>Fact#: 339796 Rec#: 32008 REPLACHEM SA REPRESENTACIONES PLASTICAS Y QUIMICAS</t>
  </si>
  <si>
    <t>Fact#: 350919 Rec#: 32090 MARRIOTT S.A</t>
  </si>
  <si>
    <t>IC-364</t>
  </si>
  <si>
    <t>Fact#: 347302-349780 Rec#: 32088 JARAMILLO RIVERA WILLIAN ADOLFO</t>
  </si>
  <si>
    <t>IC-358</t>
  </si>
  <si>
    <t>Fact#: 346063-348573-350801 Rec#: 32087 FINANCORE NET SERVICIOS TRANSACIONALES FINANCIEROS FICONET S.A.</t>
  </si>
  <si>
    <t>IC-233</t>
  </si>
  <si>
    <t>Fact#: 320734-323485-326252-329010-331848-334761-337700-340692-344217 Rec#: 32086 JORGE ALBERTO NORERO SANTOS</t>
  </si>
  <si>
    <t>IC-232</t>
  </si>
  <si>
    <t>Fact#: 3588 Rec#: 32085 JIMENEZ BERNAL TANIA BEATRIZ</t>
  </si>
  <si>
    <t>IC-231</t>
  </si>
  <si>
    <t>Fact#: 349979 Rec#: 32084 VILLON SORIANO DIOSELINA SOLEDAD</t>
  </si>
  <si>
    <t>IC-230</t>
  </si>
  <si>
    <t>Fact#: 349782 Rec#: 32083 GONZALEZ SANCHEZ CESAR IVAN</t>
  </si>
  <si>
    <t>IC-229</t>
  </si>
  <si>
    <t>Fact#: 346520-348978 Rec#: 32082 MARIA DOLORES COBOS MARMOLEJO</t>
  </si>
  <si>
    <t>IC-228</t>
  </si>
  <si>
    <t>Fact#: 346463-348921 Rec#: 32081 ELIANA JOANELY BARCHI GUTIERREZ</t>
  </si>
  <si>
    <t>Fact#: 349120 Rec#: 32080 GUILLERMO IGNACIO JORGE BAQUERIZO VASQUEZ</t>
  </si>
  <si>
    <t>IC-225</t>
  </si>
  <si>
    <t>Fact#: 348779-350977 Rec#: 32079 MÜLLER CARDENAS MICHAEL</t>
  </si>
  <si>
    <t>IC-224</t>
  </si>
  <si>
    <t>Fact#: 348529-350757 Rec#: 32078 WILMER JONAS MEJIA LEON</t>
  </si>
  <si>
    <t>IC-223</t>
  </si>
  <si>
    <t>Fact#: 347861-350237 Rec#: 32077 MONTES BRIONES JEFFERSON ANTONIO</t>
  </si>
  <si>
    <t>IC-222</t>
  </si>
  <si>
    <t>Fact#: 347862-350238 Rec#: 32076 MONTES BRIONES JEFFERSON ANTONIO</t>
  </si>
  <si>
    <t>IC-221</t>
  </si>
  <si>
    <t>Fact#: 347238-349713 Rec#: 32075 ZAMBRANO MOREIRA LUIS ALFREDO</t>
  </si>
  <si>
    <t>Fact#: 349377 Rec#: 32074 CRISTIAN ALAN PARRALES TUMBACO</t>
  </si>
  <si>
    <t>Fact#: 347317-349796 Rec#: 32073 BERNAL MORAN ALEX XAVIER</t>
  </si>
  <si>
    <t>Fact#: 348470-350696 Rec#: 32072 JORGE RODRIGUEZ Y DUQUE</t>
  </si>
  <si>
    <t>Fact#: 350354 Rec#: 32071 CASTRO ESPINALES LUCELINA PRIMITIVA</t>
  </si>
  <si>
    <t>Fact#: 347535-350022 Rec#: 32070 GUERRERO RENDON VICTORIA EDITA</t>
  </si>
  <si>
    <t>Fact#: 350641 Rec#: 32069 ASOC. PRO. NEW YORK 12 DE SEPTIEMBRE</t>
  </si>
  <si>
    <t>Fact#: 350634 Rec#: 32068 ASOC. PRO. NEW YORK 12 DE SEPTIEMBRE</t>
  </si>
  <si>
    <t>Fact#: 349396 Rec#: 32067 MELCHOR MAURICIO VALENCIA PEREZ</t>
  </si>
  <si>
    <t>Fact#: 349199 Rec#: 32066 MIRIAM ANTONIETA MARIDUEÑA VALENZUELA</t>
  </si>
  <si>
    <t>Fact#: 350385 Rec#: 15987 MONTEALEGRE PEDRO JOAQUIN</t>
  </si>
  <si>
    <t>Fact#: 3511 Rec#: 15986 GUERRERO CASTRO ROSA ELVIRA</t>
  </si>
  <si>
    <t>Fact#: 349835 Rec#: 15985 ORTEGA CONFORME  JANET AURORA</t>
  </si>
  <si>
    <t>Fact#: 349929 Rec#: 15984 FERNANDEZ PACHECO DIANA ISABEL</t>
  </si>
  <si>
    <t>Fact#: 349869 Rec#: 15983 YUMBLA MENDIETA MONICA ELIZABETH</t>
  </si>
  <si>
    <t>Fact#: 346608-349068 Rec#: 15982 LOPEZ LOPEZ WASHINGTON FERMIN</t>
  </si>
  <si>
    <t>Fact#: 350298 Rec#: 15981 SANCHEZ PEREZ FRANCISCO ROBERTO</t>
  </si>
  <si>
    <t>Fact#: 348977 Rec#: 15980 MARCOS ALFREDO CHANG HI FONG</t>
  </si>
  <si>
    <t>Fact#: 348285-350468 Rec#: 15979 ALAVA CORNEJO JOSE ISRAEL</t>
  </si>
  <si>
    <t>Fact#: 348890 Rec#: 15978 LIDIA JUDITH OJEDA RUIZ</t>
  </si>
  <si>
    <t>Fact#: 347795-350197 Rec#: 15977 BUSTAMANTE CHUQUIMARCA SANDRA ELIZABETH</t>
  </si>
  <si>
    <t>Fact#: 347926-350274 Rec#: 15976 MACIAS GRACIA JOHNNY FRANCISCO</t>
  </si>
  <si>
    <t>Fact#: 349583 Rec#: 15975 SUAREZ MAGALLANES JULIO ALFONSO</t>
  </si>
  <si>
    <t>Fact#: 349022 Rec#: 15974 MARIA DEL CARMEN VERA VALVERDE</t>
  </si>
  <si>
    <t>Fact#: 339888-343428-346453 Rec#: 15973 FREDERIC HUMBERTO RIVERA ADUM</t>
  </si>
  <si>
    <t>Fact#: 348810 Rec#: 15972 LANDIVAR VELIZ CARLOS ALEX</t>
  </si>
  <si>
    <t>Fact#: 346737-349197 Rec#: 15971 MARIA DEL ROSARIO GUZMAN MASPONS</t>
  </si>
  <si>
    <t>Fact#: 350173 Rec#: 15970 ALZAMORA ALVARADO HECTOR JAVIER</t>
  </si>
  <si>
    <t>Fact#: 347134-349610 Rec#: 15969 BURGOS BRIONES MARIA PAMELA</t>
  </si>
  <si>
    <t>Fact#: 3501 Rec#: 15968 ESPIN BIFARINI LOURDES TAMARA</t>
  </si>
  <si>
    <t>Fact#: 344527-347243-349719 Rec#: 15967 SARMIENTO SARMIENTO JULIO RODRIGO</t>
  </si>
  <si>
    <t>Fact#: 344706-347359-349839 Rec#: 15966 CORTEZ AVILES PEDRO ROGELIO</t>
  </si>
  <si>
    <t>Fact#: 347529-350015 Rec#: 15965 TOBAR MOROCHO JOSE AUGUSTO</t>
  </si>
  <si>
    <t>Fact#: 349226 Rec#: 15964 KEVIN BLADIMIR PONCE GREFA</t>
  </si>
  <si>
    <t>Fact#: 348000-350316 Rec#: 15963 MERA NERO JHONNY ALEXANDER</t>
  </si>
  <si>
    <t>Fact#: 346778-349242 Rec#: 15962 RUBEN ESTEBAN URRUTIA VINUEZA</t>
  </si>
  <si>
    <t>Fact#: 3288-3516 Rec#: 15961 SANGUNA RON TANIA GRICELDA</t>
  </si>
  <si>
    <t>Fact#: 347791-350194 Rec#: 15960 MENDEZ CARABALI FREDDY MANUEL</t>
  </si>
  <si>
    <t>Fact#: 350311 Rec#: 15959 LEON GARCIA MARCELA VERONICA</t>
  </si>
  <si>
    <t>Fact#: 349795 Rec#: 15958 ROMAN ALVARADO LILIAN ISIDORA</t>
  </si>
  <si>
    <t>Fact#: 349792 Rec#: 15957 ROCAFUERTE FIGUEROA DILGLA MARIANELA</t>
  </si>
  <si>
    <t>Fact#: 347279-349756 Rec#: 15956 GONZALEZ MURO CARLOS LUIS</t>
  </si>
  <si>
    <t>Fact#: 349048 Rec#: 15955 NELIS MARIA PINARGOTE YEPEZ</t>
  </si>
  <si>
    <t>Fact#: 347140-349616 Rec#: 15954 MURILLO MIRANDA GUILLERMO XAVIER</t>
  </si>
  <si>
    <t>Fact#: 345716-348219-350435 Rec#: 15953 PENA MUENTES MARCELA EDELMIRA</t>
  </si>
  <si>
    <t>Fact#: 3406 Rec#: 32063 SANTIAGO JAVIER NIETO CARRERA</t>
  </si>
  <si>
    <t>Fact#: 348241-350440 Rec#: 32062 VERA  CARCHIPULLA DOUGLAS  JOEL</t>
  </si>
  <si>
    <t>Fact#: 348241 Rec#: 32061 VERA  CARCHIPULLA DOUGLAS  JOEL</t>
  </si>
  <si>
    <t>Fact#: 346728-349189 Rec#: 32060 GIOMAR PAOLA CHOEZ CATUTO</t>
  </si>
  <si>
    <t>Fact#: 349124 Rec#: 32059 MARIA CRISTINA LOAIZA BREVI</t>
  </si>
  <si>
    <t>Fact#: 348945 Rec#: 32058 OMAR  PALADINES CORDOVA</t>
  </si>
  <si>
    <t>Fact#: 3574 Rec#: 32007 CABEZAS GUERRA MARIA DEL CARMEN</t>
  </si>
  <si>
    <t>Fact#: 3365 Rec#: 32006 CABEZAS GUERRA MARIA DEL CARMEN</t>
  </si>
  <si>
    <t>Fact#: 341199-344723-347369 Rec#: 32057 CASTILLO PALMA DANIEL ALFREDO</t>
  </si>
  <si>
    <t>IC-135</t>
  </si>
  <si>
    <t>Fact#: 350648 Rec#: 32056 AUTOMEKANO CIA. LTDA</t>
  </si>
  <si>
    <t>Fact#: 350642 Rec#: 32055 ASOC. DE PROPIETARIOS URB. TERRASOL</t>
  </si>
  <si>
    <t>IC-132</t>
  </si>
  <si>
    <t>Fact#: 350639 Rec#: 32054 EFFICACITAS CONSULTORA CIA.LTDA.</t>
  </si>
  <si>
    <t>IC-131</t>
  </si>
  <si>
    <t>Fact#: 350638 Rec#: 32053 EFFICACITAS CONSULTORA CIA.LTDA.</t>
  </si>
  <si>
    <t>IC-130</t>
  </si>
  <si>
    <t>Fact#: 350637 Rec#: 32052 EFFICACITAS CONSULTORA CIA.LTDA.</t>
  </si>
  <si>
    <t>IC-129</t>
  </si>
  <si>
    <t>Fact#: 350732 Rec#: 32051 BELLUSCIO S.A.</t>
  </si>
  <si>
    <t>Fact#: 350833 Rec#: 32050 INDUVERIKA S.A.</t>
  </si>
  <si>
    <t>IC-127</t>
  </si>
  <si>
    <t>Fact#: 350740 Rec#: 32049 DUPROCSA S.A.</t>
  </si>
  <si>
    <t>IC-126</t>
  </si>
  <si>
    <t>Fact#: 349980 Rec#: 32048 CANDO REYES JOSE MAURICIO</t>
  </si>
  <si>
    <t>IC-125</t>
  </si>
  <si>
    <t>Fact#: 348885 Rec#: 32047 GISELLE MARIELA CLEMENTE VERA</t>
  </si>
  <si>
    <t>IC-124</t>
  </si>
  <si>
    <t>Fact#: 348987 Rec#: 32046 FRANKLIN JOAQUIN  DOMINGUEZ VARGAS</t>
  </si>
  <si>
    <t>IC-123</t>
  </si>
  <si>
    <t>Fact#: 350186 Rec#: 32045 ZULVY BEDON LAGOS</t>
  </si>
  <si>
    <t>IC-122</t>
  </si>
  <si>
    <t>Fact#: 348871 Rec#: 32044 EVA MARIA VINUEZA OCAÑA</t>
  </si>
  <si>
    <t>IC-120</t>
  </si>
  <si>
    <t>Fact#: 348887 Rec#: 32043 JUAN JOSE CHACON PACHECO</t>
  </si>
  <si>
    <t>IC-119</t>
  </si>
  <si>
    <t>Fact#: 349136 Rec#: 32042 LUIS CARLOS ABAD YCAZA</t>
  </si>
  <si>
    <t>IC-118</t>
  </si>
  <si>
    <t>Fact#: 349258 Rec#: 32041 ANTONIO IGNACIO ARTEAGA FERAUD</t>
  </si>
  <si>
    <t>IC-117</t>
  </si>
  <si>
    <t>Fact#: 349043 Rec#: 32040 MANRIQUEZ SALAZAR MARIA PAZ</t>
  </si>
  <si>
    <t>IC-116</t>
  </si>
  <si>
    <t>Fact#: 349453 Rec#: 32039 RICARDO PABLO FALCONI DUEÑAS</t>
  </si>
  <si>
    <t>IC-113</t>
  </si>
  <si>
    <t>Fact#: 348926 Rec#: 32038 JENNY CEDEÑO CAAMAÑO</t>
  </si>
  <si>
    <t>IC-112</t>
  </si>
  <si>
    <t>Fact#: 348878 Rec#: 32037 ROBERTO MUZZIO NARANJO</t>
  </si>
  <si>
    <t>IC-111</t>
  </si>
  <si>
    <t>Fact#: 349040 Rec#: 32036 CARLOS ALBERTO RENDON PALMA</t>
  </si>
  <si>
    <t>IC-110</t>
  </si>
  <si>
    <t>Fact#: 349058 Rec#: 32035 TERESA DE LA CRUZ TOSCANO BRITO</t>
  </si>
  <si>
    <t>IC-109</t>
  </si>
  <si>
    <t>Fact#: 348874 Rec#: 32034 MARIA ROSA DUNN YCAZA</t>
  </si>
  <si>
    <t>IC-108</t>
  </si>
  <si>
    <t>Fact#: 350326 Rec#: 32033 JOSE FRANCISCO  FERNANDEZ   ESPINOZA</t>
  </si>
  <si>
    <t>IC-107</t>
  </si>
  <si>
    <t>Fact#: 348888 Rec#: 32032 JAIRO ALBERTO GOMEZ COELLO</t>
  </si>
  <si>
    <t>IC-106</t>
  </si>
  <si>
    <t>Fact#: 348899 Rec#: 32031 ISABEL ROSARIO QUINDE SORIANO</t>
  </si>
  <si>
    <t>Fact#: 349368 Rec#: 32030 FERNANDO XAVIER DROUET CEDEÑO</t>
  </si>
  <si>
    <t>Fact#: 350416 Rec#: 32029 NIEVES RODRIGUEZ JORGE ELIECER</t>
  </si>
  <si>
    <t>IC-103</t>
  </si>
  <si>
    <t>Fact#: 349804 Rec#: 32028 ESPANA BAJANA STEFANIA ELIZABETH</t>
  </si>
  <si>
    <t>IC-102</t>
  </si>
  <si>
    <t>Fact#: 349205 Rec#: 32027 GUILLERMO ELOY SERRANO GOMEZ</t>
  </si>
  <si>
    <t>Fact#: 348931 Rec#: 32026 JOSE JOAQUIN OLMEDO CASTELLO</t>
  </si>
  <si>
    <t>Fact#: 349190 Rec#: 32025 JUAN XAVIER BENEDETI RIPALDA</t>
  </si>
  <si>
    <t>Fact#: 349970 Rec#: 32024 PERALTA BENITEZ ROBERTO ELIAS</t>
  </si>
  <si>
    <t>Fact#: 348984 Rec#: 32023 FAUSTO EDUARDO  CARBO RIVERA</t>
  </si>
  <si>
    <t>Fact#: 349410 Rec#: 32022 CARLOS ADALBERTO SALAVARRIA PALMA</t>
  </si>
  <si>
    <t>Fact#: 348963 Rec#: 32021 PAULA JESUS SALAZAR MACIAS</t>
  </si>
  <si>
    <t>IC-95</t>
  </si>
  <si>
    <t>Fact#: 349629 Rec#: 32020 GILBERT SILVA CECILIA MARIA</t>
  </si>
  <si>
    <t>Fact#: 349127 Rec#: 32019 LUIS EDUARDO SANCHEZ TIMM</t>
  </si>
  <si>
    <t>IC-93</t>
  </si>
  <si>
    <t>Fact#: 350069 Rec#: 32018 SUSANA HERMELINDA ANALUISA HARO</t>
  </si>
  <si>
    <t>IC-92</t>
  </si>
  <si>
    <t>Fact#: 349116 Rec#: 32017 GISELLA MARIA YUNES ANDRADE</t>
  </si>
  <si>
    <t>Fact#: 348925 Rec#: 32016 MONICA CRIOLLO SALAZAR</t>
  </si>
  <si>
    <t>Fact#: 348937 Rec#: 32015 LUIS CESAR GAMARRA GONZALES</t>
  </si>
  <si>
    <t>IC-89</t>
  </si>
  <si>
    <t>Fact#: 349030 Rec#: 32014 ANA LUCRECIA  CABRERA GARCIA</t>
  </si>
  <si>
    <t>Fact#: 350027 Rec#: 32013 VINUEZA GARCIA EDISON EDUARDO</t>
  </si>
  <si>
    <t>Fact#: 348908 Rec#: 32012 KETTY ARACELY GAROFALO LEON</t>
  </si>
  <si>
    <t>Fact#: 349312 Rec#: 32011 CARLOS BENJAMIN ROSALES PINO</t>
  </si>
  <si>
    <t>Fact#: 349042 Rec#: 32010 UVIDIA SALTOS  CARLOS BOLIVAR</t>
  </si>
  <si>
    <t>Fact#: 349421 Rec#: 32009 RICARDO ARMANDO COLOMA MOLINA</t>
  </si>
  <si>
    <t>Fact#: 346663 Rec#: 32005 MARIA CRISTINA LOAIZA BREVI</t>
  </si>
  <si>
    <t>Fact#: 349754 Rec#: 32004 LOGROÑO REYES VICENTE JAVIER</t>
  </si>
  <si>
    <t>Fact#: 3473 Rec#: 15952 CRUZ JOSE AMABLE</t>
  </si>
  <si>
    <t>Fact#: 350077 Rec#: 15951 PARRALES CABRERA TEOFILO CELESTINO</t>
  </si>
  <si>
    <t>Fact#: 321279-324037-326811-329577-332429-335350-338292-341284-344808 Rec#: 15950 CANDEL LOPEZ DOUGLAS KEVIN</t>
  </si>
  <si>
    <t>Fact#: 348550 Rec#: 15949 ALLINPUBLICIDAD&amp;MARKETING S A</t>
  </si>
  <si>
    <t>Fact#: 341120-344645-347323 Rec#: 15948 ZAMORA AVILA ANGELA MARIA</t>
  </si>
  <si>
    <t>Fact#: 323242-326007-328759-331589-334501-337438-340430-343958 Rec#: 15947 LUDGARDA CRISTINA SILVA JAUREGUI</t>
  </si>
  <si>
    <t>Fact#: 349350 Rec#: 15946 JAVIER FEDERICO VILLON ANASTACIO</t>
  </si>
  <si>
    <t>Fact#: 3449 Rec#: 15945 CADENA CHONTASI OLGA MARIA</t>
  </si>
  <si>
    <t>Fact#: 348077-350360 Rec#: 15944 MARTINEZ LOOR LOURDES ELIZABETH</t>
  </si>
  <si>
    <t>Fact#: 331442-334355-337289-340280-343810 Rec#: 15943 HOLGER FREDDY CAMPOVERDE CARBAJO</t>
  </si>
  <si>
    <t>IC-65</t>
  </si>
  <si>
    <t>Fact#: 349777 Rec#: 15942 PILAY QUINDE ALEXI ANDRES</t>
  </si>
  <si>
    <t>IC-64</t>
  </si>
  <si>
    <t>Fact#: 349186 Rec#: 15941 NUBIA CICELY LOPEZ CONTRERAS</t>
  </si>
  <si>
    <t>IC-63</t>
  </si>
  <si>
    <t>Fact#: 349455 Rec#: 15940 CARLOS RAUL CARPIO FREIRE</t>
  </si>
  <si>
    <t>IC-62</t>
  </si>
  <si>
    <t>Fact#: 349622 Rec#: 15939 MERCHAN  PEREZ FABIAN BERNARDINO</t>
  </si>
  <si>
    <t>IC-61</t>
  </si>
  <si>
    <t>Fact#: 347072-349547 Rec#: 15938 ROBAYO GONZALEZ ROBERTO JAVIER</t>
  </si>
  <si>
    <t>IC-60</t>
  </si>
  <si>
    <t>Fact#: 322493-325252-328010-330817-333709-336653-339646-343191-346219 Rec#: 15937 MORANTE VILLARREAL ROBERTO OMAR</t>
  </si>
  <si>
    <t>IC-59</t>
  </si>
  <si>
    <t>Fact#: 322339-325096-327863-330667-333556-336502-339499-343047-346074 Rec#: 15936 MORANTE VILLARREAL ROBERTO OMAR</t>
  </si>
  <si>
    <t>IC-58</t>
  </si>
  <si>
    <t>Fact#: 346789-349253 Rec#: 15935 NAIM ANTONIO YUNES MARIDUEÑA</t>
  </si>
  <si>
    <t>IC-57</t>
  </si>
  <si>
    <t>Fact#: 350171 Rec#: 15934 VITE CALDERON PEDRO PABLO</t>
  </si>
  <si>
    <t>IC-56</t>
  </si>
  <si>
    <t>Fact#: 350057 Rec#: 15933 FLORES GORDILLO LUIS EDUARDO</t>
  </si>
  <si>
    <t>Fact#: 349413 Rec#: 15932 EDUARDO CAMPOSANO ULLOA</t>
  </si>
  <si>
    <t>Fact#: 350457 Rec#: 15931 LAINEZ FRANCO MILDRED BETSABE</t>
  </si>
  <si>
    <t>Fact#: 349129 Rec#: 15930 CESAR AUGUSTO BAQUERIZO AROSEMENA</t>
  </si>
  <si>
    <t>Fact#: 344744-347383-349861 Rec#: 15929 INTRIAGO GANCHOZO ANGELA MERCEDES</t>
  </si>
  <si>
    <t>Fact#: 350029 Rec#: 15928 CUEVA SAREZ JENNIFER STEFANIA</t>
  </si>
  <si>
    <t>Fact#: 349501 Rec#: 15927 MAYI CECIBEL VILLACRES GUZMAN</t>
  </si>
  <si>
    <t>Fact#: 323067-325829-328579-331404-334315-337249-340240-343769 Rec#: 15926 GISELA LEONOR GARCIA VARGAS</t>
  </si>
  <si>
    <t>Fact#: 349590 Rec#: 15925 VASQUEZ AYALA MARIA DE LOURDES</t>
  </si>
  <si>
    <t>Fact#: 3505 Rec#: 15924 GUTIERREZ ALVAREZ TERESA EUGENIA</t>
  </si>
  <si>
    <t>Fact#: 349452 Rec#: 15923 CARLOS ENRIQUE PAZ FIALLOS</t>
  </si>
  <si>
    <t>Fact#: 350337 Rec#: 15922 ARAUJO AGUIRRE JUAN JOSE</t>
  </si>
  <si>
    <t>Fact#: 347188-349663 Rec#: 15921 VERA GUZMAN SILVIA AZUCENA</t>
  </si>
  <si>
    <t>IC-17</t>
  </si>
  <si>
    <t>Fact#: 349975 Rec#: 15920 QUIMI LOPEZ FROILAN TITO</t>
  </si>
  <si>
    <t>IC-16</t>
  </si>
  <si>
    <t>Fact#: 350419 Rec#: 15919 MENDEZ LAINEZ RUTH ELIZABETH</t>
  </si>
  <si>
    <t>IC-15</t>
  </si>
  <si>
    <t>Fact#: 337324-340315-343845 Rec#: 15918 MARIA ELIZABETH SANTOS MACIAS</t>
  </si>
  <si>
    <t>IC-14</t>
  </si>
  <si>
    <t>Fact#: 347940-350284 Rec#: 15917 MORENO TELLO CELI DURINDANA</t>
  </si>
  <si>
    <t>IC-13</t>
  </si>
  <si>
    <t>Fact#: 321879-324631-327413-330184-333044-335968-338913-341909-345432-347935 Rec#: 15916 MORAN MERA SANDRA ISABEL</t>
  </si>
  <si>
    <t>IC-12</t>
  </si>
  <si>
    <t>Fact#: 345636-348139-350396 Rec#: 15915 RIZZO BASTIDAS CECILIA ELIZABETH</t>
  </si>
  <si>
    <t>IC-11</t>
  </si>
  <si>
    <t>Fact#: 350471 Rec#: 15914 SORIA LAMAN HARRY SUN</t>
  </si>
  <si>
    <t>Fact#: 350252 Rec#: 32003 GUALAN HIDALGO MARCO ANTONIO</t>
  </si>
  <si>
    <t>Fact#: 350251 Rec#: 32002 GUALAN HIDALGO MARCO ANTONIO</t>
  </si>
  <si>
    <t>Fact#: 347211-349684 Rec#: 15913 ANANGONO COTTO ALEXANDRA MARIBEL</t>
  </si>
  <si>
    <t>Fact#: 349286 Rec#: 15912 OMAR JOSSUE GRANIZO HUAYAMAVE</t>
  </si>
  <si>
    <t>Fact#: 349765 Rec#: 15911 MENDEZ VILLON CARMEN MARISOL</t>
  </si>
  <si>
    <t>Fact#: 350121 Rec#: 15910 BORBOR MORENO LUIS ANTONIO</t>
  </si>
  <si>
    <t>Fact#: 322674-325431-328179-330998-333913-336859-339870-343412 Rec#: 15909 DELIA AMPARO SALMERON ACOSTA</t>
  </si>
  <si>
    <t>Fact#: 346631-349092 Rec#: 15908 NESTOR AGUSTIN SIMANCAS PINTA</t>
  </si>
  <si>
    <t>Fact#: 341481-345005-347551 Rec#: 15907 ZAMBRANO COLLAGUAZO HECTOR FABIAN</t>
  </si>
  <si>
    <t>Fact#: 349632 Rec#: 15906 SANCHEZ CARRIEL NARCISA DE JESUS</t>
  </si>
  <si>
    <t>Fact#: 331585-334497-337434-340425-343953 Rec#: 15905 MONICA JOHANA MURILLO NARANJO</t>
  </si>
  <si>
    <t>Ene/2021</t>
  </si>
  <si>
    <t>20210101</t>
  </si>
  <si>
    <t>18:39:09</t>
  </si>
  <si>
    <t>REC-3295-1TWC-225716</t>
  </si>
  <si>
    <t>20210102</t>
  </si>
  <si>
    <t>13:54:19</t>
  </si>
  <si>
    <t>REC-3371-EGEG-260934</t>
  </si>
  <si>
    <t>13:37:17</t>
  </si>
  <si>
    <t>REC-4257-A219-163516</t>
  </si>
  <si>
    <t>13:30:18</t>
  </si>
  <si>
    <t>REC-3412-PTE5-302829</t>
  </si>
  <si>
    <t>12:59:40</t>
  </si>
  <si>
    <t>REC-3370-A6JI-264203</t>
  </si>
  <si>
    <t>11:47:01</t>
  </si>
  <si>
    <t>REC-609-A3AI-94513</t>
  </si>
  <si>
    <t>11:28:10</t>
  </si>
  <si>
    <t>REC-5552-A944-299362</t>
  </si>
  <si>
    <t>10:59:40</t>
  </si>
  <si>
    <t>REC-390-BBF4-323577</t>
  </si>
  <si>
    <t>10:49:49</t>
  </si>
  <si>
    <t>REC-4960-A1QG-102065</t>
  </si>
  <si>
    <t>20210103</t>
  </si>
  <si>
    <t>16:00:17</t>
  </si>
  <si>
    <t>REC-223-B7CD-584542</t>
  </si>
  <si>
    <t>REC-097-AJSC-504762</t>
  </si>
  <si>
    <t>14:58:29</t>
  </si>
  <si>
    <t>REC-4961-A24R-40902</t>
  </si>
  <si>
    <t>12:21:23</t>
  </si>
  <si>
    <t>REC-3175-A3LN-140011</t>
  </si>
  <si>
    <t>12:14:22</t>
  </si>
  <si>
    <t>REC-3370-A6JI-264280</t>
  </si>
  <si>
    <t>11:49:26</t>
  </si>
  <si>
    <t>REC-3808-A3Z9-536548</t>
  </si>
  <si>
    <t>11:22:32</t>
  </si>
  <si>
    <t>REC-3187-YWS5-613902</t>
  </si>
  <si>
    <t>10:50:31</t>
  </si>
  <si>
    <t>REC-609-A3AI-94683</t>
  </si>
  <si>
    <t>18:45:28</t>
  </si>
  <si>
    <t>REC-7828-LV64-1184</t>
  </si>
  <si>
    <t>18:42:28</t>
  </si>
  <si>
    <t>REC-3187-YWS5-614012</t>
  </si>
  <si>
    <t>18:17:45</t>
  </si>
  <si>
    <t>REC-613-BK8R-429003</t>
  </si>
  <si>
    <t>20210104</t>
  </si>
  <si>
    <t>17:58:59</t>
  </si>
  <si>
    <t>REC-048-QNCI-635860</t>
  </si>
  <si>
    <t>REC-4966-A3Z7-363699</t>
  </si>
  <si>
    <t>17:05:46</t>
  </si>
  <si>
    <t>REC-3187-A2UB-164332</t>
  </si>
  <si>
    <t>16:46:16</t>
  </si>
  <si>
    <t>REC-585-VR9E-509160</t>
  </si>
  <si>
    <t>15:44:24</t>
  </si>
  <si>
    <t>REC-5585-RQ83-26374</t>
  </si>
  <si>
    <t>15:44:04</t>
  </si>
  <si>
    <t>REC-518-RI6W-435908</t>
  </si>
  <si>
    <t>15:41:22</t>
  </si>
  <si>
    <t>REC-072-AJ3R-256310</t>
  </si>
  <si>
    <t>REC-3301-CTQ4-355422</t>
  </si>
  <si>
    <t>15:09:24</t>
  </si>
  <si>
    <t>REC-090-ULDN-605561</t>
  </si>
  <si>
    <t>15:08:42</t>
  </si>
  <si>
    <t>REC-3187-A2UB-164299</t>
  </si>
  <si>
    <t>14:40:22</t>
  </si>
  <si>
    <t>REC-095-AJSE-680237</t>
  </si>
  <si>
    <t>14:36:17</t>
  </si>
  <si>
    <t>REC-090-IRFP-596437</t>
  </si>
  <si>
    <t>14:35:59</t>
  </si>
  <si>
    <t>REC-090-IRFP-596436</t>
  </si>
  <si>
    <t>14:23:01</t>
  </si>
  <si>
    <t>REC-3577-A1IU-160106</t>
  </si>
  <si>
    <t>14:10:58</t>
  </si>
  <si>
    <t>REC-7764-SS85-498</t>
  </si>
  <si>
    <t>13:14:12</t>
  </si>
  <si>
    <t>REC-3187-A2UE-51955</t>
  </si>
  <si>
    <t>13:03:43</t>
  </si>
  <si>
    <t>REC-3295-1TWC-225850</t>
  </si>
  <si>
    <t>12:46:38</t>
  </si>
  <si>
    <t>REC-5762-FE91-342259</t>
  </si>
  <si>
    <t>12:41:38</t>
  </si>
  <si>
    <t>REC-4257-A221-134655</t>
  </si>
  <si>
    <t>REC-3792-A39T-124635</t>
  </si>
  <si>
    <t>12:34:41</t>
  </si>
  <si>
    <t>REC-4190-A13K-389854</t>
  </si>
  <si>
    <t>12:18:00</t>
  </si>
  <si>
    <t>REC-944-LRJW-294504</t>
  </si>
  <si>
    <t>11:40:28</t>
  </si>
  <si>
    <t>REC-165-LOA2-162754</t>
  </si>
  <si>
    <t>11:25:29</t>
  </si>
  <si>
    <t>REC-609-A3AI-94856</t>
  </si>
  <si>
    <t>11:21:32</t>
  </si>
  <si>
    <t>REC-008-PB65-388864</t>
  </si>
  <si>
    <t>11:07:12</t>
  </si>
  <si>
    <t>REC-090-9SKJ-454227</t>
  </si>
  <si>
    <t>REC-5987-GFL4-327000</t>
  </si>
  <si>
    <t>09:11:12</t>
  </si>
  <si>
    <t>REC-568-YXPM-431756</t>
  </si>
  <si>
    <t>20210105</t>
  </si>
  <si>
    <t>20:05:47</t>
  </si>
  <si>
    <t>REC-5474-A871-413017</t>
  </si>
  <si>
    <t>19:28:30</t>
  </si>
  <si>
    <t>REC-5635-A2YS-31170</t>
  </si>
  <si>
    <t>REC-3175-A3LN-140502</t>
  </si>
  <si>
    <t>18:33:08</t>
  </si>
  <si>
    <t>REC-944-ZF9M-207871</t>
  </si>
  <si>
    <t>18:20:00</t>
  </si>
  <si>
    <t>REC-3187-YWS5-614255</t>
  </si>
  <si>
    <t>17:45:25</t>
  </si>
  <si>
    <t>REC-3022-FNNL-548396</t>
  </si>
  <si>
    <t>17:39:33</t>
  </si>
  <si>
    <t>REC-4164-A1CB-127862</t>
  </si>
  <si>
    <t>17:31:48</t>
  </si>
  <si>
    <t>REC-4303-IAI3-407217</t>
  </si>
  <si>
    <t>17:22:02</t>
  </si>
  <si>
    <t>REC-7545-PS31-4848</t>
  </si>
  <si>
    <t>16:43:00</t>
  </si>
  <si>
    <t>REC-022-K28C-409691</t>
  </si>
  <si>
    <t>16:39:51</t>
  </si>
  <si>
    <t>REC-3520-A1CH-270732</t>
  </si>
  <si>
    <t>16:21:17</t>
  </si>
  <si>
    <t>REC-611-J4ZN-511127</t>
  </si>
  <si>
    <t>15:58:23</t>
  </si>
  <si>
    <t>REC-3109-TTH2-693550</t>
  </si>
  <si>
    <t>15:56:36</t>
  </si>
  <si>
    <t>REC-7276-RQ45-401417</t>
  </si>
  <si>
    <t>15:33:37</t>
  </si>
  <si>
    <t>REC-4963-A3A0-399814</t>
  </si>
  <si>
    <t>14:16:50</t>
  </si>
  <si>
    <t>REC-613-BK8R-429123</t>
  </si>
  <si>
    <t>13:31:41</t>
  </si>
  <si>
    <t>REC-3187-YWS5-614192</t>
  </si>
  <si>
    <t>13:17:09</t>
  </si>
  <si>
    <t>REC-4164-A1CB-127790</t>
  </si>
  <si>
    <t>13:15:48</t>
  </si>
  <si>
    <t>REC-223-B7CD-584865</t>
  </si>
  <si>
    <t>13:00:45</t>
  </si>
  <si>
    <t>REC-4313-IAI9-390846</t>
  </si>
  <si>
    <t>12:59:53</t>
  </si>
  <si>
    <t>REC-049-A2U2-57938</t>
  </si>
  <si>
    <t>3920363</t>
  </si>
  <si>
    <t>0907909998</t>
  </si>
  <si>
    <t>12:58:44</t>
  </si>
  <si>
    <t>REC-4319-A1I3-28127</t>
  </si>
  <si>
    <t>12:57:04</t>
  </si>
  <si>
    <t>REC-3182-YQHD-275423</t>
  </si>
  <si>
    <t>12:42:28</t>
  </si>
  <si>
    <t>REC-3808-A3Z9-536778</t>
  </si>
  <si>
    <t>12:33:30</t>
  </si>
  <si>
    <t>REC-072-AV01-3140</t>
  </si>
  <si>
    <t>12:11:55</t>
  </si>
  <si>
    <t>REC-061-ZT95-90544</t>
  </si>
  <si>
    <t>12:04:22</t>
  </si>
  <si>
    <t>REC-3175-C8JC-318670</t>
  </si>
  <si>
    <t>12:03:21</t>
  </si>
  <si>
    <t>REC-223-V7XD-281196</t>
  </si>
  <si>
    <t>12:00:42</t>
  </si>
  <si>
    <t>REC-3172-YIGY-284436</t>
  </si>
  <si>
    <t>11:20:37</t>
  </si>
  <si>
    <t>REC-3370-A6JI-264563</t>
  </si>
  <si>
    <t>11:17:19</t>
  </si>
  <si>
    <t>REC-4717-FRZ4-383244</t>
  </si>
  <si>
    <t>REC-3371-LD0C-299787</t>
  </si>
  <si>
    <t>10:48:25</t>
  </si>
  <si>
    <t>REC-4301-IAI1-380730</t>
  </si>
  <si>
    <t>10:32:42</t>
  </si>
  <si>
    <t>REC-5117-A283-5361</t>
  </si>
  <si>
    <t>09:44:28</t>
  </si>
  <si>
    <t>REC-3412-PTE5-375392</t>
  </si>
  <si>
    <t>20210106</t>
  </si>
  <si>
    <t>19:21:16</t>
  </si>
  <si>
    <t>REC-3370-A6JI-264904</t>
  </si>
  <si>
    <t>18:41:33</t>
  </si>
  <si>
    <t>REC-3172-LIO6-133616</t>
  </si>
  <si>
    <t>17:56:48</t>
  </si>
  <si>
    <t>REC-223-V7XD-281486</t>
  </si>
  <si>
    <t>15:58:19</t>
  </si>
  <si>
    <t>REC-4164-A1LY-142701</t>
  </si>
  <si>
    <t>15:23:59</t>
  </si>
  <si>
    <t>REC-245-BEJI-679545</t>
  </si>
  <si>
    <t>15:07:11</t>
  </si>
  <si>
    <t>REC-011-VD5Z-362333</t>
  </si>
  <si>
    <t>15:05:03</t>
  </si>
  <si>
    <t>REC-3792-A39T-124977</t>
  </si>
  <si>
    <t>14:30:54</t>
  </si>
  <si>
    <t>REC-3172-YIHD-254500</t>
  </si>
  <si>
    <t>14:13:18</t>
  </si>
  <si>
    <t>REC-3370-A6JI-264827</t>
  </si>
  <si>
    <t>14:09:42</t>
  </si>
  <si>
    <t>REC-3370-A6JI-264825</t>
  </si>
  <si>
    <t>13:37:43</t>
  </si>
  <si>
    <t>REC-3022-A364-135007</t>
  </si>
  <si>
    <t>13:07:48</t>
  </si>
  <si>
    <t>REC-3422-A25Y-102993</t>
  </si>
  <si>
    <t>REC-223-V7XD-281385</t>
  </si>
  <si>
    <t>12:56:36</t>
  </si>
  <si>
    <t>REC-3158-KURJ-213883</t>
  </si>
  <si>
    <t>REC-4966-A3Z7-431146</t>
  </si>
  <si>
    <t>11:28:38</t>
  </si>
  <si>
    <t>REC-223-B7CD-585016</t>
  </si>
  <si>
    <t>11:28:22</t>
  </si>
  <si>
    <t>REC-518-RI6W-436069</t>
  </si>
  <si>
    <t>11:02:41</t>
  </si>
  <si>
    <t>REC-048-QNCI-635978</t>
  </si>
  <si>
    <t>at-3207</t>
  </si>
  <si>
    <t>11:02:12</t>
  </si>
  <si>
    <t>REC-5310-Z4YZ-424300</t>
  </si>
  <si>
    <t>10:49:45</t>
  </si>
  <si>
    <t>REC-5206-A2D9-14476</t>
  </si>
  <si>
    <t>10:49:27</t>
  </si>
  <si>
    <t>REC-3172-LIO4-248483</t>
  </si>
  <si>
    <t>10:44:04</t>
  </si>
  <si>
    <t>REC-045-VMU0-353324</t>
  </si>
  <si>
    <t>10:37:46</t>
  </si>
  <si>
    <t>REC-7910-VL67-422760</t>
  </si>
  <si>
    <t>09:41:32</t>
  </si>
  <si>
    <t>REC-4319-1AH9-8092</t>
  </si>
  <si>
    <t>09:10:18</t>
  </si>
  <si>
    <t>REC-4007-OIT2-417052</t>
  </si>
  <si>
    <t>REC-5585-A2XB-73503</t>
  </si>
  <si>
    <t>20210107</t>
  </si>
  <si>
    <t>18:36:30</t>
  </si>
  <si>
    <t>REC-027-AJSJ-567733</t>
  </si>
  <si>
    <t>3908460</t>
  </si>
  <si>
    <t>0920694569</t>
  </si>
  <si>
    <t>18:27:34</t>
  </si>
  <si>
    <t>REC-096-ZU7N-261757</t>
  </si>
  <si>
    <t>17:13:01</t>
  </si>
  <si>
    <t>REC-5695-A2E3-25657</t>
  </si>
  <si>
    <t>17:12:23</t>
  </si>
  <si>
    <t>REC-5695-A2E3-25656</t>
  </si>
  <si>
    <t>16:59:10</t>
  </si>
  <si>
    <t>REC-072-AV01-3498</t>
  </si>
  <si>
    <t>16:26:50</t>
  </si>
  <si>
    <t>REC-072-KBN0-266474</t>
  </si>
  <si>
    <t>16:15:27</t>
  </si>
  <si>
    <t>REC-7438-RR76-3470</t>
  </si>
  <si>
    <t>15:59:24</t>
  </si>
  <si>
    <t>REC-3182-YQHD-275725</t>
  </si>
  <si>
    <t>15:58:58</t>
  </si>
  <si>
    <t>REC-5594-A1BC-17764</t>
  </si>
  <si>
    <t>15:06:08</t>
  </si>
  <si>
    <t>REC-3360-IPEN-234220</t>
  </si>
  <si>
    <t>14:09:58</t>
  </si>
  <si>
    <t>REC-3792-A24Z-568279</t>
  </si>
  <si>
    <t>14:01:27</t>
  </si>
  <si>
    <t>REC-348-1R2Q-451575</t>
  </si>
  <si>
    <t>13:50:58</t>
  </si>
  <si>
    <t>REC-5635-A2YS-31346</t>
  </si>
  <si>
    <t>13:17:18</t>
  </si>
  <si>
    <t>REC-4963-A3A0-464933</t>
  </si>
  <si>
    <t>12:41:32</t>
  </si>
  <si>
    <t>REC-536-2GEZ-353710</t>
  </si>
  <si>
    <t>REC-3187-A2UB-164665</t>
  </si>
  <si>
    <t>3908467</t>
  </si>
  <si>
    <t>0912765435001</t>
  </si>
  <si>
    <t>12:12:40</t>
  </si>
  <si>
    <t>REC-3370-A6JI-264955</t>
  </si>
  <si>
    <t>11:35:08</t>
  </si>
  <si>
    <t>REC-3360-IPEN-234198</t>
  </si>
  <si>
    <t>REC-3808-A3Z9-537017</t>
  </si>
  <si>
    <t>10:17:09</t>
  </si>
  <si>
    <t>REC-223-B7CD-585156</t>
  </si>
  <si>
    <t>3901365</t>
  </si>
  <si>
    <t>1792210666001</t>
  </si>
  <si>
    <t>10:14:54</t>
  </si>
  <si>
    <t>REC-609-A3AI-95400</t>
  </si>
  <si>
    <t>09:55:50</t>
  </si>
  <si>
    <t>REC-097-AJSC-505175</t>
  </si>
  <si>
    <t>3908282</t>
  </si>
  <si>
    <t>1304645912</t>
  </si>
  <si>
    <t>09:15:48</t>
  </si>
  <si>
    <t>REC-223-B7CD-585127</t>
  </si>
  <si>
    <t>08:28:09</t>
  </si>
  <si>
    <t>REC-355-J4YM-681240</t>
  </si>
  <si>
    <t>20210108</t>
  </si>
  <si>
    <t>17:44:47</t>
  </si>
  <si>
    <t>REC-7601-SS26-416005</t>
  </si>
  <si>
    <t>16:37:33</t>
  </si>
  <si>
    <t>REC-348-1R2Q-451767</t>
  </si>
  <si>
    <t>15:23:08</t>
  </si>
  <si>
    <t>REC-049-A518-1572931</t>
  </si>
  <si>
    <t>REC-008-PB65-389410</t>
  </si>
  <si>
    <t>14:30:33</t>
  </si>
  <si>
    <t>REC-3172-YIGY-284864</t>
  </si>
  <si>
    <t>14:07:51</t>
  </si>
  <si>
    <t>REC-4278-IOI5-493476</t>
  </si>
  <si>
    <t>13:27:04</t>
  </si>
  <si>
    <t>REC-096-LIO1-554026</t>
  </si>
  <si>
    <t>12:57:03</t>
  </si>
  <si>
    <t>REC-3370-A6JI-265083</t>
  </si>
  <si>
    <t>11:55:37</t>
  </si>
  <si>
    <t>REC-348-1R2Q-451693</t>
  </si>
  <si>
    <t>11:16:00</t>
  </si>
  <si>
    <t>REC-3792-A24Z-568425</t>
  </si>
  <si>
    <t>11:10:52</t>
  </si>
  <si>
    <t>REC-3370-A6JI-265053</t>
  </si>
  <si>
    <t>11:08:46</t>
  </si>
  <si>
    <t>REC-3187-A2UB-164761</t>
  </si>
  <si>
    <t>11:01:37</t>
  </si>
  <si>
    <t>REC-3187-YWS5-614472</t>
  </si>
  <si>
    <t>10:49:30</t>
  </si>
  <si>
    <t>REC-4934-A1ZV-485175</t>
  </si>
  <si>
    <t>3908299</t>
  </si>
  <si>
    <t>1204185142</t>
  </si>
  <si>
    <t>10:31:23</t>
  </si>
  <si>
    <t>REC-3187-YWS5-614460</t>
  </si>
  <si>
    <t>10:25:03</t>
  </si>
  <si>
    <t>REC-3260-CTO1-483929</t>
  </si>
  <si>
    <t>10:16:23</t>
  </si>
  <si>
    <t>REC-045-VMU0-353709</t>
  </si>
  <si>
    <t>20210109</t>
  </si>
  <si>
    <t>17:32:02</t>
  </si>
  <si>
    <t>REC-090-ULDN-606523</t>
  </si>
  <si>
    <t>15:23:21</t>
  </si>
  <si>
    <t>REC-072-KBN0-266904</t>
  </si>
  <si>
    <t>14:38:35</t>
  </si>
  <si>
    <t>REC-3370-A6JI-265193</t>
  </si>
  <si>
    <t>14:04:40</t>
  </si>
  <si>
    <t>REC-518-RI70-195678</t>
  </si>
  <si>
    <t>3908237</t>
  </si>
  <si>
    <t>0601155252</t>
  </si>
  <si>
    <t>11:48:36</t>
  </si>
  <si>
    <t>REC-3808-A3Z9-537210</t>
  </si>
  <si>
    <t>08:12:19</t>
  </si>
  <si>
    <t>REC-355-N45U-574575</t>
  </si>
  <si>
    <t>08:12:03</t>
  </si>
  <si>
    <t>REC-355-N45U-574574</t>
  </si>
  <si>
    <t>20210110</t>
  </si>
  <si>
    <t>19:20:37</t>
  </si>
  <si>
    <t>REC-3370-A6JI-265306</t>
  </si>
  <si>
    <t>13:20:19</t>
  </si>
  <si>
    <t>REC-5635-A2YS-31577</t>
  </si>
  <si>
    <t>12:09:28</t>
  </si>
  <si>
    <t>REC-027-AJSJ-567958</t>
  </si>
  <si>
    <t>20210111</t>
  </si>
  <si>
    <t>20:30:53</t>
  </si>
  <si>
    <t>REC-3676-AAK8-564796</t>
  </si>
  <si>
    <t>18:27:50</t>
  </si>
  <si>
    <t>REC-7731-SS58-2460</t>
  </si>
  <si>
    <t>17:24:04</t>
  </si>
  <si>
    <t>REC-3201-Y46O-433705</t>
  </si>
  <si>
    <t>16:36:15</t>
  </si>
  <si>
    <t>REC-5310-Z4YZ-558126</t>
  </si>
  <si>
    <t>16:29:00</t>
  </si>
  <si>
    <t>REC-7779-SS95-557770</t>
  </si>
  <si>
    <t>3908458</t>
  </si>
  <si>
    <t>0926860198001</t>
  </si>
  <si>
    <t>15:46:36</t>
  </si>
  <si>
    <t>REC-4313-IAI9-555986</t>
  </si>
  <si>
    <t>15:34:06</t>
  </si>
  <si>
    <t>REC-348-1R2Q-451907</t>
  </si>
  <si>
    <t>15:26:14</t>
  </si>
  <si>
    <t>REC-944-LRJW-295298</t>
  </si>
  <si>
    <t>14:47:44</t>
  </si>
  <si>
    <t>REC-342-EBMO-288427</t>
  </si>
  <si>
    <t>14:37:41</t>
  </si>
  <si>
    <t>REC-3808-A3Z9-537352</t>
  </si>
  <si>
    <t>14:28:24</t>
  </si>
  <si>
    <t>REC-4257-A219-164416</t>
  </si>
  <si>
    <t>14:22:55</t>
  </si>
  <si>
    <t>REC-3109-TTH2-694116</t>
  </si>
  <si>
    <t>13:24:44</t>
  </si>
  <si>
    <t>REC-3792-A39T-125442</t>
  </si>
  <si>
    <t>REC-5310-Z4YZ-549194</t>
  </si>
  <si>
    <t>13:07:08</t>
  </si>
  <si>
    <t>REC-223-B7CD-585702</t>
  </si>
  <si>
    <t>12:16:44</t>
  </si>
  <si>
    <t>REC-518-RI6W-436410</t>
  </si>
  <si>
    <t>11:46:23</t>
  </si>
  <si>
    <t>REC-3370-A6JI-265336</t>
  </si>
  <si>
    <t>11:44:18</t>
  </si>
  <si>
    <t>REC-609-A1M3-329858</t>
  </si>
  <si>
    <t>11:38:09</t>
  </si>
  <si>
    <t>REC-3554-PTY2-544436</t>
  </si>
  <si>
    <t>REC-095-AJSE-681229</t>
  </si>
  <si>
    <t>11:37:19</t>
  </si>
  <si>
    <t>REC-095-AJSE-681228</t>
  </si>
  <si>
    <t>11:36:39</t>
  </si>
  <si>
    <t>REC-095-AJSE-681227</t>
  </si>
  <si>
    <t>3946968</t>
  </si>
  <si>
    <t>1710929744</t>
  </si>
  <si>
    <t>09:01:35</t>
  </si>
  <si>
    <t>REC-7417-PR22-535580</t>
  </si>
  <si>
    <t>20210112</t>
  </si>
  <si>
    <t>REC-3422-A3IU-641252</t>
  </si>
  <si>
    <t>18:48:23</t>
  </si>
  <si>
    <t>REC-3422-A3IU-641251</t>
  </si>
  <si>
    <t>18:01:38</t>
  </si>
  <si>
    <t>REC-165-M8MT-662352</t>
  </si>
  <si>
    <t>17:43:04</t>
  </si>
  <si>
    <t>REC-3577-A1IU-160902</t>
  </si>
  <si>
    <t>REC-223-B7CD-585919</t>
  </si>
  <si>
    <t>REC-3022-FNNL-549252</t>
  </si>
  <si>
    <t>17:10:40</t>
  </si>
  <si>
    <t>REC-611-HYM3-106054</t>
  </si>
  <si>
    <t>16:48:09</t>
  </si>
  <si>
    <t>REC-3512-A4FC-283333</t>
  </si>
  <si>
    <t>REC-4976-A25U-7427</t>
  </si>
  <si>
    <t>15:03:15</t>
  </si>
  <si>
    <t>REC-096-ZU7N-262219</t>
  </si>
  <si>
    <t>3908312</t>
  </si>
  <si>
    <t>0905782546</t>
  </si>
  <si>
    <t>14:50:03</t>
  </si>
  <si>
    <t>REC-3422-A3IU-641199</t>
  </si>
  <si>
    <t>14:08:38</t>
  </si>
  <si>
    <t>REC-3370-A6JI-265506</t>
  </si>
  <si>
    <t>14:01:50</t>
  </si>
  <si>
    <t>REC-072-TTF1-325822</t>
  </si>
  <si>
    <t>13:45:44</t>
  </si>
  <si>
    <t>REC-3187-A2UE-52821</t>
  </si>
  <si>
    <t>REC-5311-A2GH-20184</t>
  </si>
  <si>
    <t>REC-3187-A2UE-52811</t>
  </si>
  <si>
    <t>12:37:32</t>
  </si>
  <si>
    <t>REC-5801-PRI3-577504</t>
  </si>
  <si>
    <t>12:16:26</t>
  </si>
  <si>
    <t>REC-609-A3AI-95783</t>
  </si>
  <si>
    <t>REC-5635-A2YS-31689</t>
  </si>
  <si>
    <t>10:15:17</t>
  </si>
  <si>
    <t>REC-3187-A2UE-52784</t>
  </si>
  <si>
    <t>09:32:46</t>
  </si>
  <si>
    <t>REC-4963-A3A0-568202</t>
  </si>
  <si>
    <t>20210113</t>
  </si>
  <si>
    <t>22:21:33</t>
  </si>
  <si>
    <t>REC-5310-Z4YZ-623045</t>
  </si>
  <si>
    <t>19:15:10</t>
  </si>
  <si>
    <t>REC-3295-1T8E-235098</t>
  </si>
  <si>
    <t>18:59:28</t>
  </si>
  <si>
    <t>REC-4164-A1CB-128345</t>
  </si>
  <si>
    <t>18:20:02</t>
  </si>
  <si>
    <t>REC-4316-IOU4-619609</t>
  </si>
  <si>
    <t>17:01:48</t>
  </si>
  <si>
    <t>REC-5680-XTE2-2987</t>
  </si>
  <si>
    <t>16:26:10</t>
  </si>
  <si>
    <t>REC-3422-A3IU-641357</t>
  </si>
  <si>
    <t>16:26:03</t>
  </si>
  <si>
    <t>REC-023-P4U6-467014</t>
  </si>
  <si>
    <t>23923006</t>
  </si>
  <si>
    <t>1758463234</t>
  </si>
  <si>
    <t>16:23:32</t>
  </si>
  <si>
    <t>REC-3370-A6JI-265654</t>
  </si>
  <si>
    <t>14:10:57</t>
  </si>
  <si>
    <t>REC-3510-A4F9-250344</t>
  </si>
  <si>
    <t>14:06:18</t>
  </si>
  <si>
    <t>REC-3172-LIO5-573547</t>
  </si>
  <si>
    <t>13:53:00</t>
  </si>
  <si>
    <t>REC-223-B7CD-586043</t>
  </si>
  <si>
    <t>13:06:56</t>
  </si>
  <si>
    <t>REC-3792-A24Z-569245</t>
  </si>
  <si>
    <t>11:15:07</t>
  </si>
  <si>
    <t>REC-348-AB9D-152223</t>
  </si>
  <si>
    <t>REC-609-A3AI-95894</t>
  </si>
  <si>
    <t>20210114</t>
  </si>
  <si>
    <t>18:20:49</t>
  </si>
  <si>
    <t>REC-3187-A2UB-165404</t>
  </si>
  <si>
    <t>17:18:54</t>
  </si>
  <si>
    <t>REC-3533-A4H5-393359</t>
  </si>
  <si>
    <t>23923112</t>
  </si>
  <si>
    <t>1715031827001</t>
  </si>
  <si>
    <t>17:13:52</t>
  </si>
  <si>
    <t>REC-3161-KURB-442793</t>
  </si>
  <si>
    <t>3909197</t>
  </si>
  <si>
    <t>0929357531</t>
  </si>
  <si>
    <t>REC-3172-LIO3-79457</t>
  </si>
  <si>
    <t>15:25:41</t>
  </si>
  <si>
    <t>REC-3172-YIGY-285372</t>
  </si>
  <si>
    <t>REC-3187-YWS5-614900</t>
  </si>
  <si>
    <t>15:14:21</t>
  </si>
  <si>
    <t>REC-7754-SS80-119</t>
  </si>
  <si>
    <t>14:40:28</t>
  </si>
  <si>
    <t>REC-3577-A26V-537171</t>
  </si>
  <si>
    <t>13:25:36</t>
  </si>
  <si>
    <t>REC-551-VOI9-576810</t>
  </si>
  <si>
    <t>11:12:34</t>
  </si>
  <si>
    <t>REC-4810-FSJ5-630519</t>
  </si>
  <si>
    <t>11:11:02</t>
  </si>
  <si>
    <t>REC-045-AFEZ-578295</t>
  </si>
  <si>
    <t>10:57:23</t>
  </si>
  <si>
    <t>REC-678-3V18-578588</t>
  </si>
  <si>
    <t>10:47:16</t>
  </si>
  <si>
    <t>REC-4164-A1LY-143314</t>
  </si>
  <si>
    <t>10:16:11</t>
  </si>
  <si>
    <t>REC-7451-QPQ1-8831</t>
  </si>
  <si>
    <t>REC-4717-FRZ4-627252</t>
  </si>
  <si>
    <t>REC-3774-ABA2-626335</t>
  </si>
  <si>
    <t>3908510</t>
  </si>
  <si>
    <t>1203396468</t>
  </si>
  <si>
    <t>20210115</t>
  </si>
  <si>
    <t>18:06:04</t>
  </si>
  <si>
    <t>REC-165-LOA2-164331</t>
  </si>
  <si>
    <t>3903352</t>
  </si>
  <si>
    <t>0301057717</t>
  </si>
  <si>
    <t>15:58:39</t>
  </si>
  <si>
    <t>REC-3161-KURB-442951</t>
  </si>
  <si>
    <t>REC-5328-A640-666804</t>
  </si>
  <si>
    <t>15:21:49</t>
  </si>
  <si>
    <t>REC-4301-IAI1-666085</t>
  </si>
  <si>
    <t>15:06:19</t>
  </si>
  <si>
    <t>REC-4007-OIT2-665330</t>
  </si>
  <si>
    <t>14:18:18</t>
  </si>
  <si>
    <t>REC-028-AJSG-568090</t>
  </si>
  <si>
    <t>13:35:48</t>
  </si>
  <si>
    <t>REC-090-ULDN-607191</t>
  </si>
  <si>
    <t>REC-5585-RQ83-27644</t>
  </si>
  <si>
    <t>11:16:05</t>
  </si>
  <si>
    <t>REC-342-EBMO-288880</t>
  </si>
  <si>
    <t>11:11:16</t>
  </si>
  <si>
    <t>REC-3520-A1CH-272160</t>
  </si>
  <si>
    <t>09:52:20</t>
  </si>
  <si>
    <t>REC-061-ZT95-91084</t>
  </si>
  <si>
    <t>09:35:40</t>
  </si>
  <si>
    <t>REC-5987-GFL4-650586</t>
  </si>
  <si>
    <t>09:32:38</t>
  </si>
  <si>
    <t>REC-3023-IZCF-584679</t>
  </si>
  <si>
    <t>09:10:43</t>
  </si>
  <si>
    <t>REC-3520-A1CH-272118</t>
  </si>
  <si>
    <t>08:34:13</t>
  </si>
  <si>
    <t>REC-4316-IOU4-648770</t>
  </si>
  <si>
    <t>20210116</t>
  </si>
  <si>
    <t>20:17:53</t>
  </si>
  <si>
    <t>REC-5310-Z4YZ-692764</t>
  </si>
  <si>
    <t>at-3211</t>
  </si>
  <si>
    <t>18:03:35</t>
  </si>
  <si>
    <t>REC-3577-A26V-537518</t>
  </si>
  <si>
    <t>17:55:12</t>
  </si>
  <si>
    <t>REC-5796-A31Y-5228</t>
  </si>
  <si>
    <t>16:44:09</t>
  </si>
  <si>
    <t>REC-4352-A2E6-13239</t>
  </si>
  <si>
    <t>15:52:12</t>
  </si>
  <si>
    <t>REC-3201-Y46O-434523</t>
  </si>
  <si>
    <t>15:42:33</t>
  </si>
  <si>
    <t>REC-355-N45U-575667</t>
  </si>
  <si>
    <t>15:01:09</t>
  </si>
  <si>
    <t>REC-223-B7CD-586635</t>
  </si>
  <si>
    <t>15:00:46</t>
  </si>
  <si>
    <t>REC-223-B7CD-586634</t>
  </si>
  <si>
    <t>13:25:09</t>
  </si>
  <si>
    <t>REC-4164-A19X-164079</t>
  </si>
  <si>
    <t>12:25:14</t>
  </si>
  <si>
    <t>REC-3370-A6JI-266077</t>
  </si>
  <si>
    <t>3960367</t>
  </si>
  <si>
    <t>0907375174</t>
  </si>
  <si>
    <t>12:24:46</t>
  </si>
  <si>
    <t>REC-3370-A6JI-266076</t>
  </si>
  <si>
    <t>3960359</t>
  </si>
  <si>
    <t>0905653622</t>
  </si>
  <si>
    <t>12:12:16</t>
  </si>
  <si>
    <t>REC-342-EBMO-289064</t>
  </si>
  <si>
    <t>11:09:41</t>
  </si>
  <si>
    <t>REC-4190-A11N-1475275</t>
  </si>
  <si>
    <t>10:43:36</t>
  </si>
  <si>
    <t>REC-164-M07R-533234</t>
  </si>
  <si>
    <t>10:35:59</t>
  </si>
  <si>
    <t>REC-3809-A3ZD-37905</t>
  </si>
  <si>
    <t>20210117</t>
  </si>
  <si>
    <t>14:23:19</t>
  </si>
  <si>
    <t>REC-364-NKDD-372556</t>
  </si>
  <si>
    <t>12:23:22</t>
  </si>
  <si>
    <t>REC-245-BEJI-681150</t>
  </si>
  <si>
    <t>10:33:17</t>
  </si>
  <si>
    <t>REC-5221-A543-695386</t>
  </si>
  <si>
    <t>20210118</t>
  </si>
  <si>
    <t>19:44:41</t>
  </si>
  <si>
    <t>REC-3295-1TWC-227286</t>
  </si>
  <si>
    <t>19:09:04</t>
  </si>
  <si>
    <t>REC-7699-SS50-735077</t>
  </si>
  <si>
    <t>16:24:50</t>
  </si>
  <si>
    <t>REC-3370-A6JI-266356</t>
  </si>
  <si>
    <t>16:03:16</t>
  </si>
  <si>
    <t>REC-3022-FNNL-549866</t>
  </si>
  <si>
    <t>15:37:21</t>
  </si>
  <si>
    <t>REC-5310-Z4YZ-726162</t>
  </si>
  <si>
    <t>12:44:52</t>
  </si>
  <si>
    <t>REC-049-A2U2-58983</t>
  </si>
  <si>
    <t>REC-3175-A3LN-141964</t>
  </si>
  <si>
    <t>10:51:36</t>
  </si>
  <si>
    <t>REC-096-DCIZ-469466</t>
  </si>
  <si>
    <t>10:37:48</t>
  </si>
  <si>
    <t>REC-3170-YGVG-332193</t>
  </si>
  <si>
    <t>10:22:01</t>
  </si>
  <si>
    <t>REC-3187-A2UB-165711</t>
  </si>
  <si>
    <t>20210119</t>
  </si>
  <si>
    <t>19:10:02</t>
  </si>
  <si>
    <t>REC-5635-A2YS-32705</t>
  </si>
  <si>
    <t>18:39:35</t>
  </si>
  <si>
    <t>REC-5310-Z4YZ-765057</t>
  </si>
  <si>
    <t>18:36:39</t>
  </si>
  <si>
    <t>REC-3792-A24Z-570288</t>
  </si>
  <si>
    <t>18:05:38</t>
  </si>
  <si>
    <t>REC-5645-A1034-22742</t>
  </si>
  <si>
    <t>17:21:05</t>
  </si>
  <si>
    <t>REC-3172-YIG8-317535</t>
  </si>
  <si>
    <t>16:48:23</t>
  </si>
  <si>
    <t>REC-7451-QPQ1-9247</t>
  </si>
  <si>
    <t>16:22:32</t>
  </si>
  <si>
    <t>REC-342-EBMO-289383</t>
  </si>
  <si>
    <t>15:41:30</t>
  </si>
  <si>
    <t>REC-061-SPOX-303587</t>
  </si>
  <si>
    <t>15:15:23</t>
  </si>
  <si>
    <t>REC-3511-A14H-397858</t>
  </si>
  <si>
    <t>3930210</t>
  </si>
  <si>
    <t>1311339020</t>
  </si>
  <si>
    <t>14:51:42</t>
  </si>
  <si>
    <t>REC-3214-A160-101153</t>
  </si>
  <si>
    <t>14:43:25</t>
  </si>
  <si>
    <t>REC-072-KBN0-268579</t>
  </si>
  <si>
    <t>3908552</t>
  </si>
  <si>
    <t>0930229307001</t>
  </si>
  <si>
    <t>14:29:28</t>
  </si>
  <si>
    <t>REC-5310-Z4YZ-755250</t>
  </si>
  <si>
    <t>10:55:24</t>
  </si>
  <si>
    <t>REC-096-ZU7N-262871</t>
  </si>
  <si>
    <t>3908572</t>
  </si>
  <si>
    <t>0905679221</t>
  </si>
  <si>
    <t>09:42:38</t>
  </si>
  <si>
    <t>REC-5310-Z4YZ-741299</t>
  </si>
  <si>
    <t>20210120</t>
  </si>
  <si>
    <t>REC-944-ZF9M-209612</t>
  </si>
  <si>
    <t>16:47:26</t>
  </si>
  <si>
    <t>REC-226-B7CC-730639</t>
  </si>
  <si>
    <t>15:37:48</t>
  </si>
  <si>
    <t>REC-5342-A13Y-92</t>
  </si>
  <si>
    <t>14:20:18</t>
  </si>
  <si>
    <t>REC-3109-TTH2-695059</t>
  </si>
  <si>
    <t>11:55:22</t>
  </si>
  <si>
    <t>REC-7100-A69T-13395</t>
  </si>
  <si>
    <t>11:47:57</t>
  </si>
  <si>
    <t>REC-5635-A2YS-32776</t>
  </si>
  <si>
    <t>11:09:00</t>
  </si>
  <si>
    <t>REC-072-AV01-4761</t>
  </si>
  <si>
    <t>11:02:24</t>
  </si>
  <si>
    <t>REC-3370-A6JI-266616</t>
  </si>
  <si>
    <t>3960351</t>
  </si>
  <si>
    <t>0908070253</t>
  </si>
  <si>
    <t>REC-3172-LIO4-249894</t>
  </si>
  <si>
    <t>3907506</t>
  </si>
  <si>
    <t>0921752606001</t>
  </si>
  <si>
    <t>09:00:07</t>
  </si>
  <si>
    <t>REC-4303-IAI3-770596</t>
  </si>
  <si>
    <t>20210121</t>
  </si>
  <si>
    <t>17:46:43</t>
  </si>
  <si>
    <t>REC-3371-LD0C-301766</t>
  </si>
  <si>
    <t>17:36:56</t>
  </si>
  <si>
    <t>REC-3392-A39W-421284</t>
  </si>
  <si>
    <t>16:48:58</t>
  </si>
  <si>
    <t>REC-043-HXVM-326859</t>
  </si>
  <si>
    <t>16:07:28</t>
  </si>
  <si>
    <t>REC-3412-PTE5-824309</t>
  </si>
  <si>
    <t>3903602</t>
  </si>
  <si>
    <t>0917849028</t>
  </si>
  <si>
    <t>11:41:53</t>
  </si>
  <si>
    <t>REC-3370-A6JI-266828</t>
  </si>
  <si>
    <t>11:34:30</t>
  </si>
  <si>
    <t>REC-048-QNCI-637315</t>
  </si>
  <si>
    <t>11:33:03</t>
  </si>
  <si>
    <t>REC-5221-A543-813271</t>
  </si>
  <si>
    <t>11:30:33</t>
  </si>
  <si>
    <t>REC-3201-Y46O-435045</t>
  </si>
  <si>
    <t>11:17:07</t>
  </si>
  <si>
    <t>REC-609-A3AI-96717</t>
  </si>
  <si>
    <t>10:49:10</t>
  </si>
  <si>
    <t>REC-3808-A3Z9-538300</t>
  </si>
  <si>
    <t>10:24:50</t>
  </si>
  <si>
    <t>REC-543-U5H7-575218</t>
  </si>
  <si>
    <t>REC-678-3V18-579268</t>
  </si>
  <si>
    <t>20210122</t>
  </si>
  <si>
    <t>16:11:58</t>
  </si>
  <si>
    <t>REC-3182-YQHD-276991</t>
  </si>
  <si>
    <t>13:25:22</t>
  </si>
  <si>
    <t>REC-223-B7CD-587616</t>
  </si>
  <si>
    <t>11:40:59</t>
  </si>
  <si>
    <t>REC-3789-ACA8-839727</t>
  </si>
  <si>
    <t>REC-3200-SAMK-237797</t>
  </si>
  <si>
    <t>10:43:57</t>
  </si>
  <si>
    <t>REC-3187-YWS5-615690</t>
  </si>
  <si>
    <t>20210123</t>
  </si>
  <si>
    <t>20:32:37</t>
  </si>
  <si>
    <t>REC-3187-A2UE-54017</t>
  </si>
  <si>
    <t>18:30:50</t>
  </si>
  <si>
    <t>REC-3172-LIO7-122398</t>
  </si>
  <si>
    <t>REC-7898-VL58-869527</t>
  </si>
  <si>
    <t>17:49:28</t>
  </si>
  <si>
    <t>REC-3182-YQHG-235819</t>
  </si>
  <si>
    <t>17:44:36</t>
  </si>
  <si>
    <t>REC-3187-A2UE-53996</t>
  </si>
  <si>
    <t>17:29:46</t>
  </si>
  <si>
    <t>REC-3370-A6JI-267147</t>
  </si>
  <si>
    <t>13:45:33</t>
  </si>
  <si>
    <t>REC-027-AJSJ-569338</t>
  </si>
  <si>
    <t>0922646120</t>
  </si>
  <si>
    <t>10:24:47</t>
  </si>
  <si>
    <t>REC-3295-1TWC-227586</t>
  </si>
  <si>
    <t>20210124</t>
  </si>
  <si>
    <t>18:52:48</t>
  </si>
  <si>
    <t>REC-3371-EGEG-264120</t>
  </si>
  <si>
    <t>17:15:48</t>
  </si>
  <si>
    <t>REC-536-TDSM-158991</t>
  </si>
  <si>
    <t>16:51:36</t>
  </si>
  <si>
    <t>REC-223-B7CD-587908</t>
  </si>
  <si>
    <t>REC-3187-A2UB-166401</t>
  </si>
  <si>
    <t>15:48:17</t>
  </si>
  <si>
    <t>REC-5635-A2YS-33313</t>
  </si>
  <si>
    <t>15:43:07</t>
  </si>
  <si>
    <t>REC-3412-PTE5-879125</t>
  </si>
  <si>
    <t>14:51:40</t>
  </si>
  <si>
    <t>REC-3371-EGEG-264071</t>
  </si>
  <si>
    <t>12:00:17</t>
  </si>
  <si>
    <t>REC-011-VD5Z-364672</t>
  </si>
  <si>
    <t>11:47:12</t>
  </si>
  <si>
    <t>REC-245-BEJI-682176</t>
  </si>
  <si>
    <t>11:21:18</t>
  </si>
  <si>
    <t>REC-3161-KURB-444022</t>
  </si>
  <si>
    <t>11:13:07</t>
  </si>
  <si>
    <t>REC-536-TDSM-158955</t>
  </si>
  <si>
    <t>20210125</t>
  </si>
  <si>
    <t>19:16:31</t>
  </si>
  <si>
    <t>REC-048-AFEP-253765</t>
  </si>
  <si>
    <t>19:14:50</t>
  </si>
  <si>
    <t>REC-5635-A2YS-33459</t>
  </si>
  <si>
    <t>17:59:14</t>
  </si>
  <si>
    <t>REC-061-A6S4-157818</t>
  </si>
  <si>
    <t>17:58:36</t>
  </si>
  <si>
    <t>REC-061-A6S4-157817</t>
  </si>
  <si>
    <t>17:23:43</t>
  </si>
  <si>
    <t>REC-3161-KURB-444165</t>
  </si>
  <si>
    <t>3908514</t>
  </si>
  <si>
    <t>0926629700</t>
  </si>
  <si>
    <t>17:03:03</t>
  </si>
  <si>
    <t>REC-7779-SS95-909695</t>
  </si>
  <si>
    <t>16:02:56</t>
  </si>
  <si>
    <t>REC-096-DCIZ-469983</t>
  </si>
  <si>
    <t>15:56:02</t>
  </si>
  <si>
    <t>REC-3422-A3IU-642678</t>
  </si>
  <si>
    <t>REC-061-AEU1-197012</t>
  </si>
  <si>
    <t>15:53:46</t>
  </si>
  <si>
    <t>REC-7100-A69T-13545</t>
  </si>
  <si>
    <t>15:45:47</t>
  </si>
  <si>
    <t>REC-3370-A6JI-267320</t>
  </si>
  <si>
    <t>15:22:31</t>
  </si>
  <si>
    <t>REC-3769-A26U-9247</t>
  </si>
  <si>
    <t>15:19:53</t>
  </si>
  <si>
    <t>REC-011-VD5Z-364822</t>
  </si>
  <si>
    <t>15:13:10</t>
  </si>
  <si>
    <t>REC-011-VD5Z-364819</t>
  </si>
  <si>
    <t>14:42:38</t>
  </si>
  <si>
    <t>REC-3022-FNNL-550523</t>
  </si>
  <si>
    <t>14:31:04</t>
  </si>
  <si>
    <t>REC-3182-YQHD-277158</t>
  </si>
  <si>
    <t>13:38:28</t>
  </si>
  <si>
    <t>REC-245-BEJI-682278</t>
  </si>
  <si>
    <t>13:22:50</t>
  </si>
  <si>
    <t>REC-3187-A2UE-54112</t>
  </si>
  <si>
    <t>13:13:32</t>
  </si>
  <si>
    <t>REC-342-VEHD-478564</t>
  </si>
  <si>
    <t>12:52:07</t>
  </si>
  <si>
    <t>REC-090-9SKJ-456939</t>
  </si>
  <si>
    <t>12:48:02</t>
  </si>
  <si>
    <t>REC-245-BEJI-682274</t>
  </si>
  <si>
    <t>12:23:01</t>
  </si>
  <si>
    <t>REC-663-2ITH-372439</t>
  </si>
  <si>
    <t>12:14:14</t>
  </si>
  <si>
    <t>REC-5635-A2YS-33378</t>
  </si>
  <si>
    <t>12:03:52</t>
  </si>
  <si>
    <t>REC-3371-LD0C-302007</t>
  </si>
  <si>
    <t>11:47:24</t>
  </si>
  <si>
    <t>REC-223-B7CD-588001</t>
  </si>
  <si>
    <t>11:35:49</t>
  </si>
  <si>
    <t>REC-3370-A6JI-267259</t>
  </si>
  <si>
    <t>11:30:40</t>
  </si>
  <si>
    <t>REC-223-V7XD-283977</t>
  </si>
  <si>
    <t>10:59:15</t>
  </si>
  <si>
    <t>REC-3994-A5HO-52105</t>
  </si>
  <si>
    <t>10:58:51</t>
  </si>
  <si>
    <t>REC-3994-A5HO-52104</t>
  </si>
  <si>
    <t>REC-944-LRJ0-411409</t>
  </si>
  <si>
    <t>10:03:17</t>
  </si>
  <si>
    <t>REC-3182-YQHG-235877</t>
  </si>
  <si>
    <t>09:12:35</t>
  </si>
  <si>
    <t>REC-3520-A1CH-273237</t>
  </si>
  <si>
    <t>20210126</t>
  </si>
  <si>
    <t>19:24:59</t>
  </si>
  <si>
    <t>REC-3172-YIHD-256366</t>
  </si>
  <si>
    <t>18:11:53</t>
  </si>
  <si>
    <t>REC-223-V7XD-284267</t>
  </si>
  <si>
    <t>18:08:36</t>
  </si>
  <si>
    <t>REC-342-VEHD-478776</t>
  </si>
  <si>
    <t>17:50:39</t>
  </si>
  <si>
    <t>REC-5310-Z4YZ-937551</t>
  </si>
  <si>
    <t>17:35:31</t>
  </si>
  <si>
    <t>REC-5987-GFL4-937118</t>
  </si>
  <si>
    <t>15:47:53</t>
  </si>
  <si>
    <t>REC-3792-A24Z-571037</t>
  </si>
  <si>
    <t>13:33:46</t>
  </si>
  <si>
    <t>REC-4164-A1CB-129122</t>
  </si>
  <si>
    <t>3908762</t>
  </si>
  <si>
    <t>1103208219</t>
  </si>
  <si>
    <t>13:27:17</t>
  </si>
  <si>
    <t>REC-3022-FNNL-550600</t>
  </si>
  <si>
    <t>13:21:33</t>
  </si>
  <si>
    <t>REC-4013-A5NS-42574</t>
  </si>
  <si>
    <t>12:57:52</t>
  </si>
  <si>
    <t>REC-072-KBN0-269757</t>
  </si>
  <si>
    <t>12:38:40</t>
  </si>
  <si>
    <t>REC-536-2GEZ-355405</t>
  </si>
  <si>
    <t>12:12:28</t>
  </si>
  <si>
    <t>REC-4164-A19X-164440</t>
  </si>
  <si>
    <t>11:50:59</t>
  </si>
  <si>
    <t>REC-045-AFEZ-579679</t>
  </si>
  <si>
    <t>11:42:41</t>
  </si>
  <si>
    <t>REC-3187-A2UB-166599</t>
  </si>
  <si>
    <t>20210127</t>
  </si>
  <si>
    <t>18:57:26</t>
  </si>
  <si>
    <t>REC-3172-LIO4-250462</t>
  </si>
  <si>
    <t>18:15:04</t>
  </si>
  <si>
    <t>REC-904-A3FW-35633</t>
  </si>
  <si>
    <t>17:54:50</t>
  </si>
  <si>
    <t>REC-5311-A2GH-20585</t>
  </si>
  <si>
    <t>17:18:04</t>
  </si>
  <si>
    <t>REC-3187-A2UE-54375</t>
  </si>
  <si>
    <t>3908501</t>
  </si>
  <si>
    <t>0909001554</t>
  </si>
  <si>
    <t>16:16:27</t>
  </si>
  <si>
    <t>REC-5310-Z4YZ-959211</t>
  </si>
  <si>
    <t>REC-096-LIO1-555855</t>
  </si>
  <si>
    <t>15:42:22</t>
  </si>
  <si>
    <t>REC-008-PB65-391234</t>
  </si>
  <si>
    <t>14:43:06</t>
  </si>
  <si>
    <t>REC-3577-A26V-538553</t>
  </si>
  <si>
    <t>14:04:17</t>
  </si>
  <si>
    <t>REC-4202-A16N-8630</t>
  </si>
  <si>
    <t>12:27:22</t>
  </si>
  <si>
    <t>REC-3260-CTO1-951226</t>
  </si>
  <si>
    <t>11:43:58</t>
  </si>
  <si>
    <t>REC-7779-SS95-949617</t>
  </si>
  <si>
    <t>3908546</t>
  </si>
  <si>
    <t>1105124844</t>
  </si>
  <si>
    <t>11:40:19</t>
  </si>
  <si>
    <t>REC-3371-LD0C-302293</t>
  </si>
  <si>
    <t>11:25:41</t>
  </si>
  <si>
    <t>REC-4960-A1QG-105287</t>
  </si>
  <si>
    <t>11:22:49</t>
  </si>
  <si>
    <t>REC-2004-CNH2-598536</t>
  </si>
  <si>
    <t>11:13:56</t>
  </si>
  <si>
    <t>REC-048-QNCI-637772</t>
  </si>
  <si>
    <t>10:59:52</t>
  </si>
  <si>
    <t>REC-944-LRJ0-411673</t>
  </si>
  <si>
    <t>09:45:02</t>
  </si>
  <si>
    <t>REC-3172-YIG8-318159</t>
  </si>
  <si>
    <t>08:53:39</t>
  </si>
  <si>
    <t>REC-072-KBN0-269849</t>
  </si>
  <si>
    <t>20210128</t>
  </si>
  <si>
    <t>REC-3792-A39T-127223</t>
  </si>
  <si>
    <t>18:15:10</t>
  </si>
  <si>
    <t>REC-3616-AAD9-985014</t>
  </si>
  <si>
    <t>17:56:17</t>
  </si>
  <si>
    <t>REC-3187-A2UE-54461</t>
  </si>
  <si>
    <t>17:10:26</t>
  </si>
  <si>
    <t>REC-3187-A2UB-166832</t>
  </si>
  <si>
    <t>15:39:55</t>
  </si>
  <si>
    <t>REC-5762-FE91-980551</t>
  </si>
  <si>
    <t>15:29:53</t>
  </si>
  <si>
    <t>REC-3187-YWS5-616126</t>
  </si>
  <si>
    <t>REC-3022-FNNL-550787</t>
  </si>
  <si>
    <t>14:36:28</t>
  </si>
  <si>
    <t>REC-3095-T359-439396</t>
  </si>
  <si>
    <t>14:10:09</t>
  </si>
  <si>
    <t>REC-3301-CTQ4-977570</t>
  </si>
  <si>
    <t>14:07:25</t>
  </si>
  <si>
    <t>REC-4963-A3A0-977493</t>
  </si>
  <si>
    <t>12:09:34</t>
  </si>
  <si>
    <t>REC-245-BEJI-682746</t>
  </si>
  <si>
    <t>12:01:11</t>
  </si>
  <si>
    <t>REC-5310-Z4YZ-973782</t>
  </si>
  <si>
    <t>11:58:04</t>
  </si>
  <si>
    <t>REC-3370-A6JI-267715</t>
  </si>
  <si>
    <t>11:52:00</t>
  </si>
  <si>
    <t>REC-355-J4YM-683879</t>
  </si>
  <si>
    <t>11:31:00</t>
  </si>
  <si>
    <t>REC-061-SPOX-303862</t>
  </si>
  <si>
    <t>11:29:27</t>
  </si>
  <si>
    <t>REC-3422-A3IU-642947</t>
  </si>
  <si>
    <t>10:06:43</t>
  </si>
  <si>
    <t>REC-348-AB9D-154026</t>
  </si>
  <si>
    <t>09:58:59</t>
  </si>
  <si>
    <t>REC-3360-IPEN-235701</t>
  </si>
  <si>
    <t>3908532</t>
  </si>
  <si>
    <t>0910291038</t>
  </si>
  <si>
    <t>09:18:33</t>
  </si>
  <si>
    <t>REC-3170-YGVG-333056</t>
  </si>
  <si>
    <t>20210129</t>
  </si>
  <si>
    <t>18:37:24</t>
  </si>
  <si>
    <t>REC-4313-IAI9-9673</t>
  </si>
  <si>
    <t>REC-011-JVA0-523564</t>
  </si>
  <si>
    <t>17:13:02</t>
  </si>
  <si>
    <t>REC-536-TDSM-159471</t>
  </si>
  <si>
    <t>16:05:45</t>
  </si>
  <si>
    <t>REC-678-3V18-579790</t>
  </si>
  <si>
    <t>16:04:28</t>
  </si>
  <si>
    <t>REC-678-3V18-579789</t>
  </si>
  <si>
    <t>15:11:56</t>
  </si>
  <si>
    <t>REC-3175-A3LN-143053</t>
  </si>
  <si>
    <t>14:47:04</t>
  </si>
  <si>
    <t>REC-3172-YIG8-318306</t>
  </si>
  <si>
    <t>REC-4278-IOI5-15</t>
  </si>
  <si>
    <t>3900565</t>
  </si>
  <si>
    <t>0600835219</t>
  </si>
  <si>
    <t>13:39:48</t>
  </si>
  <si>
    <t>REC-3182-YQHE-246731</t>
  </si>
  <si>
    <t>13:34:21</t>
  </si>
  <si>
    <t>REC-3295-1TWC-227969</t>
  </si>
  <si>
    <t>13:25:14</t>
  </si>
  <si>
    <t>REC-008-PB65-391458</t>
  </si>
  <si>
    <t>REC-4319-A1I3-29001</t>
  </si>
  <si>
    <t>REC-3175-A3LN-143006</t>
  </si>
  <si>
    <t>REC-678-3V18-579734</t>
  </si>
  <si>
    <t>10:57:40</t>
  </si>
  <si>
    <t>REC-223-V7XD-284619</t>
  </si>
  <si>
    <t>10:35:45</t>
  </si>
  <si>
    <t>REC-6397-A5XK-20661</t>
  </si>
  <si>
    <t>10:25:57</t>
  </si>
  <si>
    <t>REC-944-LRJW-296814</t>
  </si>
  <si>
    <t>10:15:05</t>
  </si>
  <si>
    <t>REC-3295-1TWC-227936</t>
  </si>
  <si>
    <t>09:42:13</t>
  </si>
  <si>
    <t>REC-3370-A6JI-267847</t>
  </si>
  <si>
    <t>18:53:11</t>
  </si>
  <si>
    <t>REC-7828-LV64-2224</t>
  </si>
  <si>
    <t>20210130</t>
  </si>
  <si>
    <t>17:38:55</t>
  </si>
  <si>
    <t>REC-3295-1T8A-215590</t>
  </si>
  <si>
    <t>17:29:52</t>
  </si>
  <si>
    <t>REC-3172-LIO7-122787</t>
  </si>
  <si>
    <t>REC-4721-A1WI-12780</t>
  </si>
  <si>
    <t>16:30:29</t>
  </si>
  <si>
    <t>REC-585-VR9E-511515</t>
  </si>
  <si>
    <t>15:20:47</t>
  </si>
  <si>
    <t>REC-3392-A39W-422028</t>
  </si>
  <si>
    <t>15:05:07</t>
  </si>
  <si>
    <t>REC-3170-YGVG-333310</t>
  </si>
  <si>
    <t>REC-3187-A2UE-54626</t>
  </si>
  <si>
    <t>REC-245-BEJI-683072</t>
  </si>
  <si>
    <t>REC-7545-PS31-6236</t>
  </si>
  <si>
    <t>12:05:31</t>
  </si>
  <si>
    <t>REC-3422-A25Y-105071</t>
  </si>
  <si>
    <t>11:54:00</t>
  </si>
  <si>
    <t>REC-3187-A2UB-166945</t>
  </si>
  <si>
    <t>11:31:13</t>
  </si>
  <si>
    <t>REC-3808-A3Z9-538963</t>
  </si>
  <si>
    <t>REC-3392-A39W-421955</t>
  </si>
  <si>
    <t>10:33:47</t>
  </si>
  <si>
    <t>REC-3808-A3Z9-538945</t>
  </si>
  <si>
    <t>10:16:19</t>
  </si>
  <si>
    <t>REC-609-A1M3-331491</t>
  </si>
  <si>
    <t>20210131</t>
  </si>
  <si>
    <t>17:51:55</t>
  </si>
  <si>
    <t>REC-342-VEHD-479241</t>
  </si>
  <si>
    <t>14:58:08</t>
  </si>
  <si>
    <t>REC-348-AB9D-154569</t>
  </si>
  <si>
    <t>14:50:45</t>
  </si>
  <si>
    <t>REC-4960-A1QG-105762</t>
  </si>
  <si>
    <t>14:42:30</t>
  </si>
  <si>
    <t>REC-5585-A2XB-76195</t>
  </si>
  <si>
    <t>14:20:35</t>
  </si>
  <si>
    <t>REC-3371-LD0C-303006</t>
  </si>
  <si>
    <t>REC-096-LIO1-556254</t>
  </si>
  <si>
    <t>REC-3172-LIO6-136030</t>
  </si>
  <si>
    <t xml:space="preserve">JORGE ALBERTO NORERO SANTOS             </t>
  </si>
  <si>
    <t xml:space="preserve">FINANCORE NET SERVICIOS TRANSA          </t>
  </si>
  <si>
    <t xml:space="preserve">GUERRERO RENDON VICTORIA EDITA          </t>
  </si>
  <si>
    <t xml:space="preserve">LAMINA ALMEIDA  SOLEDAD ANGELI          </t>
  </si>
  <si>
    <t xml:space="preserve">LAMINA ALMEIDA SOLEDAD ANGELIC          </t>
  </si>
  <si>
    <t xml:space="preserve">BELINDA LEONOR QUIJANO GOMEZ            </t>
  </si>
  <si>
    <t xml:space="preserve">NAVARRETE CEDENO RUTH ELIZABET          </t>
  </si>
  <si>
    <t xml:space="preserve">GALLEGOS ABARCA FILOMENA RUTH           </t>
  </si>
  <si>
    <t xml:space="preserve">LABORATORIOS RENALABSA S A              </t>
  </si>
  <si>
    <t xml:space="preserve">VELASCO ARIAS LEYTON VICENTE            </t>
  </si>
  <si>
    <t xml:space="preserve">CESAR AUGUSTO GAVILANES AGUIRR          </t>
  </si>
  <si>
    <t xml:space="preserve">CENTOP SA                               </t>
  </si>
  <si>
    <t>W1</t>
  </si>
  <si>
    <t>W3</t>
  </si>
  <si>
    <t>W4</t>
  </si>
  <si>
    <t>20201230</t>
  </si>
  <si>
    <t>19:14:25</t>
  </si>
  <si>
    <t>REC-3172-YIHD-253929</t>
  </si>
  <si>
    <t>3909019</t>
  </si>
  <si>
    <t>1720348901</t>
  </si>
  <si>
    <t>18:13:56</t>
  </si>
  <si>
    <t>REC-536-2GEZ-352936</t>
  </si>
  <si>
    <t>17:50:22</t>
  </si>
  <si>
    <t>REC-096-LIO1-553181</t>
  </si>
  <si>
    <t>3903669</t>
  </si>
  <si>
    <t>0922294269</t>
  </si>
  <si>
    <t>17:21:48</t>
  </si>
  <si>
    <t>REC-2004-CNH2-595503</t>
  </si>
  <si>
    <t>3903535</t>
  </si>
  <si>
    <t>1304404278</t>
  </si>
  <si>
    <t>16:47:05</t>
  </si>
  <si>
    <t>REC-355-J4YM-680467</t>
  </si>
  <si>
    <t>3900044</t>
  </si>
  <si>
    <t>0925657694</t>
  </si>
  <si>
    <t>16:03:05</t>
  </si>
  <si>
    <t>REC-678-3V18-577300</t>
  </si>
  <si>
    <t>3900192</t>
  </si>
  <si>
    <t>0702262122</t>
  </si>
  <si>
    <t>15:56:17</t>
  </si>
  <si>
    <t>REC-3175-A3LN-139752</t>
  </si>
  <si>
    <t>3903836</t>
  </si>
  <si>
    <t>1203026479</t>
  </si>
  <si>
    <t>15:52:28</t>
  </si>
  <si>
    <t>REC-7836-LV73-297</t>
  </si>
  <si>
    <t>3909252</t>
  </si>
  <si>
    <t>0905742508</t>
  </si>
  <si>
    <t>15:20:45</t>
  </si>
  <si>
    <t>REC-3370-A6JI-264010</t>
  </si>
  <si>
    <t>15:02:04</t>
  </si>
  <si>
    <t>REC-4202-A16N-8533</t>
  </si>
  <si>
    <t>14:57:44</t>
  </si>
  <si>
    <t>REC-3360-IPEN-233747</t>
  </si>
  <si>
    <t>3900592</t>
  </si>
  <si>
    <t>0903202992</t>
  </si>
  <si>
    <t>14:27:16</t>
  </si>
  <si>
    <t>REC-3577-A1IU-159813</t>
  </si>
  <si>
    <t>3903603</t>
  </si>
  <si>
    <t>0902428952</t>
  </si>
  <si>
    <t>14:01:25</t>
  </si>
  <si>
    <t>REC-045-VMU0-352536</t>
  </si>
  <si>
    <t>3907361</t>
  </si>
  <si>
    <t>1706802582</t>
  </si>
  <si>
    <t>14:00:49</t>
  </si>
  <si>
    <t>REC-3370-A6JI-263981</t>
  </si>
  <si>
    <t>3908874</t>
  </si>
  <si>
    <t>0907844088</t>
  </si>
  <si>
    <t>13:27:56</t>
  </si>
  <si>
    <t>REC-3172-LIO7-120283</t>
  </si>
  <si>
    <t>3906713</t>
  </si>
  <si>
    <t>0923998702</t>
  </si>
  <si>
    <t>13:13:48</t>
  </si>
  <si>
    <t>REC-3577-A26V-535177</t>
  </si>
  <si>
    <t>3907213</t>
  </si>
  <si>
    <t>0908200280</t>
  </si>
  <si>
    <t>13:09:03</t>
  </si>
  <si>
    <t>REC-4202-A16N-8532</t>
  </si>
  <si>
    <t>12:39:28</t>
  </si>
  <si>
    <t>REC-011-VD5Z-361712</t>
  </si>
  <si>
    <t>12:22:14</t>
  </si>
  <si>
    <t>REC-3422-A3IU-639994</t>
  </si>
  <si>
    <t>3930220</t>
  </si>
  <si>
    <t>0929242584</t>
  </si>
  <si>
    <t>12:15:07</t>
  </si>
  <si>
    <t>REC-218-B6EC-368084</t>
  </si>
  <si>
    <t>3908267</t>
  </si>
  <si>
    <t>0914450887</t>
  </si>
  <si>
    <t>11:33:41</t>
  </si>
  <si>
    <t>REC-4164-A1CB-127464</t>
  </si>
  <si>
    <t>11:24:06</t>
  </si>
  <si>
    <t>REC-048-AFEP-251409</t>
  </si>
  <si>
    <t>3907422</t>
  </si>
  <si>
    <t>0900217407</t>
  </si>
  <si>
    <t>11:13:01</t>
  </si>
  <si>
    <t>REC-678-3V18-577253</t>
  </si>
  <si>
    <t>3902636</t>
  </si>
  <si>
    <t>0930895404</t>
  </si>
  <si>
    <t>10:16:16</t>
  </si>
  <si>
    <t>REC-4010-LOP1-250082</t>
  </si>
  <si>
    <t>3909169</t>
  </si>
  <si>
    <t>0902055060</t>
  </si>
  <si>
    <t>10:12:20</t>
  </si>
  <si>
    <t>REC-3789-ACA8-249850</t>
  </si>
  <si>
    <t>3908979</t>
  </si>
  <si>
    <t>0927564351</t>
  </si>
  <si>
    <t>09:37:56</t>
  </si>
  <si>
    <t>REC-3792-A24Z-567289</t>
  </si>
  <si>
    <t>3909047</t>
  </si>
  <si>
    <t>0802149252</t>
  </si>
  <si>
    <t>09:35:43</t>
  </si>
  <si>
    <t>REC-3095-T359-435861</t>
  </si>
  <si>
    <t>3930097</t>
  </si>
  <si>
    <t>1311392532</t>
  </si>
  <si>
    <t>09:24:53</t>
  </si>
  <si>
    <t>REC-4202-A16N-8530</t>
  </si>
  <si>
    <t>3906370</t>
  </si>
  <si>
    <t>0914372701</t>
  </si>
  <si>
    <t>09:17:54</t>
  </si>
  <si>
    <t>REC-028-A3ZW-75455</t>
  </si>
  <si>
    <t>3907153</t>
  </si>
  <si>
    <t>0926571589</t>
  </si>
  <si>
    <t>08:49:33</t>
  </si>
  <si>
    <t>REC-551-VOI9-575338</t>
  </si>
  <si>
    <t>3907725</t>
  </si>
  <si>
    <t>0905504791</t>
  </si>
  <si>
    <t>20201231</t>
  </si>
  <si>
    <t>18:21:32</t>
  </si>
  <si>
    <t>REC-3370-A6JI-264172</t>
  </si>
  <si>
    <t>3900891</t>
  </si>
  <si>
    <t>0914753199</t>
  </si>
  <si>
    <t>18:20:10</t>
  </si>
  <si>
    <t>REC-3370-A6JI-264171</t>
  </si>
  <si>
    <t>3906308</t>
  </si>
  <si>
    <t>0908891237</t>
  </si>
  <si>
    <t>16:56:00</t>
  </si>
  <si>
    <t>REC-5585-RQ83-26206</t>
  </si>
  <si>
    <t>3930367</t>
  </si>
  <si>
    <t>0925927311</t>
  </si>
  <si>
    <t>16:43:04</t>
  </si>
  <si>
    <t>REC-3360-IPEN-233805</t>
  </si>
  <si>
    <t>3906015</t>
  </si>
  <si>
    <t>0910477629</t>
  </si>
  <si>
    <t>16:02:43</t>
  </si>
  <si>
    <t>REC-3187-YWS5-613806</t>
  </si>
  <si>
    <t>3907548</t>
  </si>
  <si>
    <t>0962386553</t>
  </si>
  <si>
    <t>14:53:38</t>
  </si>
  <si>
    <t>REC-6397-A5XK-19118</t>
  </si>
  <si>
    <t>3909012</t>
  </si>
  <si>
    <t>0914681473</t>
  </si>
  <si>
    <t>12:07:24</t>
  </si>
  <si>
    <t>REC-5001-A1C1-13604</t>
  </si>
  <si>
    <t>3908093</t>
  </si>
  <si>
    <t>0909804619</t>
  </si>
  <si>
    <t>11:25:22</t>
  </si>
  <si>
    <t>REC-3172-YIHD-253955</t>
  </si>
  <si>
    <t>3903218</t>
  </si>
  <si>
    <t>0922770102</t>
  </si>
  <si>
    <t>11:14:56</t>
  </si>
  <si>
    <t>REC-7316-RQ67-3025</t>
  </si>
  <si>
    <t>3907794</t>
  </si>
  <si>
    <t>0930202858</t>
  </si>
  <si>
    <t>11:07:20</t>
  </si>
  <si>
    <t>REC-048-QNCI-635593</t>
  </si>
  <si>
    <t>10:50:58</t>
  </si>
  <si>
    <t>REC-3187-YWS5-613768</t>
  </si>
  <si>
    <t>3906008</t>
  </si>
  <si>
    <t>0926058413</t>
  </si>
  <si>
    <t>09:27:02</t>
  </si>
  <si>
    <t>REC-4960-A1QG-101958</t>
  </si>
  <si>
    <t>08:54:19</t>
  </si>
  <si>
    <t>REC-5310-Z4YZ-276568</t>
  </si>
  <si>
    <t>3930289</t>
  </si>
  <si>
    <t>0928677194</t>
  </si>
  <si>
    <t>W2</t>
  </si>
  <si>
    <t>(-) RETENCIONES APLICADAS</t>
  </si>
  <si>
    <t>W5</t>
  </si>
  <si>
    <t>SALDO SEGÚN ESTADO DE CUENTA AL 31 DE ENERO DEL 2021</t>
  </si>
  <si>
    <t>SALDO SEGÚN LIBRO BANCOS AL 31 DE ENERO DEL 2021</t>
  </si>
  <si>
    <t xml:space="preserve">ALFREDO GEOVANNY SANCHEZ BENAV          </t>
  </si>
  <si>
    <t xml:space="preserve">NELSON SAVITRI  VELASCO PAZMIN          </t>
  </si>
  <si>
    <t xml:space="preserve">JORGE ALFREDO FRANCO MORAN              </t>
  </si>
  <si>
    <t xml:space="preserve">ARTURO ALFONSO VELASCO TUTIVEN          </t>
  </si>
  <si>
    <t xml:space="preserve">JAVIER MAURICIO RODRIGO ALBAN           </t>
  </si>
  <si>
    <t xml:space="preserve">FERNANDO JAVIER MARTINEZ GOMEZ          </t>
  </si>
  <si>
    <t xml:space="preserve">ALEXANDRA KATHERINE ROMO MONTO          </t>
  </si>
  <si>
    <t xml:space="preserve">RAFAEL VICENTE ERAZO FALQUEZ            </t>
  </si>
  <si>
    <t xml:space="preserve">DULCES PASTELES Y TORTAS RADU           </t>
  </si>
  <si>
    <t>at-3232</t>
  </si>
  <si>
    <t xml:space="preserve">JORGE JOSE  TORBAY GONZALEZ             </t>
  </si>
  <si>
    <t xml:space="preserve">MONGE SCALDAFERRI ANDRES ALBER          </t>
  </si>
  <si>
    <t xml:space="preserve">HENRY LENY BETANCOURT VITERI            </t>
  </si>
  <si>
    <t xml:space="preserve">EVELYN ROSANGELA ARGUELLO JURA          </t>
  </si>
  <si>
    <t xml:space="preserve">CEVALLOS ORVEN AMADITA                  </t>
  </si>
  <si>
    <t>at-3227</t>
  </si>
  <si>
    <t xml:space="preserve">VARGAS TORRES ZENIA                     </t>
  </si>
  <si>
    <t xml:space="preserve">FLORES ORTEGA MERCEDES ROCIO            </t>
  </si>
  <si>
    <t xml:space="preserve">CEVALLOS ZAVALA BOLIVAR ANTONI          </t>
  </si>
  <si>
    <t xml:space="preserve">REYES SOLIS  MARJORIE YOLANDA           </t>
  </si>
  <si>
    <t xml:space="preserve">PESANTES GUAMAN DANIEL ARTURO           </t>
  </si>
  <si>
    <t xml:space="preserve">JIMENEZ ALVAREZ GARY WINDER             </t>
  </si>
  <si>
    <t xml:space="preserve">PRETOMEL SA                             </t>
  </si>
  <si>
    <t>at-3221</t>
  </si>
  <si>
    <t xml:space="preserve">TAFUR MOSQUERA AMPARO JACQUELI          </t>
  </si>
  <si>
    <t xml:space="preserve">LUIS EDUARDO BAQUERIZO BRAND            </t>
  </si>
  <si>
    <t xml:space="preserve">SANCHEZ EGAS LIZETH MARITZA             </t>
  </si>
  <si>
    <t xml:space="preserve">SALTOS MATA FILADELFO VLADIMIR          </t>
  </si>
  <si>
    <t xml:space="preserve">CHALEN ROSADO VICENTE MANUEL            </t>
  </si>
  <si>
    <t xml:space="preserve">MORA REYES JOSE FRANK                   </t>
  </si>
  <si>
    <t xml:space="preserve">INZHIVOTKINA YANA                       </t>
  </si>
  <si>
    <t xml:space="preserve">GIOVANNY NARVAEZ PORTILLA               </t>
  </si>
  <si>
    <t xml:space="preserve">BUSTAMANTE TORRES CAMILO EDUAR          </t>
  </si>
  <si>
    <t xml:space="preserve">CARMEN NARCISA  JURADO PAREDES          </t>
  </si>
  <si>
    <t xml:space="preserve">VILLAO JURADO ANDREA BELEN              </t>
  </si>
  <si>
    <t xml:space="preserve">CAMPOS VELEZ HENRRY GONZALO             </t>
  </si>
  <si>
    <t xml:space="preserve">RECICLA ELECTRONIC RECICLAJES           </t>
  </si>
  <si>
    <t xml:space="preserve">PROANO PIEDRA CHRISTIAN XAVIER          </t>
  </si>
  <si>
    <t xml:space="preserve">BAJANA DE LA ROSA SANTIAGO EDI          </t>
  </si>
  <si>
    <t xml:space="preserve">SANCHEZ TIMM RAFAEL ANDRES              </t>
  </si>
  <si>
    <t xml:space="preserve">JULIO MIGUEL NARANJO FIALLOS            </t>
  </si>
  <si>
    <t xml:space="preserve">VICTOR HUGO PEZO AQUINO                 </t>
  </si>
  <si>
    <t xml:space="preserve">TENENUELA CEPEDA MARIA MANUELA          </t>
  </si>
  <si>
    <t xml:space="preserve">AUTOMERCADO SA                          </t>
  </si>
  <si>
    <t xml:space="preserve">MARCELA CAROLINA BEDON BEDOYA           </t>
  </si>
  <si>
    <t xml:space="preserve">CAMPOS Y ASOCIADOS CIA LTDA             </t>
  </si>
  <si>
    <t xml:space="preserve">CAROLINA GLORIA BRAVO TOMALA            </t>
  </si>
  <si>
    <t xml:space="preserve">UBILLA MORAN MARIANA JACQUELIN          </t>
  </si>
  <si>
    <t xml:space="preserve">HERNANDEZ GOMEZ EDDY MAXIMO             </t>
  </si>
  <si>
    <t xml:space="preserve">VALERO CEPEDA IVONNE MARIA              </t>
  </si>
  <si>
    <t xml:space="preserve">VICENTE ANTONIO VITERI GOMEZ            </t>
  </si>
  <si>
    <t xml:space="preserve">SOXO QUICHIMBO IVONNE ALEXANDR          </t>
  </si>
  <si>
    <t xml:space="preserve">RUIZ VELEZ LIBIA KARINA                 </t>
  </si>
  <si>
    <t xml:space="preserve">MAZZINI RIVADENEIRA VALERIE GE          </t>
  </si>
  <si>
    <t xml:space="preserve">ANDRADE FLORENCIA  EMILIO JOSE          </t>
  </si>
  <si>
    <t xml:space="preserve">MARTINEZ PUGA XAVIER ENRRIQUE           </t>
  </si>
  <si>
    <t xml:space="preserve">DUENAS RUIZ TERESA EDITH                </t>
  </si>
  <si>
    <t xml:space="preserve">PERALTA RUA JOSE LUIS                   </t>
  </si>
  <si>
    <t xml:space="preserve">AMAGUAYA CHUQUI ANGEL DANIEL            </t>
  </si>
  <si>
    <t xml:space="preserve">MARIA FERNANDA GONZALEZ MITE            </t>
  </si>
  <si>
    <t xml:space="preserve">MENDIETA VILLALVA ROSA MARIA            </t>
  </si>
  <si>
    <t>BCO PACIFICO MES DE FEBRERO</t>
  </si>
  <si>
    <t>20210201</t>
  </si>
  <si>
    <t>16:26:17</t>
  </si>
  <si>
    <t>REC-072-KBN0-270813</t>
  </si>
  <si>
    <t>16:22:45</t>
  </si>
  <si>
    <t>REC-3201-Y46O-436447</t>
  </si>
  <si>
    <t>3908184</t>
  </si>
  <si>
    <t>0914895941</t>
  </si>
  <si>
    <t>16:21:14</t>
  </si>
  <si>
    <t>REC-5001-A1C1-14532</t>
  </si>
  <si>
    <t>16:18:42</t>
  </si>
  <si>
    <t>REC-3371-EFX5-187693</t>
  </si>
  <si>
    <t>REC-678-3V18-579990</t>
  </si>
  <si>
    <t>15:24:08</t>
  </si>
  <si>
    <t>REC-536-2GEZ-355866</t>
  </si>
  <si>
    <t>3901139</t>
  </si>
  <si>
    <t>0915356125</t>
  </si>
  <si>
    <t>15:11:23</t>
  </si>
  <si>
    <t>REC-061-SPOX-303981</t>
  </si>
  <si>
    <t>14:40:13</t>
  </si>
  <si>
    <t>REC-4190-A13K-391455</t>
  </si>
  <si>
    <t>23923080</t>
  </si>
  <si>
    <t>0601690043</t>
  </si>
  <si>
    <t>14:31:33</t>
  </si>
  <si>
    <t>REC-944-PR10-435511</t>
  </si>
  <si>
    <t>3906744</t>
  </si>
  <si>
    <t>0931224786</t>
  </si>
  <si>
    <t>13:16:04</t>
  </si>
  <si>
    <t>REC-4301-IAI1-58367</t>
  </si>
  <si>
    <t>12:39:25</t>
  </si>
  <si>
    <t>REC-3371-EGEG-264650</t>
  </si>
  <si>
    <t>3902769</t>
  </si>
  <si>
    <t>0922646773</t>
  </si>
  <si>
    <t>11:45:36</t>
  </si>
  <si>
    <t>REC-072-AV01-5537</t>
  </si>
  <si>
    <t>REC-096-DCIZ-470390</t>
  </si>
  <si>
    <t>11:14:54</t>
  </si>
  <si>
    <t>REC-5762-FE91-50738</t>
  </si>
  <si>
    <t>10:39:49</t>
  </si>
  <si>
    <t>REC-4313-IAI9-47746</t>
  </si>
  <si>
    <t>3903464</t>
  </si>
  <si>
    <t>0920516317</t>
  </si>
  <si>
    <t>10:33:42</t>
  </si>
  <si>
    <t>REC-3360-IPEN-235908</t>
  </si>
  <si>
    <t>3902689</t>
  </si>
  <si>
    <t>0915087324</t>
  </si>
  <si>
    <t>10:30:30</t>
  </si>
  <si>
    <t>REC-096-LIO1-556315</t>
  </si>
  <si>
    <t>3930260</t>
  </si>
  <si>
    <t>0917129884</t>
  </si>
  <si>
    <t>10:27:37</t>
  </si>
  <si>
    <t>REC-4934-A1ZV-46798</t>
  </si>
  <si>
    <t>10:12:21</t>
  </si>
  <si>
    <t>REC-551-VOI8-616493</t>
  </si>
  <si>
    <t>3903130</t>
  </si>
  <si>
    <t>0927129775</t>
  </si>
  <si>
    <t>09:00:35</t>
  </si>
  <si>
    <t>REC-3412-PTE5-41418</t>
  </si>
  <si>
    <t>18:18:19</t>
  </si>
  <si>
    <t>REC-3808-A3Z9-539191</t>
  </si>
  <si>
    <t>18:13:45</t>
  </si>
  <si>
    <t>REC-5643-AA10-73703</t>
  </si>
  <si>
    <t>3900049</t>
  </si>
  <si>
    <t>0923473912</t>
  </si>
  <si>
    <t>18:13:36</t>
  </si>
  <si>
    <t>REC-4164-A19P-168401</t>
  </si>
  <si>
    <t>20210202</t>
  </si>
  <si>
    <t>19:28:48</t>
  </si>
  <si>
    <t>REC-611-J4ZN-513916</t>
  </si>
  <si>
    <t>3903332</t>
  </si>
  <si>
    <t>0924741481</t>
  </si>
  <si>
    <t>18:07:03</t>
  </si>
  <si>
    <t>REC-4164-A1LY-145143</t>
  </si>
  <si>
    <t>3908698</t>
  </si>
  <si>
    <t>0905011763</t>
  </si>
  <si>
    <t>17:46:05</t>
  </si>
  <si>
    <t>REC-096-LIO1-556573</t>
  </si>
  <si>
    <t>3901541</t>
  </si>
  <si>
    <t>0923087787</t>
  </si>
  <si>
    <t>17:31:35</t>
  </si>
  <si>
    <t>REC-3412-PTE5-107577</t>
  </si>
  <si>
    <t>3902729</t>
  </si>
  <si>
    <t>0917965840</t>
  </si>
  <si>
    <t>17:10:51</t>
  </si>
  <si>
    <t>REC-5356-A2SJ-21590</t>
  </si>
  <si>
    <t>3908565</t>
  </si>
  <si>
    <t>0925444713</t>
  </si>
  <si>
    <t>17:02:51</t>
  </si>
  <si>
    <t>REC-678-3V18-580139</t>
  </si>
  <si>
    <t>3900506</t>
  </si>
  <si>
    <t>0801920539</t>
  </si>
  <si>
    <t>16:48:48</t>
  </si>
  <si>
    <t>REC-3022-A364-137463</t>
  </si>
  <si>
    <t>16:11:48</t>
  </si>
  <si>
    <t>REC-3360-IPEN-236022</t>
  </si>
  <si>
    <t>3907626</t>
  </si>
  <si>
    <t>0913045977</t>
  </si>
  <si>
    <t>16:11:24</t>
  </si>
  <si>
    <t>REC-061-A6S4-158107</t>
  </si>
  <si>
    <t>3907511</t>
  </si>
  <si>
    <t>0908199318</t>
  </si>
  <si>
    <t>15:44:33</t>
  </si>
  <si>
    <t>REC-543-U5H7-576450</t>
  </si>
  <si>
    <t>3903234</t>
  </si>
  <si>
    <t>0923450969</t>
  </si>
  <si>
    <t>14:44:23</t>
  </si>
  <si>
    <t>REC-5635-A2YS-34237</t>
  </si>
  <si>
    <t>3902645</t>
  </si>
  <si>
    <t>0925335432</t>
  </si>
  <si>
    <t>13:55:48</t>
  </si>
  <si>
    <t>REC-5585-A2XB-76541</t>
  </si>
  <si>
    <t>3902499</t>
  </si>
  <si>
    <t>0922181037</t>
  </si>
  <si>
    <t>13:22:26</t>
  </si>
  <si>
    <t>REC-004-P4FN-102511</t>
  </si>
  <si>
    <t>3900509</t>
  </si>
  <si>
    <t>0911576726</t>
  </si>
  <si>
    <t>13:22:01</t>
  </si>
  <si>
    <t>REC-004-P4FN-102510</t>
  </si>
  <si>
    <t>3907736</t>
  </si>
  <si>
    <t>0910275767</t>
  </si>
  <si>
    <t>13:21:11</t>
  </si>
  <si>
    <t>REC-004-P4FN-102509</t>
  </si>
  <si>
    <t>3908810</t>
  </si>
  <si>
    <t>0909224198</t>
  </si>
  <si>
    <t>12:42:18</t>
  </si>
  <si>
    <t>REC-810-5CAY-440015</t>
  </si>
  <si>
    <t>12:28:23</t>
  </si>
  <si>
    <t>REC-3029-M9QX-208528</t>
  </si>
  <si>
    <t>23923163</t>
  </si>
  <si>
    <t>1708072838</t>
  </si>
  <si>
    <t>11:55:25</t>
  </si>
  <si>
    <t>REC-3371-LD0C-303263</t>
  </si>
  <si>
    <t>3906280</t>
  </si>
  <si>
    <t>0920061587</t>
  </si>
  <si>
    <t>11:10:33</t>
  </si>
  <si>
    <t>REC-944-PR10-435642</t>
  </si>
  <si>
    <t>3902395</t>
  </si>
  <si>
    <t>0912213287</t>
  </si>
  <si>
    <t>11:08:08</t>
  </si>
  <si>
    <t>REC-342-EBMO-290884</t>
  </si>
  <si>
    <t>3908551</t>
  </si>
  <si>
    <t>1301853568</t>
  </si>
  <si>
    <t>10:23:58</t>
  </si>
  <si>
    <t>REC-355-J4YM-684333</t>
  </si>
  <si>
    <t>3902504</t>
  </si>
  <si>
    <t>0913707022</t>
  </si>
  <si>
    <t>10:23:15</t>
  </si>
  <si>
    <t>REC-678-3V18-580041</t>
  </si>
  <si>
    <t>10:16:27</t>
  </si>
  <si>
    <t>REC-551-VOI8-616598</t>
  </si>
  <si>
    <t>3903868</t>
  </si>
  <si>
    <t>0910190552</t>
  </si>
  <si>
    <t>10:12:51</t>
  </si>
  <si>
    <t>REC-3792-A24Z-571893</t>
  </si>
  <si>
    <t>3903338</t>
  </si>
  <si>
    <t>0915147268</t>
  </si>
  <si>
    <t>REC-7916-AV03-105</t>
  </si>
  <si>
    <t>3903790</t>
  </si>
  <si>
    <t>1200603403001</t>
  </si>
  <si>
    <t>09:23:34</t>
  </si>
  <si>
    <t>REC-3708-AAP5-81252</t>
  </si>
  <si>
    <t>3909046</t>
  </si>
  <si>
    <t>0916551930001</t>
  </si>
  <si>
    <t>20210203</t>
  </si>
  <si>
    <t>20:09:22</t>
  </si>
  <si>
    <t>REC-096-ZU7N-264460</t>
  </si>
  <si>
    <t>19:04:30</t>
  </si>
  <si>
    <t>REC-4164-A1CB-129763</t>
  </si>
  <si>
    <t>3906862</t>
  </si>
  <si>
    <t>0900522046</t>
  </si>
  <si>
    <t>18:21:20</t>
  </si>
  <si>
    <t>REC-3792-A24Z-572233</t>
  </si>
  <si>
    <t>17:38:15</t>
  </si>
  <si>
    <t>REC-223-B7CD-589498</t>
  </si>
  <si>
    <t>17:18:57</t>
  </si>
  <si>
    <t>REC-3510-A4F9-252161</t>
  </si>
  <si>
    <t>3902061</t>
  </si>
  <si>
    <t>0902350875</t>
  </si>
  <si>
    <t>17:02:40</t>
  </si>
  <si>
    <t>REC-364-14ZM-1428673</t>
  </si>
  <si>
    <t>23923033</t>
  </si>
  <si>
    <t>1205522582</t>
  </si>
  <si>
    <t>16:36:53</t>
  </si>
  <si>
    <t>REC-4882-A1XW-139110</t>
  </si>
  <si>
    <t>3907680</t>
  </si>
  <si>
    <t>0918574823</t>
  </si>
  <si>
    <t>16:15:00</t>
  </si>
  <si>
    <t>REC-241-M1DC-354586</t>
  </si>
  <si>
    <t>3906052</t>
  </si>
  <si>
    <t>0950808493</t>
  </si>
  <si>
    <t>15:04:41</t>
  </si>
  <si>
    <t>REC-5276-A2G3-240073</t>
  </si>
  <si>
    <t>3907527</t>
  </si>
  <si>
    <t>0905116588</t>
  </si>
  <si>
    <t>14:33:17</t>
  </si>
  <si>
    <t>REC-3189-YWSY-171079</t>
  </si>
  <si>
    <t>3906022</t>
  </si>
  <si>
    <t>0906428362</t>
  </si>
  <si>
    <t>14:19:53</t>
  </si>
  <si>
    <t>REC-4942-A1Z4-132979</t>
  </si>
  <si>
    <t>3900034</t>
  </si>
  <si>
    <t>0917854150</t>
  </si>
  <si>
    <t>13:32:17</t>
  </si>
  <si>
    <t>REC-048-QNCI-638305</t>
  </si>
  <si>
    <t>13:12:57</t>
  </si>
  <si>
    <t>REC-4319-1AH9-9115</t>
  </si>
  <si>
    <t>3900129</t>
  </si>
  <si>
    <t>0920109162</t>
  </si>
  <si>
    <t>13:06:07</t>
  </si>
  <si>
    <t>REC-4164-A19P-168633</t>
  </si>
  <si>
    <t>3909230</t>
  </si>
  <si>
    <t>0908402910</t>
  </si>
  <si>
    <t>12:50:31</t>
  </si>
  <si>
    <t>REC-3187-YWS5-616639</t>
  </si>
  <si>
    <t>3908506</t>
  </si>
  <si>
    <t>0918005158001</t>
  </si>
  <si>
    <t>12:49:23</t>
  </si>
  <si>
    <t>REC-3187-YWS5-616638</t>
  </si>
  <si>
    <t>3908505</t>
  </si>
  <si>
    <t>12:44:51</t>
  </si>
  <si>
    <t>REC-3172-LIO5-574782</t>
  </si>
  <si>
    <t>3900373</t>
  </si>
  <si>
    <t>0907688675</t>
  </si>
  <si>
    <t>12:11:42</t>
  </si>
  <si>
    <t>REC-7702-S551-582</t>
  </si>
  <si>
    <t>3908531</t>
  </si>
  <si>
    <t>0919733311</t>
  </si>
  <si>
    <t>at-3217</t>
  </si>
  <si>
    <t>11:43:54</t>
  </si>
  <si>
    <t>REC-3295-1TWC-228425</t>
  </si>
  <si>
    <t>3901238</t>
  </si>
  <si>
    <t>0691722449001</t>
  </si>
  <si>
    <t>11:06:57</t>
  </si>
  <si>
    <t>REC-5989-GFL6-123373</t>
  </si>
  <si>
    <t>3900917</t>
  </si>
  <si>
    <t>0926045998</t>
  </si>
  <si>
    <t>11:02:44</t>
  </si>
  <si>
    <t>REC-5328-A640-123108</t>
  </si>
  <si>
    <t>10:50:12</t>
  </si>
  <si>
    <t>REC-5342-A13Y-96</t>
  </si>
  <si>
    <t>3907331</t>
  </si>
  <si>
    <t>0993086533001</t>
  </si>
  <si>
    <t>10:47:12</t>
  </si>
  <si>
    <t>REC-4313-IAI9-122120</t>
  </si>
  <si>
    <t>3903537</t>
  </si>
  <si>
    <t>0906690136</t>
  </si>
  <si>
    <t>REC-518-RI70-197330</t>
  </si>
  <si>
    <t>10:21:53</t>
  </si>
  <si>
    <t>REC-4976-A25U-7525</t>
  </si>
  <si>
    <t>3908527</t>
  </si>
  <si>
    <t>0991171436001</t>
  </si>
  <si>
    <t>10:13:58</t>
  </si>
  <si>
    <t>REC-3769-A26U-9278</t>
  </si>
  <si>
    <t>3909795</t>
  </si>
  <si>
    <t>0928317841</t>
  </si>
  <si>
    <t>09:04:13</t>
  </si>
  <si>
    <t>REC-3784-ATA2-185389</t>
  </si>
  <si>
    <t>3930170</t>
  </si>
  <si>
    <t>0917040057</t>
  </si>
  <si>
    <t>09:03:47</t>
  </si>
  <si>
    <t>REC-611-J4ZN-513918</t>
  </si>
  <si>
    <t>3903541</t>
  </si>
  <si>
    <t>0201307980</t>
  </si>
  <si>
    <t>08:05:29</t>
  </si>
  <si>
    <t>REC-518-RI70-197307</t>
  </si>
  <si>
    <t>3907333</t>
  </si>
  <si>
    <t>0956425185</t>
  </si>
  <si>
    <t>20210204</t>
  </si>
  <si>
    <t>19:07:28</t>
  </si>
  <si>
    <t>REC-3370-A6JI-268861</t>
  </si>
  <si>
    <t>18:20:19</t>
  </si>
  <si>
    <t>REC-4717-FRZ4-175855</t>
  </si>
  <si>
    <t>3907362</t>
  </si>
  <si>
    <t>0926122946001</t>
  </si>
  <si>
    <t>18:10:14</t>
  </si>
  <si>
    <t>REC-3182-YQHE-247445</t>
  </si>
  <si>
    <t>17:15:49</t>
  </si>
  <si>
    <t>REC-5342-A13Y-100</t>
  </si>
  <si>
    <t>3903888</t>
  </si>
  <si>
    <t>0916235922</t>
  </si>
  <si>
    <t>16:50:58</t>
  </si>
  <si>
    <t>REC-072-4PW8-215727</t>
  </si>
  <si>
    <t>16:33:43</t>
  </si>
  <si>
    <t>REC-3023-IZCF-586649</t>
  </si>
  <si>
    <t>3906882</t>
  </si>
  <si>
    <t>0958056426</t>
  </si>
  <si>
    <t>16:12:34</t>
  </si>
  <si>
    <t>REC-061-AF82-284116</t>
  </si>
  <si>
    <t>3907894</t>
  </si>
  <si>
    <t>0925648073</t>
  </si>
  <si>
    <t>16:09:11</t>
  </si>
  <si>
    <t>REC-4976-A25U-7537</t>
  </si>
  <si>
    <t>3907299</t>
  </si>
  <si>
    <t>0916918378001</t>
  </si>
  <si>
    <t>16:06:29</t>
  </si>
  <si>
    <t>REC-4164-A1LY-145340</t>
  </si>
  <si>
    <t>3902190</t>
  </si>
  <si>
    <t>0993031542001</t>
  </si>
  <si>
    <t>16:03:36</t>
  </si>
  <si>
    <t>REC-3187-A2UB-167406</t>
  </si>
  <si>
    <t>3930081</t>
  </si>
  <si>
    <t>0914623897</t>
  </si>
  <si>
    <t>15:19:15</t>
  </si>
  <si>
    <t>REC-536-TDSM-160262</t>
  </si>
  <si>
    <t>3909109</t>
  </si>
  <si>
    <t>0960469005</t>
  </si>
  <si>
    <t>15:08:47</t>
  </si>
  <si>
    <t>REC-072-KBN0-271535</t>
  </si>
  <si>
    <t>3900410</t>
  </si>
  <si>
    <t>0918822602</t>
  </si>
  <si>
    <t>15:04:27</t>
  </si>
  <si>
    <t>REC-5680-XTE2-3292</t>
  </si>
  <si>
    <t>3900400</t>
  </si>
  <si>
    <t>0919501122</t>
  </si>
  <si>
    <t>14:37:03</t>
  </si>
  <si>
    <t>REC-3175-A3LN-143962</t>
  </si>
  <si>
    <t>14:24:43</t>
  </si>
  <si>
    <t>REC-3577-A26V-539414</t>
  </si>
  <si>
    <t>13:45:52</t>
  </si>
  <si>
    <t>REC-3512-A4FC-285903</t>
  </si>
  <si>
    <t>3901718</t>
  </si>
  <si>
    <t>0909664849</t>
  </si>
  <si>
    <t>13:18:54</t>
  </si>
  <si>
    <t>REC-4963-A3A0-162501</t>
  </si>
  <si>
    <t>3908676</t>
  </si>
  <si>
    <t>0922954912</t>
  </si>
  <si>
    <t>13:17:27</t>
  </si>
  <si>
    <t>REC-4963-A3A0-162424</t>
  </si>
  <si>
    <t>3907841</t>
  </si>
  <si>
    <t>0926777681</t>
  </si>
  <si>
    <t>13:10:18</t>
  </si>
  <si>
    <t>REC-5585-A2XB-76856</t>
  </si>
  <si>
    <t>12:59:20</t>
  </si>
  <si>
    <t>REC-4960-A1QG-106375</t>
  </si>
  <si>
    <t>3930329</t>
  </si>
  <si>
    <t>0992806419001</t>
  </si>
  <si>
    <t>12:58:01</t>
  </si>
  <si>
    <t>REC-4960-A1QG-106374</t>
  </si>
  <si>
    <t>3930333</t>
  </si>
  <si>
    <t>12:52:56</t>
  </si>
  <si>
    <t>REC-3187-A2UB-167376</t>
  </si>
  <si>
    <t>3908240</t>
  </si>
  <si>
    <t>0905212452</t>
  </si>
  <si>
    <t>12:39:40</t>
  </si>
  <si>
    <t>REC-342-EBMO-291202</t>
  </si>
  <si>
    <t>3930382</t>
  </si>
  <si>
    <t>0992201673001</t>
  </si>
  <si>
    <t>12:39:09</t>
  </si>
  <si>
    <t>REC-342-EBMO-291201</t>
  </si>
  <si>
    <t>3930383</t>
  </si>
  <si>
    <t>12:01:39</t>
  </si>
  <si>
    <t>REC-072-KBN0-271467</t>
  </si>
  <si>
    <t>12:01:03</t>
  </si>
  <si>
    <t>REC-7841-LV78-456</t>
  </si>
  <si>
    <t>3908325</t>
  </si>
  <si>
    <t>0914791108</t>
  </si>
  <si>
    <t>11:17:40</t>
  </si>
  <si>
    <t>REC-3172-YIHD-257208</t>
  </si>
  <si>
    <t>3902003</t>
  </si>
  <si>
    <t>0909794273</t>
  </si>
  <si>
    <t>10:47:59</t>
  </si>
  <si>
    <t>REC-609-A3AI-98199</t>
  </si>
  <si>
    <t>10:12:30</t>
  </si>
  <si>
    <t>REC-3611-AAD1-152097</t>
  </si>
  <si>
    <t>3908328</t>
  </si>
  <si>
    <t>0930874805</t>
  </si>
  <si>
    <t>09:41:34</t>
  </si>
  <si>
    <t>REC-3422-A25Y-105505</t>
  </si>
  <si>
    <t>3908074</t>
  </si>
  <si>
    <t>0961083250001</t>
  </si>
  <si>
    <t>09:31:29</t>
  </si>
  <si>
    <t>REC-4007-OIT2-149814</t>
  </si>
  <si>
    <t>09:04:15</t>
  </si>
  <si>
    <t>REC-223-B7CD-589521</t>
  </si>
  <si>
    <t>20210205</t>
  </si>
  <si>
    <t>19:27:43</t>
  </si>
  <si>
    <t>REC-3295-1T8E-236972</t>
  </si>
  <si>
    <t>16:15:33</t>
  </si>
  <si>
    <t>REC-348-1R2Q-454704</t>
  </si>
  <si>
    <t>3901926</t>
  </si>
  <si>
    <t>0924795065</t>
  </si>
  <si>
    <t>15:18:22</t>
  </si>
  <si>
    <t>REC-944-LRJW-297486</t>
  </si>
  <si>
    <t>14:53:48</t>
  </si>
  <si>
    <t>REC-3510-A4F9-252339</t>
  </si>
  <si>
    <t>3902721</t>
  </si>
  <si>
    <t>0914665708</t>
  </si>
  <si>
    <t>14:39:46</t>
  </si>
  <si>
    <t>REC-3371-EFX5-188218</t>
  </si>
  <si>
    <t>3908785</t>
  </si>
  <si>
    <t>0993031410001</t>
  </si>
  <si>
    <t>14:32:09</t>
  </si>
  <si>
    <t>REC-3301-CTQ4-200288</t>
  </si>
  <si>
    <t>14:27:27</t>
  </si>
  <si>
    <t>REC-3172-LIO6-136734</t>
  </si>
  <si>
    <t>3908334</t>
  </si>
  <si>
    <t>0917474777</t>
  </si>
  <si>
    <t>13:36:40</t>
  </si>
  <si>
    <t>REC-223-B7CD-589719</t>
  </si>
  <si>
    <t>13:02:01</t>
  </si>
  <si>
    <t>REC-008-PB65-392193</t>
  </si>
  <si>
    <t>3903528</t>
  </si>
  <si>
    <t>0931267306</t>
  </si>
  <si>
    <t>12:38:46</t>
  </si>
  <si>
    <t>REC-5466-A1J4-9220</t>
  </si>
  <si>
    <t>3909857</t>
  </si>
  <si>
    <t>0918769068</t>
  </si>
  <si>
    <t>12:30:59</t>
  </si>
  <si>
    <t>REC-4620-A1TY-194650</t>
  </si>
  <si>
    <t>12:29:31</t>
  </si>
  <si>
    <t>REC-011-JVA0-524137</t>
  </si>
  <si>
    <t>3902786</t>
  </si>
  <si>
    <t>1301926042</t>
  </si>
  <si>
    <t>12:24:43</t>
  </si>
  <si>
    <t>REC-095-AJSE-684620</t>
  </si>
  <si>
    <t>3940186</t>
  </si>
  <si>
    <t>0908774367</t>
  </si>
  <si>
    <t>11:45:56</t>
  </si>
  <si>
    <t>REC-3172-YIHD-257307</t>
  </si>
  <si>
    <t>11:24:08</t>
  </si>
  <si>
    <t>REC-4190-A13K-391724</t>
  </si>
  <si>
    <t>11:09:25</t>
  </si>
  <si>
    <t>REC-3408-A13N-565314</t>
  </si>
  <si>
    <t>23923233</t>
  </si>
  <si>
    <t>1713363206001</t>
  </si>
  <si>
    <t>09:57:43</t>
  </si>
  <si>
    <t>REC-613-BK8R-430170</t>
  </si>
  <si>
    <t>08:32:17</t>
  </si>
  <si>
    <t>REC-4775-FSF7-180675</t>
  </si>
  <si>
    <t>3930276</t>
  </si>
  <si>
    <t>0992391766001</t>
  </si>
  <si>
    <t>20210206</t>
  </si>
  <si>
    <t>16:45:49</t>
  </si>
  <si>
    <t>REC-390-SB17-605777</t>
  </si>
  <si>
    <t>15:58:52</t>
  </si>
  <si>
    <t>REC-3577-A1IU-163658</t>
  </si>
  <si>
    <t>3906815</t>
  </si>
  <si>
    <t>0914624820</t>
  </si>
  <si>
    <t>13:18:44</t>
  </si>
  <si>
    <t>REC-072-KBN0-271910</t>
  </si>
  <si>
    <t>3909982</t>
  </si>
  <si>
    <t>0915696587</t>
  </si>
  <si>
    <t>11:58:33</t>
  </si>
  <si>
    <t>REC-3422-A3IU-643887</t>
  </si>
  <si>
    <t>11:48:40</t>
  </si>
  <si>
    <t>REC-342-EBMO-291447</t>
  </si>
  <si>
    <t>11:43:26</t>
  </si>
  <si>
    <t>REC-096-HG9K-320235</t>
  </si>
  <si>
    <t>09:59:14</t>
  </si>
  <si>
    <t>REC-3510-A4F9-252394</t>
  </si>
  <si>
    <t>3903511</t>
  </si>
  <si>
    <t>0930801451</t>
  </si>
  <si>
    <t>20210207</t>
  </si>
  <si>
    <t>17:34:52</t>
  </si>
  <si>
    <t>REC-613-BK8R-430261</t>
  </si>
  <si>
    <t>16:28:24</t>
  </si>
  <si>
    <t>REC-3422-A25Y-105801</t>
  </si>
  <si>
    <t>3909011</t>
  </si>
  <si>
    <t>0913626230</t>
  </si>
  <si>
    <t>16:27:03</t>
  </si>
  <si>
    <t>REC-7828-MB00-2099</t>
  </si>
  <si>
    <t>13:40:00</t>
  </si>
  <si>
    <t>REC-048-QNCI-638585</t>
  </si>
  <si>
    <t>3902777</t>
  </si>
  <si>
    <t>0917022733</t>
  </si>
  <si>
    <t>11:00:00</t>
  </si>
  <si>
    <t>REC-3187-YWS5-616988</t>
  </si>
  <si>
    <t>3908369</t>
  </si>
  <si>
    <t>0700780497</t>
  </si>
  <si>
    <t>10:53:58</t>
  </si>
  <si>
    <t>REC-3187-YWS5-616987</t>
  </si>
  <si>
    <t>3908061</t>
  </si>
  <si>
    <t>0913886818</t>
  </si>
  <si>
    <t>20210208</t>
  </si>
  <si>
    <t>19:29:09</t>
  </si>
  <si>
    <t>REC-090-ULDN-610682</t>
  </si>
  <si>
    <t>3907938</t>
  </si>
  <si>
    <t>0913506283</t>
  </si>
  <si>
    <t>19:27:59</t>
  </si>
  <si>
    <t>REC-090-ULDN-610681</t>
  </si>
  <si>
    <t>3930256</t>
  </si>
  <si>
    <t>0907311021</t>
  </si>
  <si>
    <t>18:56:00</t>
  </si>
  <si>
    <t>REC-3022-A364-138141</t>
  </si>
  <si>
    <t>18:49:48</t>
  </si>
  <si>
    <t>REC-090-IRFP-600890</t>
  </si>
  <si>
    <t>3909181</t>
  </si>
  <si>
    <t>0924995780</t>
  </si>
  <si>
    <t>18:09:43</t>
  </si>
  <si>
    <t>REC-7931-VL78-122</t>
  </si>
  <si>
    <t>3900207</t>
  </si>
  <si>
    <t>0920009040</t>
  </si>
  <si>
    <t>17:47:07</t>
  </si>
  <si>
    <t>REC-3182-YQHG-237263</t>
  </si>
  <si>
    <t>17:20:45</t>
  </si>
  <si>
    <t>REC-3370-A6JI-269261</t>
  </si>
  <si>
    <t>3960234</t>
  </si>
  <si>
    <t>0909125056</t>
  </si>
  <si>
    <t>16:39:02</t>
  </si>
  <si>
    <t>REC-355-N45U-579049</t>
  </si>
  <si>
    <t>16:01:54</t>
  </si>
  <si>
    <t>REC-3520-A1CH-275532</t>
  </si>
  <si>
    <t>15:54:33</t>
  </si>
  <si>
    <t>REC-3172-LIO6-137018</t>
  </si>
  <si>
    <t>3902737</t>
  </si>
  <si>
    <t>0920543717</t>
  </si>
  <si>
    <t>15:12:12</t>
  </si>
  <si>
    <t>REC-609-A1M3-332479</t>
  </si>
  <si>
    <t>14:46:41</t>
  </si>
  <si>
    <t>REC-072-AV01-6125</t>
  </si>
  <si>
    <t>3907372</t>
  </si>
  <si>
    <t>0901244285</t>
  </si>
  <si>
    <t>14:24:41</t>
  </si>
  <si>
    <t>REC-3187-YWS5-617092</t>
  </si>
  <si>
    <t>3902224</t>
  </si>
  <si>
    <t>0909373318</t>
  </si>
  <si>
    <t>14:21:45</t>
  </si>
  <si>
    <t>REC-3295-1T8D-181601</t>
  </si>
  <si>
    <t>3930141</t>
  </si>
  <si>
    <t>0912848884</t>
  </si>
  <si>
    <t>REC-3792-A24Z-572887</t>
  </si>
  <si>
    <t>14:11:37</t>
  </si>
  <si>
    <t>REC-348-AB9D-155933</t>
  </si>
  <si>
    <t>3908417</t>
  </si>
  <si>
    <t>0992893044001</t>
  </si>
  <si>
    <t>14:10:51</t>
  </si>
  <si>
    <t>REC-348-AB9D-155932</t>
  </si>
  <si>
    <t>3908416</t>
  </si>
  <si>
    <t>14:09:54</t>
  </si>
  <si>
    <t>REC-7738-SS61-268768</t>
  </si>
  <si>
    <t>3901223</t>
  </si>
  <si>
    <t>1203296858</t>
  </si>
  <si>
    <t>14:04:29</t>
  </si>
  <si>
    <t>REC-3360-IPEN-236327</t>
  </si>
  <si>
    <t>3902731</t>
  </si>
  <si>
    <t>0902200047</t>
  </si>
  <si>
    <t>12:57:00</t>
  </si>
  <si>
    <t>REC-3023-IZCF-586968</t>
  </si>
  <si>
    <t>3930345</t>
  </si>
  <si>
    <t>0924425291</t>
  </si>
  <si>
    <t>12:42:48</t>
  </si>
  <si>
    <t>REC-3370-A6JI-269210</t>
  </si>
  <si>
    <t>12:18:23</t>
  </si>
  <si>
    <t>REC-3392-A39W-422932</t>
  </si>
  <si>
    <t>3901759</t>
  </si>
  <si>
    <t>0802384792</t>
  </si>
  <si>
    <t>12:14:29</t>
  </si>
  <si>
    <t>REC-518-RI6W-438523</t>
  </si>
  <si>
    <t>3907549</t>
  </si>
  <si>
    <t>0956383574</t>
  </si>
  <si>
    <t>11:54:05</t>
  </si>
  <si>
    <t>REC-3143-AWFJ-342789</t>
  </si>
  <si>
    <t>3903100</t>
  </si>
  <si>
    <t>0915016539</t>
  </si>
  <si>
    <t>11:37:54</t>
  </si>
  <si>
    <t>REC-3095-T359-440613</t>
  </si>
  <si>
    <t>3909037</t>
  </si>
  <si>
    <t>0930929880</t>
  </si>
  <si>
    <t>11:18:05</t>
  </si>
  <si>
    <t>REC-011-JVA0-524319</t>
  </si>
  <si>
    <t>11:02:43</t>
  </si>
  <si>
    <t>REC-3392-A39W-422907</t>
  </si>
  <si>
    <t>3906727</t>
  </si>
  <si>
    <t>0907427694</t>
  </si>
  <si>
    <t>10:01:38</t>
  </si>
  <si>
    <t>REC-5310-Z4YZ-251873</t>
  </si>
  <si>
    <t>3907565</t>
  </si>
  <si>
    <t>0950615690</t>
  </si>
  <si>
    <t>09:46:02</t>
  </si>
  <si>
    <t>REC-245-BEJI-684053</t>
  </si>
  <si>
    <t>3902778</t>
  </si>
  <si>
    <t>0911609568</t>
  </si>
  <si>
    <t>07:49:09</t>
  </si>
  <si>
    <t>REC-061-ZT94-164022</t>
  </si>
  <si>
    <t>3907669</t>
  </si>
  <si>
    <t>0917823445</t>
  </si>
  <si>
    <t>20210209</t>
  </si>
  <si>
    <t>18:37:40</t>
  </si>
  <si>
    <t>REC-191-A381-320481</t>
  </si>
  <si>
    <t>3903538</t>
  </si>
  <si>
    <t>0931115182</t>
  </si>
  <si>
    <t>17:14:00</t>
  </si>
  <si>
    <t>REC-048-AFEP-255159</t>
  </si>
  <si>
    <t>17:13:21</t>
  </si>
  <si>
    <t>REC-048-AFEP-255158</t>
  </si>
  <si>
    <t>16:49:28</t>
  </si>
  <si>
    <t>REC-7492-A6NE-13955</t>
  </si>
  <si>
    <t>3903463</t>
  </si>
  <si>
    <t>0917633323</t>
  </si>
  <si>
    <t>16:04:19</t>
  </si>
  <si>
    <t>REC-3792-A24Z-573126</t>
  </si>
  <si>
    <t>3903355</t>
  </si>
  <si>
    <t>0926967753</t>
  </si>
  <si>
    <t>13:29:15</t>
  </si>
  <si>
    <t>REC-5635-A2YS-34912</t>
  </si>
  <si>
    <t>at-3223</t>
  </si>
  <si>
    <t>12:23:04</t>
  </si>
  <si>
    <t>REC-5310-Z4YZ-302583</t>
  </si>
  <si>
    <t>3902004</t>
  </si>
  <si>
    <t>0992891637001</t>
  </si>
  <si>
    <t>11:50:12</t>
  </si>
  <si>
    <t>REC-3370-A6JI-269330</t>
  </si>
  <si>
    <t>3909958</t>
  </si>
  <si>
    <t>0913935417</t>
  </si>
  <si>
    <t>11:38:58</t>
  </si>
  <si>
    <t>REC-022-U5UL-353097</t>
  </si>
  <si>
    <t>3909796</t>
  </si>
  <si>
    <t>0703300988</t>
  </si>
  <si>
    <t>11:34:23</t>
  </si>
  <si>
    <t>REC-5987-GFL4-299432</t>
  </si>
  <si>
    <t>11:16:40</t>
  </si>
  <si>
    <t>REC-3792-A39T-128366</t>
  </si>
  <si>
    <t>11:05:40</t>
  </si>
  <si>
    <t>REC-4179-LOE1-297412</t>
  </si>
  <si>
    <t>3900411</t>
  </si>
  <si>
    <t>0907043582</t>
  </si>
  <si>
    <t>10:02:26</t>
  </si>
  <si>
    <t>REC-011-VD5Z-366346</t>
  </si>
  <si>
    <t>3901477</t>
  </si>
  <si>
    <t>1790016846001</t>
  </si>
  <si>
    <t>09:47:46</t>
  </si>
  <si>
    <t>REC-3370-A6JI-269295</t>
  </si>
  <si>
    <t>3960241</t>
  </si>
  <si>
    <t>0992494050001</t>
  </si>
  <si>
    <t>09:38:00</t>
  </si>
  <si>
    <t>REC-5987-GFL4-290633</t>
  </si>
  <si>
    <t>20210210</t>
  </si>
  <si>
    <t>16:20:36</t>
  </si>
  <si>
    <t>REC-5310-Z4YZ-349198</t>
  </si>
  <si>
    <t>15:51:58</t>
  </si>
  <si>
    <t>REC-072-A6LX-217079</t>
  </si>
  <si>
    <t>14:37:11</t>
  </si>
  <si>
    <t>REC-049-A518-1575065</t>
  </si>
  <si>
    <t>3907835</t>
  </si>
  <si>
    <t>0901358747</t>
  </si>
  <si>
    <t>14:22:51</t>
  </si>
  <si>
    <t>REC-072-TTF1-328328</t>
  </si>
  <si>
    <t>3906900</t>
  </si>
  <si>
    <t>1202135677</t>
  </si>
  <si>
    <t>14:19:59</t>
  </si>
  <si>
    <t>REC-3554-PTY2-343060</t>
  </si>
  <si>
    <t>13:51:25</t>
  </si>
  <si>
    <t>REC-4164-A19P-169296</t>
  </si>
  <si>
    <t>3909029</t>
  </si>
  <si>
    <t>0914924196</t>
  </si>
  <si>
    <t>12:54:17</t>
  </si>
  <si>
    <t>REC-5016-A1HF-10918</t>
  </si>
  <si>
    <t>12:21:40</t>
  </si>
  <si>
    <t>REC-4963-A3A0-337718</t>
  </si>
  <si>
    <t>3903250</t>
  </si>
  <si>
    <t>0924424872</t>
  </si>
  <si>
    <t>11:08:28</t>
  </si>
  <si>
    <t>REC-096-DCIZ-471272</t>
  </si>
  <si>
    <t>10:00:30</t>
  </si>
  <si>
    <t>REC-551-VOI8-617288</t>
  </si>
  <si>
    <t>3900338</t>
  </si>
  <si>
    <t>0910810647</t>
  </si>
  <si>
    <t>19:29:43</t>
  </si>
  <si>
    <t>REC-4208-A14N-61732</t>
  </si>
  <si>
    <t>18:20:42</t>
  </si>
  <si>
    <t>REC-4960-A1QG-107139</t>
  </si>
  <si>
    <t>3960002</t>
  </si>
  <si>
    <t>0914107222</t>
  </si>
  <si>
    <t>20210211</t>
  </si>
  <si>
    <t>20:24:36</t>
  </si>
  <si>
    <t>REC-096-ZU7N-265351</t>
  </si>
  <si>
    <t>3901222</t>
  </si>
  <si>
    <t>0958145195</t>
  </si>
  <si>
    <t>19:14:41</t>
  </si>
  <si>
    <t>REC-048-AFEP-255413</t>
  </si>
  <si>
    <t>3902381</t>
  </si>
  <si>
    <t>0914107776</t>
  </si>
  <si>
    <t>19:06:53</t>
  </si>
  <si>
    <t>REC-5310-Z4YZ-385469</t>
  </si>
  <si>
    <t>3901587</t>
  </si>
  <si>
    <t>0920722816</t>
  </si>
  <si>
    <t>14:31:02</t>
  </si>
  <si>
    <t>REC-028-A3ZW-79029</t>
  </si>
  <si>
    <t>3903216</t>
  </si>
  <si>
    <t>0924596166</t>
  </si>
  <si>
    <t>13:32:10</t>
  </si>
  <si>
    <t>REC-049-A2U2-61065</t>
  </si>
  <si>
    <t>3902114</t>
  </si>
  <si>
    <t>0915724314</t>
  </si>
  <si>
    <t>12:58:39</t>
  </si>
  <si>
    <t>REC-3187-A2UB-167903</t>
  </si>
  <si>
    <t>12:25:17</t>
  </si>
  <si>
    <t>REC-4164-A1CB-130240</t>
  </si>
  <si>
    <t>REC-3182-YQHG-237402</t>
  </si>
  <si>
    <t>3905110</t>
  </si>
  <si>
    <t>0901860726</t>
  </si>
  <si>
    <t>09:48:17</t>
  </si>
  <si>
    <t>REC-4963-A3A0-360786</t>
  </si>
  <si>
    <t>3907932</t>
  </si>
  <si>
    <t>0953501244</t>
  </si>
  <si>
    <t>09:27:48</t>
  </si>
  <si>
    <t>REC-4319-A1I3-29246</t>
  </si>
  <si>
    <t>3907907</t>
  </si>
  <si>
    <t>0908842644</t>
  </si>
  <si>
    <t>08:59:30</t>
  </si>
  <si>
    <t>REC-6397-A5XK-21473</t>
  </si>
  <si>
    <t>3907902</t>
  </si>
  <si>
    <t>0910820786</t>
  </si>
  <si>
    <t>20210212</t>
  </si>
  <si>
    <t>17:09:25</t>
  </si>
  <si>
    <t>REC-5502-JSM1-1111</t>
  </si>
  <si>
    <t>3930168</t>
  </si>
  <si>
    <t>0915177687</t>
  </si>
  <si>
    <t>16:42:18</t>
  </si>
  <si>
    <t>REC-4961-A24R-46637</t>
  </si>
  <si>
    <t>14:59:56</t>
  </si>
  <si>
    <t>REC-678-3V18-580958</t>
  </si>
  <si>
    <t>13:52:14</t>
  </si>
  <si>
    <t>REC-348-AB9D-156427</t>
  </si>
  <si>
    <t>12:46:51</t>
  </si>
  <si>
    <t>REC-551-B2PQ-317909</t>
  </si>
  <si>
    <t>10:51:22</t>
  </si>
  <si>
    <t>REC-3371-LD0C-304568</t>
  </si>
  <si>
    <t>3945098</t>
  </si>
  <si>
    <t>0912097631</t>
  </si>
  <si>
    <t>10:41:54</t>
  </si>
  <si>
    <t>REC-4202-A16N-8695</t>
  </si>
  <si>
    <t>3901939</t>
  </si>
  <si>
    <t>1203367998</t>
  </si>
  <si>
    <t>10:01:48</t>
  </si>
  <si>
    <t>REC-7492-A6NE-14159</t>
  </si>
  <si>
    <t>3908754</t>
  </si>
  <si>
    <t>0925768228</t>
  </si>
  <si>
    <t>08:21:09</t>
  </si>
  <si>
    <t>REC-7488-PR83-388483</t>
  </si>
  <si>
    <t>3907449</t>
  </si>
  <si>
    <t>0925303745</t>
  </si>
  <si>
    <t>20210213</t>
  </si>
  <si>
    <t>17:40:22</t>
  </si>
  <si>
    <t>REC-585-ZQVC-463664</t>
  </si>
  <si>
    <t>3901990</t>
  </si>
  <si>
    <t>0701205064</t>
  </si>
  <si>
    <t>17:07:00</t>
  </si>
  <si>
    <t>REC-3022-A364-138676</t>
  </si>
  <si>
    <t>13:39:56</t>
  </si>
  <si>
    <t>REC-3520-A1CH-276229</t>
  </si>
  <si>
    <t>3909168</t>
  </si>
  <si>
    <t>0915828966</t>
  </si>
  <si>
    <t>11:37:09</t>
  </si>
  <si>
    <t>REC-7698-SS49-427248</t>
  </si>
  <si>
    <t>3908153</t>
  </si>
  <si>
    <t>0962079711</t>
  </si>
  <si>
    <t>10:51:23</t>
  </si>
  <si>
    <t>REC-3784-ATA2-185876</t>
  </si>
  <si>
    <t>3900678</t>
  </si>
  <si>
    <t>0800909202</t>
  </si>
  <si>
    <t>10:21:04</t>
  </si>
  <si>
    <t>REC-247-BEJB-1467187</t>
  </si>
  <si>
    <t>10:17:59</t>
  </si>
  <si>
    <t>REC-3520-A1CH-276199</t>
  </si>
  <si>
    <t>3909878</t>
  </si>
  <si>
    <t>1718059122</t>
  </si>
  <si>
    <t>10:03:10</t>
  </si>
  <si>
    <t>REC-355-J4YM-685461</t>
  </si>
  <si>
    <t>10:02:55</t>
  </si>
  <si>
    <t>REC-355-J4YM-685460</t>
  </si>
  <si>
    <t>10:02:06</t>
  </si>
  <si>
    <t>REC-3792-A24Z-573766</t>
  </si>
  <si>
    <t>3907899</t>
  </si>
  <si>
    <t>0923126205</t>
  </si>
  <si>
    <t>20210214</t>
  </si>
  <si>
    <t>18:07:02</t>
  </si>
  <si>
    <t>REC-7492-A6NE-14371</t>
  </si>
  <si>
    <t>16:45:27</t>
  </si>
  <si>
    <t>REC-609-A3AI-99229</t>
  </si>
  <si>
    <t>3907259</t>
  </si>
  <si>
    <t>0940222755</t>
  </si>
  <si>
    <t>12:39:55</t>
  </si>
  <si>
    <t>REC-7702-S551-638</t>
  </si>
  <si>
    <t>12:26:51</t>
  </si>
  <si>
    <t>REC-609-A3AI-99194</t>
  </si>
  <si>
    <t>3908353</t>
  </si>
  <si>
    <t>0940336274</t>
  </si>
  <si>
    <t>20210215</t>
  </si>
  <si>
    <t>18:34:13</t>
  </si>
  <si>
    <t>REC-3422-A25Y-106449</t>
  </si>
  <si>
    <t>3903112</t>
  </si>
  <si>
    <t>0902702935</t>
  </si>
  <si>
    <t>12:59:44</t>
  </si>
  <si>
    <t>REC-3187-A2UB-168187</t>
  </si>
  <si>
    <t>3906723</t>
  </si>
  <si>
    <t>0911957660</t>
  </si>
  <si>
    <t>12:50:53</t>
  </si>
  <si>
    <t>REC-027-A40B-82906</t>
  </si>
  <si>
    <t>3908516</t>
  </si>
  <si>
    <t>0910968965</t>
  </si>
  <si>
    <t>11:02:13</t>
  </si>
  <si>
    <t>REC-3033-M7YF-81128</t>
  </si>
  <si>
    <t>10:48:22</t>
  </si>
  <si>
    <t>REC-165-M8MT-665529</t>
  </si>
  <si>
    <t>3903365</t>
  </si>
  <si>
    <t>0910931856</t>
  </si>
  <si>
    <t>10:47:31</t>
  </si>
  <si>
    <t>REC-3808-A3Z9-540320</t>
  </si>
  <si>
    <t>3908486</t>
  </si>
  <si>
    <t>0921328662</t>
  </si>
  <si>
    <t>10:27:58</t>
  </si>
  <si>
    <t>REC-5635-A2YS-35516</t>
  </si>
  <si>
    <t>3908866</t>
  </si>
  <si>
    <t>0922678800</t>
  </si>
  <si>
    <t>20210216</t>
  </si>
  <si>
    <t>13:31:23</t>
  </si>
  <si>
    <t>REC-4007-OIT2-466938</t>
  </si>
  <si>
    <t>11:31:32</t>
  </si>
  <si>
    <t>REC-7529-A12D-11371</t>
  </si>
  <si>
    <t>20210217</t>
  </si>
  <si>
    <t>19:32:14</t>
  </si>
  <si>
    <t>REC-3295-1T8E-237826</t>
  </si>
  <si>
    <t>3909919</t>
  </si>
  <si>
    <t>0919908848</t>
  </si>
  <si>
    <t>18:14:23</t>
  </si>
  <si>
    <t>REC-7366-Y05Q-19338</t>
  </si>
  <si>
    <t>3930041</t>
  </si>
  <si>
    <t>0922970728</t>
  </si>
  <si>
    <t>17:56:32</t>
  </si>
  <si>
    <t>REC-3809-A3ZD-40027</t>
  </si>
  <si>
    <t>23923156</t>
  </si>
  <si>
    <t>1712286432</t>
  </si>
  <si>
    <t>17:13:10</t>
  </si>
  <si>
    <t>REC-3161-KURB-446798</t>
  </si>
  <si>
    <t>17:12:05</t>
  </si>
  <si>
    <t>REC-3360-IPEN-236909</t>
  </si>
  <si>
    <t>3907827</t>
  </si>
  <si>
    <t>0921434239</t>
  </si>
  <si>
    <t>16:49:35</t>
  </si>
  <si>
    <t>REC-3170-YGVG-335329</t>
  </si>
  <si>
    <t>15:57:47</t>
  </si>
  <si>
    <t>REC-3422-A3IU-644819</t>
  </si>
  <si>
    <t>3930068</t>
  </si>
  <si>
    <t>0907819627</t>
  </si>
  <si>
    <t>14:57:43</t>
  </si>
  <si>
    <t>REC-3370-A6JI-270174</t>
  </si>
  <si>
    <t>13:55:43</t>
  </si>
  <si>
    <t>REC-3172-LIO4-252207</t>
  </si>
  <si>
    <t>3907019</t>
  </si>
  <si>
    <t>0909800070</t>
  </si>
  <si>
    <t>13:24:01</t>
  </si>
  <si>
    <t>REC-3187-YWS5-617654</t>
  </si>
  <si>
    <t>at-3226</t>
  </si>
  <si>
    <t>13:11:25</t>
  </si>
  <si>
    <t>REC-096-HG9K-320727</t>
  </si>
  <si>
    <t>3909990</t>
  </si>
  <si>
    <t>0916168149</t>
  </si>
  <si>
    <t>10:56:52</t>
  </si>
  <si>
    <t>REC-348-AB9D-156941</t>
  </si>
  <si>
    <t>10:44:31</t>
  </si>
  <si>
    <t>REC-3143-AWFJ-343396</t>
  </si>
  <si>
    <t>3907926</t>
  </si>
  <si>
    <t>0925965014</t>
  </si>
  <si>
    <t>10:15:42</t>
  </si>
  <si>
    <t>REC-045-AFEZ-582460</t>
  </si>
  <si>
    <t>09:45:16</t>
  </si>
  <si>
    <t>REC-4303-IAI3-477838</t>
  </si>
  <si>
    <t>09:23:25</t>
  </si>
  <si>
    <t>REC-072-A6LX-217545</t>
  </si>
  <si>
    <t>3900583</t>
  </si>
  <si>
    <t>0911281806</t>
  </si>
  <si>
    <t>20210218</t>
  </si>
  <si>
    <t>19:07:44</t>
  </si>
  <si>
    <t>REC-5635-A2YS-35920</t>
  </si>
  <si>
    <t>3906905</t>
  </si>
  <si>
    <t>0801758434</t>
  </si>
  <si>
    <t>18:56:05</t>
  </si>
  <si>
    <t>REC-5635-A2YS-35914</t>
  </si>
  <si>
    <t>18:24:05</t>
  </si>
  <si>
    <t>REC-011-JVA0-525198</t>
  </si>
  <si>
    <t>3903481</t>
  </si>
  <si>
    <t>0925268393</t>
  </si>
  <si>
    <t>18:22:20</t>
  </si>
  <si>
    <t>REC-518-RI6X-438849</t>
  </si>
  <si>
    <t>3907006</t>
  </si>
  <si>
    <t>0911221414</t>
  </si>
  <si>
    <t>16:59:51</t>
  </si>
  <si>
    <t>REC-5585-RQ83-31077</t>
  </si>
  <si>
    <t>16:43:57</t>
  </si>
  <si>
    <t>REC-3520-A1CH-276692</t>
  </si>
  <si>
    <t>16:41:35</t>
  </si>
  <si>
    <t>REC-944-LRJ0-414660</t>
  </si>
  <si>
    <t>16:27:21</t>
  </si>
  <si>
    <t>REC-5585-RQ83-31070</t>
  </si>
  <si>
    <t>3907849</t>
  </si>
  <si>
    <t>0907758031</t>
  </si>
  <si>
    <t>13:29:30</t>
  </si>
  <si>
    <t>REC-3175-A3LN-145538</t>
  </si>
  <si>
    <t>12:16:04</t>
  </si>
  <si>
    <t>REC-518-RI71-191802</t>
  </si>
  <si>
    <t>3902228</t>
  </si>
  <si>
    <t>0908006349</t>
  </si>
  <si>
    <t>11:17:44</t>
  </si>
  <si>
    <t>REC-609-A1M3-333162</t>
  </si>
  <si>
    <t>11:04:19</t>
  </si>
  <si>
    <t>REC-4179-LOE1-528472</t>
  </si>
  <si>
    <t>at-3229</t>
  </si>
  <si>
    <t>10:52:52</t>
  </si>
  <si>
    <t>REC-3214-A160-102773</t>
  </si>
  <si>
    <t>10:12:17</t>
  </si>
  <si>
    <t>REC-7698-SS49-524698</t>
  </si>
  <si>
    <t>3907373</t>
  </si>
  <si>
    <t>0910433895</t>
  </si>
  <si>
    <t>10:01:34</t>
  </si>
  <si>
    <t>REC-3170-YGVG-335371</t>
  </si>
  <si>
    <t>REC-568-YXPM-433983</t>
  </si>
  <si>
    <t>20210219</t>
  </si>
  <si>
    <t>20:15:10</t>
  </si>
  <si>
    <t>REC-342-EBMO-292912</t>
  </si>
  <si>
    <t>3906870</t>
  </si>
  <si>
    <t>0930840608</t>
  </si>
  <si>
    <t>18:28:36</t>
  </si>
  <si>
    <t>REC-3792-A39T-129617</t>
  </si>
  <si>
    <t>3908195</t>
  </si>
  <si>
    <t>0930264049</t>
  </si>
  <si>
    <t>18:23:24</t>
  </si>
  <si>
    <t>REC-944-LRJ0-414829</t>
  </si>
  <si>
    <t>18:15:29</t>
  </si>
  <si>
    <t>REC-7779-SS95-590880</t>
  </si>
  <si>
    <t>16:53:40</t>
  </si>
  <si>
    <t>REC-5770-A3HH-1577050</t>
  </si>
  <si>
    <t>15:59:15</t>
  </si>
  <si>
    <t>REC-3370-A6JI-270536</t>
  </si>
  <si>
    <t>3908631</t>
  </si>
  <si>
    <t>0903190395</t>
  </si>
  <si>
    <t>15:40:37</t>
  </si>
  <si>
    <t>REC-061-A6S3-219168</t>
  </si>
  <si>
    <t>15:03:52</t>
  </si>
  <si>
    <t>REC-3520-A1CH-276846</t>
  </si>
  <si>
    <t>3900317</t>
  </si>
  <si>
    <t>0914036835</t>
  </si>
  <si>
    <t>14:38:51</t>
  </si>
  <si>
    <t>REC-810-5CAY-441394</t>
  </si>
  <si>
    <t>3960310</t>
  </si>
  <si>
    <t>0902060300</t>
  </si>
  <si>
    <t>14:14:09</t>
  </si>
  <si>
    <t>REC-224-B7CE-13039</t>
  </si>
  <si>
    <t>3906379</t>
  </si>
  <si>
    <t>0908043441</t>
  </si>
  <si>
    <t>12:27:37</t>
  </si>
  <si>
    <t>REC-3370-A6JI-270488</t>
  </si>
  <si>
    <t>11:10:07</t>
  </si>
  <si>
    <t>REC-3370-A6JI-270458</t>
  </si>
  <si>
    <t>at-3230</t>
  </si>
  <si>
    <t>08:16:42</t>
  </si>
  <si>
    <t>REC-5645-A1034-24189</t>
  </si>
  <si>
    <t>20210220</t>
  </si>
  <si>
    <t>13:28:38</t>
  </si>
  <si>
    <t>REC-3792-A39T-129674</t>
  </si>
  <si>
    <t>3902256</t>
  </si>
  <si>
    <t>0923859821</t>
  </si>
  <si>
    <t>12:41:49</t>
  </si>
  <si>
    <t>REC-3172-LIO6-138300</t>
  </si>
  <si>
    <t>12:32:16</t>
  </si>
  <si>
    <t>REC-223-B7CD-591632</t>
  </si>
  <si>
    <t>11:50:40</t>
  </si>
  <si>
    <t>REC-061-A1AW-60293</t>
  </si>
  <si>
    <t>3900529</t>
  </si>
  <si>
    <t>0914659388</t>
  </si>
  <si>
    <t>10:12:29</t>
  </si>
  <si>
    <t>REC-090-9SKJ-460362</t>
  </si>
  <si>
    <t>10:00:05</t>
  </si>
  <si>
    <t>REC-3200-SAMB-526627</t>
  </si>
  <si>
    <t>3909112</t>
  </si>
  <si>
    <t>0908175953</t>
  </si>
  <si>
    <t>20210221</t>
  </si>
  <si>
    <t>14:59:11</t>
  </si>
  <si>
    <t>REC-3187-A2UE-56952</t>
  </si>
  <si>
    <t>3945448</t>
  </si>
  <si>
    <t>0907846745</t>
  </si>
  <si>
    <t>13:40:11</t>
  </si>
  <si>
    <t>REC-4824-FSL1-626299</t>
  </si>
  <si>
    <t>10:17:10</t>
  </si>
  <si>
    <t>REC-3095-T359-441737</t>
  </si>
  <si>
    <t>3930291</t>
  </si>
  <si>
    <t>0916828072</t>
  </si>
  <si>
    <t>20210222</t>
  </si>
  <si>
    <t>17:53:22</t>
  </si>
  <si>
    <t>REC-3161-KURB-447467</t>
  </si>
  <si>
    <t>3908215</t>
  </si>
  <si>
    <t>0927113969</t>
  </si>
  <si>
    <t>17:00:41</t>
  </si>
  <si>
    <t>REC-7894-VL41-886</t>
  </si>
  <si>
    <t>3930006</t>
  </si>
  <si>
    <t>0921458246</t>
  </si>
  <si>
    <t>15:46:26</t>
  </si>
  <si>
    <t>REC-5474-A871-662647</t>
  </si>
  <si>
    <t>14:27:38</t>
  </si>
  <si>
    <t>REC-3412-PTE5-657219</t>
  </si>
  <si>
    <t>14:23:14</t>
  </si>
  <si>
    <t>REC-7828-LV64-3152</t>
  </si>
  <si>
    <t>3908301</t>
  </si>
  <si>
    <t>1707791602</t>
  </si>
  <si>
    <t>13:42:27</t>
  </si>
  <si>
    <t>REC-355-N45U-580576</t>
  </si>
  <si>
    <t>3906047</t>
  </si>
  <si>
    <t>0941163289</t>
  </si>
  <si>
    <t>12:59:16</t>
  </si>
  <si>
    <t>REC-551-VOI8-618370</t>
  </si>
  <si>
    <t>12:06:13</t>
  </si>
  <si>
    <t>REC-3370-A6JI-270877</t>
  </si>
  <si>
    <t>3960372</t>
  </si>
  <si>
    <t>0901968701</t>
  </si>
  <si>
    <t>11:45:37</t>
  </si>
  <si>
    <t>REC-7545-PS31-7321</t>
  </si>
  <si>
    <t>11:10:01</t>
  </si>
  <si>
    <t>REC-3370-A6JI-270844</t>
  </si>
  <si>
    <t>10:34:31</t>
  </si>
  <si>
    <t>REC-3023-IZCF-588110</t>
  </si>
  <si>
    <t>3907919</t>
  </si>
  <si>
    <t>1309149035</t>
  </si>
  <si>
    <t>20210223</t>
  </si>
  <si>
    <t>17:54:04</t>
  </si>
  <si>
    <t>REC-3109-TTH2-698018</t>
  </si>
  <si>
    <t>17:07:32</t>
  </si>
  <si>
    <t>REC-585-ZQVC-464305</t>
  </si>
  <si>
    <t>3907399</t>
  </si>
  <si>
    <t>0952590099</t>
  </si>
  <si>
    <t>16:46:44</t>
  </si>
  <si>
    <t>REC-4717-FRZ4-703915</t>
  </si>
  <si>
    <t>3930301</t>
  </si>
  <si>
    <t>0901989921</t>
  </si>
  <si>
    <t>16:15:42</t>
  </si>
  <si>
    <t>REC-5635-A2YS-36508</t>
  </si>
  <si>
    <t>3906740</t>
  </si>
  <si>
    <t>0915179147</t>
  </si>
  <si>
    <t>14:06:42</t>
  </si>
  <si>
    <t>REC-3182-YQHE-249062</t>
  </si>
  <si>
    <t>3903198</t>
  </si>
  <si>
    <t>0916616758</t>
  </si>
  <si>
    <t>13:46:33</t>
  </si>
  <si>
    <t>REC-3371-EGEG-267799</t>
  </si>
  <si>
    <t>12:44:30</t>
  </si>
  <si>
    <t>REC-090-9SKJ-460871</t>
  </si>
  <si>
    <t>3906819</t>
  </si>
  <si>
    <t>1305239111</t>
  </si>
  <si>
    <t>12:34:16</t>
  </si>
  <si>
    <t>REC-223-B7CD-592170</t>
  </si>
  <si>
    <t>3900973</t>
  </si>
  <si>
    <t>0905936134</t>
  </si>
  <si>
    <t>REC-3216-CSE1-688566</t>
  </si>
  <si>
    <t>11:35:26</t>
  </si>
  <si>
    <t>REC-5276-A2G3-241683</t>
  </si>
  <si>
    <t>3903164</t>
  </si>
  <si>
    <t>0923493936</t>
  </si>
  <si>
    <t>20210224</t>
  </si>
  <si>
    <t>18:40:24</t>
  </si>
  <si>
    <t>REC-3412-PTE5-743626</t>
  </si>
  <si>
    <t>18:30:22</t>
  </si>
  <si>
    <t>REC-3520-A1CH-277547</t>
  </si>
  <si>
    <t>3909924</t>
  </si>
  <si>
    <t>0922046636</t>
  </si>
  <si>
    <t>18:01:01</t>
  </si>
  <si>
    <t>REC-090-ULDN-612440</t>
  </si>
  <si>
    <t>17:53:56</t>
  </si>
  <si>
    <t>REC-348-1R2Q-456226</t>
  </si>
  <si>
    <t>3906751</t>
  </si>
  <si>
    <t>0925825390</t>
  </si>
  <si>
    <t>16:22:35</t>
  </si>
  <si>
    <t>REC-342-EBMO-293503</t>
  </si>
  <si>
    <t>16:22:03</t>
  </si>
  <si>
    <t>REC-342-EBMO-293502</t>
  </si>
  <si>
    <t>16:01:42</t>
  </si>
  <si>
    <t>REC-3295-1T8E-238337</t>
  </si>
  <si>
    <t>3907563</t>
  </si>
  <si>
    <t>0919220434</t>
  </si>
  <si>
    <t>15:04:24</t>
  </si>
  <si>
    <t>REC-944-ZF9M-212679</t>
  </si>
  <si>
    <t>3945108</t>
  </si>
  <si>
    <t>0915929160</t>
  </si>
  <si>
    <t>15:01:07</t>
  </si>
  <si>
    <t>REC-049-A2U2-62061</t>
  </si>
  <si>
    <t>3950338</t>
  </si>
  <si>
    <t>0915602023</t>
  </si>
  <si>
    <t>11:48:17</t>
  </si>
  <si>
    <t>REC-3370-A6JI-271192</t>
  </si>
  <si>
    <t>3906847</t>
  </si>
  <si>
    <t>0912018603</t>
  </si>
  <si>
    <t>11:33:04</t>
  </si>
  <si>
    <t>REC-3371-EFX5-189815</t>
  </si>
  <si>
    <t>10:41:50</t>
  </si>
  <si>
    <t>REC-342-EBMO-293442</t>
  </si>
  <si>
    <t>3900688</t>
  </si>
  <si>
    <t>0919262964</t>
  </si>
  <si>
    <t>09:48:14</t>
  </si>
  <si>
    <t>REC-3172-YIG8-320410</t>
  </si>
  <si>
    <t>3908336</t>
  </si>
  <si>
    <t>1313902411</t>
  </si>
  <si>
    <t>20210225</t>
  </si>
  <si>
    <t>18:00:20</t>
  </si>
  <si>
    <t>REC-536-2GEZ-358261</t>
  </si>
  <si>
    <t>3907685</t>
  </si>
  <si>
    <t>1203209190</t>
  </si>
  <si>
    <t>17:24:38</t>
  </si>
  <si>
    <t>REC-5635-A2YS-36787</t>
  </si>
  <si>
    <t>17:17:09</t>
  </si>
  <si>
    <t>REC-008-PB64-390456</t>
  </si>
  <si>
    <t>15:13:05</t>
  </si>
  <si>
    <t>REC-3187-A2UE-57346</t>
  </si>
  <si>
    <t>14:17:37</t>
  </si>
  <si>
    <t>REC-011-JVA0-525968</t>
  </si>
  <si>
    <t>14:17:00</t>
  </si>
  <si>
    <t>REC-011-JVA0-525967</t>
  </si>
  <si>
    <t>13:41:08</t>
  </si>
  <si>
    <t>REC-5310-Z4YZ-764276</t>
  </si>
  <si>
    <t>3900351</t>
  </si>
  <si>
    <t>0927394619</t>
  </si>
  <si>
    <t>13:39:22</t>
  </si>
  <si>
    <t>REC-390-SB17-607012</t>
  </si>
  <si>
    <t>3945504</t>
  </si>
  <si>
    <t>0900857236</t>
  </si>
  <si>
    <t>12:43:26</t>
  </si>
  <si>
    <t>REC-3170-YGVG-336086</t>
  </si>
  <si>
    <t>12:08:51</t>
  </si>
  <si>
    <t>REC-072-AV01-7380</t>
  </si>
  <si>
    <t>REC-3187-A2UB-168971</t>
  </si>
  <si>
    <t>11:45:17</t>
  </si>
  <si>
    <t>REC-072-AV01-7376</t>
  </si>
  <si>
    <t>10:38:07</t>
  </si>
  <si>
    <t>REC-3182-YQHG-238616</t>
  </si>
  <si>
    <t>10:36:27</t>
  </si>
  <si>
    <t>REC-3784-ATA2-186425</t>
  </si>
  <si>
    <t>3901498</t>
  </si>
  <si>
    <t>0923903579</t>
  </si>
  <si>
    <t>20210226</t>
  </si>
  <si>
    <t>19:32:22</t>
  </si>
  <si>
    <t>REC-5610-A2YJ-16564</t>
  </si>
  <si>
    <t>3907934</t>
  </si>
  <si>
    <t>0923102065</t>
  </si>
  <si>
    <t>19:24:14</t>
  </si>
  <si>
    <t>REC-3172-YIHD-259010</t>
  </si>
  <si>
    <t>19:22:40</t>
  </si>
  <si>
    <t>REC-3187-A2UE-57515</t>
  </si>
  <si>
    <t>3908771</t>
  </si>
  <si>
    <t>1104185820</t>
  </si>
  <si>
    <t>18:33:49</t>
  </si>
  <si>
    <t>REC-3774-ABA2-805234</t>
  </si>
  <si>
    <t>18:10:01</t>
  </si>
  <si>
    <t>REC-609-A1M3-333945</t>
  </si>
  <si>
    <t>17:30:57</t>
  </si>
  <si>
    <t>REC-072-A6LX-218761</t>
  </si>
  <si>
    <t>16:51:27</t>
  </si>
  <si>
    <t>REC-3792-A24Z-575321</t>
  </si>
  <si>
    <t>16:47:40</t>
  </si>
  <si>
    <t>REC-536-2GEZ-358400</t>
  </si>
  <si>
    <t>3901616</t>
  </si>
  <si>
    <t>0917360315</t>
  </si>
  <si>
    <t>16:36:05</t>
  </si>
  <si>
    <t>REC-5770-A3HH-1577240</t>
  </si>
  <si>
    <t>23923201</t>
  </si>
  <si>
    <t>1105926529</t>
  </si>
  <si>
    <t>16:30:42</t>
  </si>
  <si>
    <t>REC-3295-1T8D-182793</t>
  </si>
  <si>
    <t>16:10:01</t>
  </si>
  <si>
    <t>REC-536-2GEZ-358386</t>
  </si>
  <si>
    <t>16:02:30</t>
  </si>
  <si>
    <t>REC-4202-A16N-8753</t>
  </si>
  <si>
    <t>15:54:10</t>
  </si>
  <si>
    <t>REC-226-B7CC-734855</t>
  </si>
  <si>
    <t>REC-4164-A1CB-131384</t>
  </si>
  <si>
    <t>15:30:19</t>
  </si>
  <si>
    <t>REC-543-U5H7-578460</t>
  </si>
  <si>
    <t>3908121</t>
  </si>
  <si>
    <t>0604337584</t>
  </si>
  <si>
    <t>15:29:24</t>
  </si>
  <si>
    <t>REC-3371-EGEG-268335</t>
  </si>
  <si>
    <t>15:28:38</t>
  </si>
  <si>
    <t>REC-3187-YWS5-618426</t>
  </si>
  <si>
    <t>3902359</t>
  </si>
  <si>
    <t>0917835837</t>
  </si>
  <si>
    <t>15:18:34</t>
  </si>
  <si>
    <t>REC-072-KBN0-275032</t>
  </si>
  <si>
    <t>14:54:47</t>
  </si>
  <si>
    <t>REC-3172-YIG8-320732</t>
  </si>
  <si>
    <t>14:32:14</t>
  </si>
  <si>
    <t>REC-011-JVA0-526050</t>
  </si>
  <si>
    <t>3930160</t>
  </si>
  <si>
    <t>0920002532</t>
  </si>
  <si>
    <t>12:51:32</t>
  </si>
  <si>
    <t>REC-4164-A1LY-147136</t>
  </si>
  <si>
    <t>REC-3808-A3Z9-541132</t>
  </si>
  <si>
    <t>3908818</t>
  </si>
  <si>
    <t>0955455720</t>
  </si>
  <si>
    <t>12:47:54</t>
  </si>
  <si>
    <t>REC-348-AB9D-158115</t>
  </si>
  <si>
    <t>3908746</t>
  </si>
  <si>
    <t>0919552828</t>
  </si>
  <si>
    <t>12:10:57</t>
  </si>
  <si>
    <t>REC-3792-A24Z-575262</t>
  </si>
  <si>
    <t>3906901</t>
  </si>
  <si>
    <t>0909497331</t>
  </si>
  <si>
    <t>12:06:50</t>
  </si>
  <si>
    <t>REC-4257-A221-140359</t>
  </si>
  <si>
    <t>3907498</t>
  </si>
  <si>
    <t>0919925248</t>
  </si>
  <si>
    <t>12:06:19</t>
  </si>
  <si>
    <t>REC-6397-A5XK-22191</t>
  </si>
  <si>
    <t>3906097</t>
  </si>
  <si>
    <t>0909368169001</t>
  </si>
  <si>
    <t>11:30:24</t>
  </si>
  <si>
    <t>REC-023-P4U6-468509</t>
  </si>
  <si>
    <t>10:45:52</t>
  </si>
  <si>
    <t>REC-536-TDSM-162148</t>
  </si>
  <si>
    <t>10:15:58</t>
  </si>
  <si>
    <t>REC-061-SPOX-304972</t>
  </si>
  <si>
    <t>09:48:21</t>
  </si>
  <si>
    <t>REC-4960-A1QG-108893</t>
  </si>
  <si>
    <t>09:42:59</t>
  </si>
  <si>
    <t>REC-045-VMU0-358482</t>
  </si>
  <si>
    <t>3903327</t>
  </si>
  <si>
    <t>09:42:32</t>
  </si>
  <si>
    <t>REC-045-VMU0-358481</t>
  </si>
  <si>
    <t>08:05:34</t>
  </si>
  <si>
    <t>REC-4303-IAI3-777642</t>
  </si>
  <si>
    <t>20210227</t>
  </si>
  <si>
    <t>17:30:14</t>
  </si>
  <si>
    <t>REC-3370-A6JI-271700</t>
  </si>
  <si>
    <t>16:17:13</t>
  </si>
  <si>
    <t>REC-3095-T359-442403</t>
  </si>
  <si>
    <t>3901615</t>
  </si>
  <si>
    <t>0802222935</t>
  </si>
  <si>
    <t>15:48:31</t>
  </si>
  <si>
    <t>REC-3520-A1CH-278119</t>
  </si>
  <si>
    <t>14:14:21</t>
  </si>
  <si>
    <t>REC-3370-A6JI-271661</t>
  </si>
  <si>
    <t>13:39:14</t>
  </si>
  <si>
    <t>REC-3412-PTE5-823274</t>
  </si>
  <si>
    <t>3900219</t>
  </si>
  <si>
    <t>1305865535</t>
  </si>
  <si>
    <t>12:47:09</t>
  </si>
  <si>
    <t>REC-3187-A2UB-169212</t>
  </si>
  <si>
    <t>11:53:37</t>
  </si>
  <si>
    <t>REC-3360-IPEN-237663</t>
  </si>
  <si>
    <t>11:32:22</t>
  </si>
  <si>
    <t>REC-3792-A39T-130262</t>
  </si>
  <si>
    <t>11:20:46</t>
  </si>
  <si>
    <t>REC-5202-A528-816843</t>
  </si>
  <si>
    <t>10:29:40</t>
  </si>
  <si>
    <t>REC-3370-A6JI-271601</t>
  </si>
  <si>
    <t>09:42:27</t>
  </si>
  <si>
    <t>REC-810-5CAY-442141</t>
  </si>
  <si>
    <t>09:27:34</t>
  </si>
  <si>
    <t>REC-3172-LIO4-253177</t>
  </si>
  <si>
    <t>20210228</t>
  </si>
  <si>
    <t>19:06:11</t>
  </si>
  <si>
    <t>REC-7314-A6GU-29189</t>
  </si>
  <si>
    <t>3908945</t>
  </si>
  <si>
    <t>0911575306</t>
  </si>
  <si>
    <t>18:50:07</t>
  </si>
  <si>
    <t>REC-5635-A2YS-37186</t>
  </si>
  <si>
    <t>3900648</t>
  </si>
  <si>
    <t>0914002506</t>
  </si>
  <si>
    <t>17:23:34</t>
  </si>
  <si>
    <t>REC-3295-1T8E-238730</t>
  </si>
  <si>
    <t>15:36:43</t>
  </si>
  <si>
    <t>REC-3295-1T8D-183017</t>
  </si>
  <si>
    <t>3909925</t>
  </si>
  <si>
    <t>0920334885</t>
  </si>
  <si>
    <t>11:00:10</t>
  </si>
  <si>
    <t>REC-5585-A2XB-79195</t>
  </si>
  <si>
    <t>10:44:11</t>
  </si>
  <si>
    <t>REC-678-3V18-582110</t>
  </si>
  <si>
    <t>10:43:37</t>
  </si>
  <si>
    <t>REC-678-3V18-582109</t>
  </si>
  <si>
    <t>08:58:38</t>
  </si>
  <si>
    <t>REC-609-A3AI-100362</t>
  </si>
  <si>
    <t>WESTERN UNION MES DE MARZO</t>
  </si>
  <si>
    <t>20210301</t>
  </si>
  <si>
    <t>17:39:41</t>
  </si>
  <si>
    <t>REC-7779-SS95-894499</t>
  </si>
  <si>
    <t>17:24:42</t>
  </si>
  <si>
    <t>REC-4960-A1QG-109424</t>
  </si>
  <si>
    <t>3909275</t>
  </si>
  <si>
    <t>0915770200</t>
  </si>
  <si>
    <t>17:05:43</t>
  </si>
  <si>
    <t>REC-4963-A3A0-892689</t>
  </si>
  <si>
    <t>3906914</t>
  </si>
  <si>
    <t>0909246902</t>
  </si>
  <si>
    <t>16:53:38</t>
  </si>
  <si>
    <t>REC-3187-A2UE-57773</t>
  </si>
  <si>
    <t>16:33:31</t>
  </si>
  <si>
    <t>REC-3412-PTE5-891269</t>
  </si>
  <si>
    <t>16:31:25</t>
  </si>
  <si>
    <t>REC-3022-FNNL-554181</t>
  </si>
  <si>
    <t>3907589</t>
  </si>
  <si>
    <t>0924945298</t>
  </si>
  <si>
    <t>16:31:22</t>
  </si>
  <si>
    <t>REC-3172-YIG8-320875</t>
  </si>
  <si>
    <t>16:27:58</t>
  </si>
  <si>
    <t>REC-3422-A3IU-646133</t>
  </si>
  <si>
    <t>16:15:48</t>
  </si>
  <si>
    <t>REC-224-B7CE-13986</t>
  </si>
  <si>
    <t>3900542</t>
  </si>
  <si>
    <t>0951828110</t>
  </si>
  <si>
    <t>14:51:41</t>
  </si>
  <si>
    <t>REC-3022-A364-140095</t>
  </si>
  <si>
    <t>3908761</t>
  </si>
  <si>
    <t>0923665228</t>
  </si>
  <si>
    <t>14:19:13</t>
  </si>
  <si>
    <t>REC-7383-RR36-880657</t>
  </si>
  <si>
    <t>3909126</t>
  </si>
  <si>
    <t>0924106289</t>
  </si>
  <si>
    <t>14:14:56</t>
  </si>
  <si>
    <t>REC-3994-A5HO-54353</t>
  </si>
  <si>
    <t>14:14:43</t>
  </si>
  <si>
    <t>REC-3994-A5HO-54352</t>
  </si>
  <si>
    <t>13:45:28</t>
  </si>
  <si>
    <t>REC-5310-Z4YZ-878052</t>
  </si>
  <si>
    <t>13:19:40</t>
  </si>
  <si>
    <t>REC-536-2GEZ-358556</t>
  </si>
  <si>
    <t>12:13:39</t>
  </si>
  <si>
    <t>REC-4882-A1XW-870763</t>
  </si>
  <si>
    <t>11:37:28</t>
  </si>
  <si>
    <t>REC-165-M8MT-666744</t>
  </si>
  <si>
    <t>REC-3301-CTQ4-861446</t>
  </si>
  <si>
    <t>3906728</t>
  </si>
  <si>
    <t>0924141328</t>
  </si>
  <si>
    <t>10:43:17</t>
  </si>
  <si>
    <t>REC-3370-A6JI-271850</t>
  </si>
  <si>
    <t>3930137</t>
  </si>
  <si>
    <t>0102779592</t>
  </si>
  <si>
    <t>10:25:10</t>
  </si>
  <si>
    <t>REC-061-A6S3-219510</t>
  </si>
  <si>
    <t>10:19:08</t>
  </si>
  <si>
    <t>REC-5310-Z4YZ-858618</t>
  </si>
  <si>
    <t>09:48:56</t>
  </si>
  <si>
    <t>REC-7316-RQ67-3533</t>
  </si>
  <si>
    <t>09:40:20</t>
  </si>
  <si>
    <t>REC-678-3V18-582165</t>
  </si>
  <si>
    <t>09:10:36</t>
  </si>
  <si>
    <t>REC-011-VD5Z-368619</t>
  </si>
  <si>
    <t>08:54:08</t>
  </si>
  <si>
    <t>REC-5585-A2XB-79342</t>
  </si>
  <si>
    <t>20210302</t>
  </si>
  <si>
    <t>18:29:18</t>
  </si>
  <si>
    <t>REC-2004-CNH2-602311</t>
  </si>
  <si>
    <t>3903898</t>
  </si>
  <si>
    <t>0913207064</t>
  </si>
  <si>
    <t>18:28:56</t>
  </si>
  <si>
    <t>REC-4721-A1WI-13329</t>
  </si>
  <si>
    <t>17:57:33</t>
  </si>
  <si>
    <t>REC-3371-EGEG-269231</t>
  </si>
  <si>
    <t>17:51:17</t>
  </si>
  <si>
    <t>REC-071-A4TR-179985</t>
  </si>
  <si>
    <t>17:50:54</t>
  </si>
  <si>
    <t>REC-071-A4TR-179984</t>
  </si>
  <si>
    <t>17:20:34</t>
  </si>
  <si>
    <t>REC-3371-EGEG-269212</t>
  </si>
  <si>
    <t>17:05:40</t>
  </si>
  <si>
    <t>REC-3792-A24Z-575867</t>
  </si>
  <si>
    <t>16:56:45</t>
  </si>
  <si>
    <t>REC-3792-A24Z-575862</t>
  </si>
  <si>
    <t>15:53:36</t>
  </si>
  <si>
    <t>REC-3161-KURB-448478</t>
  </si>
  <si>
    <t>3900193</t>
  </si>
  <si>
    <t>1311205544</t>
  </si>
  <si>
    <t>15:18:55</t>
  </si>
  <si>
    <t>REC-944-LRJ0-416242</t>
  </si>
  <si>
    <t>3903140</t>
  </si>
  <si>
    <t>0919009720</t>
  </si>
  <si>
    <t>15:02:10</t>
  </si>
  <si>
    <t>REC-3422-A25Y-107670</t>
  </si>
  <si>
    <t>14:52:32</t>
  </si>
  <si>
    <t>REC-3808-A3Z9-541470</t>
  </si>
  <si>
    <t>14:40:43</t>
  </si>
  <si>
    <t>REC-3371-EFX5-190203</t>
  </si>
  <si>
    <t>14:40:08</t>
  </si>
  <si>
    <t>REC-3172-LIO6-139338</t>
  </si>
  <si>
    <t>3907637</t>
  </si>
  <si>
    <t>1723051676</t>
  </si>
  <si>
    <t>14:38:09</t>
  </si>
  <si>
    <t>REC-944-LRJW-299665</t>
  </si>
  <si>
    <t>14:29:03</t>
  </si>
  <si>
    <t>REC-3200-SAMB-527584</t>
  </si>
  <si>
    <t>3900008</t>
  </si>
  <si>
    <t>1310794910</t>
  </si>
  <si>
    <t>14:03:15</t>
  </si>
  <si>
    <t>REC-072-A6LX-219115</t>
  </si>
  <si>
    <t>13:59:10</t>
  </si>
  <si>
    <t>REC-4164-A1CB-131686</t>
  </si>
  <si>
    <t>3902733</t>
  </si>
  <si>
    <t>0992857978001</t>
  </si>
  <si>
    <t>13:38:14</t>
  </si>
  <si>
    <t>REC-223-B7CD-593552</t>
  </si>
  <si>
    <t>13:15:03</t>
  </si>
  <si>
    <t>REC-3260-CTO1-924493</t>
  </si>
  <si>
    <t>3908169</t>
  </si>
  <si>
    <t>0103734224001</t>
  </si>
  <si>
    <t>13:13:31</t>
  </si>
  <si>
    <t>REC-072-TTF1-329720</t>
  </si>
  <si>
    <t>12:34:00</t>
  </si>
  <si>
    <t>REC-810-5CAY-442418</t>
  </si>
  <si>
    <t>11:36:28</t>
  </si>
  <si>
    <t>REC-3182-YQG9-294916</t>
  </si>
  <si>
    <t>11:27:19</t>
  </si>
  <si>
    <t>REC-4301-IAI1-916300</t>
  </si>
  <si>
    <t>11:10:31</t>
  </si>
  <si>
    <t>REC-348-AB9D-158872</t>
  </si>
  <si>
    <t>3906848</t>
  </si>
  <si>
    <t>0911066652</t>
  </si>
  <si>
    <t>11:02:54</t>
  </si>
  <si>
    <t>REC-096-ZU7N-267018</t>
  </si>
  <si>
    <t>10:38:12</t>
  </si>
  <si>
    <t>REC-7996-A810-911811</t>
  </si>
  <si>
    <t>10:28:29</t>
  </si>
  <si>
    <t>REC-061-SPOX-305101</t>
  </si>
  <si>
    <t>AT-3236</t>
  </si>
  <si>
    <t>10:28:03</t>
  </si>
  <si>
    <t>REC-4910-A22F-29476</t>
  </si>
  <si>
    <t>3906765</t>
  </si>
  <si>
    <t>0917638264</t>
  </si>
  <si>
    <t>10:16:26</t>
  </si>
  <si>
    <t>REC-5552-A944-909874</t>
  </si>
  <si>
    <t>10:08:07</t>
  </si>
  <si>
    <t>REC-3022-A364-140179</t>
  </si>
  <si>
    <t>08:57:25</t>
  </si>
  <si>
    <t>REC-355-J4YM-687672</t>
  </si>
  <si>
    <t>20210303</t>
  </si>
  <si>
    <t>20:34:43</t>
  </si>
  <si>
    <t>REC-3187-YWS5-618865</t>
  </si>
  <si>
    <t>3945281</t>
  </si>
  <si>
    <t>0903358794</t>
  </si>
  <si>
    <t>REC-3371-LD0C-306831</t>
  </si>
  <si>
    <t>3900359</t>
  </si>
  <si>
    <t>0921550141</t>
  </si>
  <si>
    <t>17:29:11</t>
  </si>
  <si>
    <t>REC-3371-EFX5-190412</t>
  </si>
  <si>
    <t>17:10:38</t>
  </si>
  <si>
    <t>REC-5434-A836-979805</t>
  </si>
  <si>
    <t>16:38:56</t>
  </si>
  <si>
    <t>REC-3023-IZCF-589332</t>
  </si>
  <si>
    <t>16:16:47</t>
  </si>
  <si>
    <t>REC-049-A2U2-62715</t>
  </si>
  <si>
    <t>3908025</t>
  </si>
  <si>
    <t>0908151046</t>
  </si>
  <si>
    <t>15:22:13</t>
  </si>
  <si>
    <t>REC-3422-A3IU-646396</t>
  </si>
  <si>
    <t>3909031</t>
  </si>
  <si>
    <t>0916551930</t>
  </si>
  <si>
    <t>14:48:27</t>
  </si>
  <si>
    <t>REC-3175-A3LN-147108</t>
  </si>
  <si>
    <t>14:43:56</t>
  </si>
  <si>
    <t>REC-7057-A66Z-18619</t>
  </si>
  <si>
    <t>14:21:15</t>
  </si>
  <si>
    <t>REC-004-KA8J-604980</t>
  </si>
  <si>
    <t>3901623</t>
  </si>
  <si>
    <t>0915101885</t>
  </si>
  <si>
    <t>14:02:49</t>
  </si>
  <si>
    <t>REC-7809-LV49-899</t>
  </si>
  <si>
    <t>13:56:23</t>
  </si>
  <si>
    <t>REC-3808-A3Z9-541554</t>
  </si>
  <si>
    <t>13:05:54</t>
  </si>
  <si>
    <t>REC-011-JVA0-526534</t>
  </si>
  <si>
    <t>12:58:15</t>
  </si>
  <si>
    <t>REC-568-YYC0-1586161</t>
  </si>
  <si>
    <t>23923099</t>
  </si>
  <si>
    <t>1755876958</t>
  </si>
  <si>
    <t>12:30:45</t>
  </si>
  <si>
    <t>REC-048-AFEP-257280</t>
  </si>
  <si>
    <t>REC-4960-A1QG-109658</t>
  </si>
  <si>
    <t>11:33:23</t>
  </si>
  <si>
    <t>REC-7467-PR63-959537</t>
  </si>
  <si>
    <t>11:20:48</t>
  </si>
  <si>
    <t>REC-536-2GEZ-358840</t>
  </si>
  <si>
    <t>3900652</t>
  </si>
  <si>
    <t>11:19:32</t>
  </si>
  <si>
    <t>REC-355-J4YM-687872</t>
  </si>
  <si>
    <t>11:00:57</t>
  </si>
  <si>
    <t>REC-4963-A3A0-956738</t>
  </si>
  <si>
    <t>3930293</t>
  </si>
  <si>
    <t>0924219447001</t>
  </si>
  <si>
    <t>10:41:31</t>
  </si>
  <si>
    <t>REC-4164-A19X-167242</t>
  </si>
  <si>
    <t>10:30:33</t>
  </si>
  <si>
    <t>REC-3808-A3Z9-541532</t>
  </si>
  <si>
    <t>10:29:33</t>
  </si>
  <si>
    <t>REC-348-AB9D-159088</t>
  </si>
  <si>
    <t>10:17:38</t>
  </si>
  <si>
    <t>REC-4636-NES1-5027</t>
  </si>
  <si>
    <t>3908968</t>
  </si>
  <si>
    <t>0992981695001</t>
  </si>
  <si>
    <t>10:07:48</t>
  </si>
  <si>
    <t>REC-3371-LD0C-306677</t>
  </si>
  <si>
    <t>3902753</t>
  </si>
  <si>
    <t>0919013102</t>
  </si>
  <si>
    <t>10:03:18</t>
  </si>
  <si>
    <t>REC-3611-AAD1-951640</t>
  </si>
  <si>
    <t>09:52:03</t>
  </si>
  <si>
    <t>REC-348-AB9D-159075</t>
  </si>
  <si>
    <t>20210304</t>
  </si>
  <si>
    <t>19:32:03</t>
  </si>
  <si>
    <t>REC-3371-EGEG-269637</t>
  </si>
  <si>
    <t>18:37:41</t>
  </si>
  <si>
    <t>REC-3792-A39T-130924</t>
  </si>
  <si>
    <t>3908154</t>
  </si>
  <si>
    <t>0916396617</t>
  </si>
  <si>
    <t>17:41:39</t>
  </si>
  <si>
    <t>REC-3520-A1CH-279168</t>
  </si>
  <si>
    <t>17:32:25</t>
  </si>
  <si>
    <t>REC-3161-KURB-448752</t>
  </si>
  <si>
    <t>3902771</t>
  </si>
  <si>
    <t>0914928544</t>
  </si>
  <si>
    <t>17:27:12</t>
  </si>
  <si>
    <t>REC-223-V7XD-289062</t>
  </si>
  <si>
    <t>16:43:49</t>
  </si>
  <si>
    <t>REC-3187-YWS5-618943</t>
  </si>
  <si>
    <t>3903318</t>
  </si>
  <si>
    <t>0703121079</t>
  </si>
  <si>
    <t>16:28:36</t>
  </si>
  <si>
    <t>REC-3371-LD0C-306962</t>
  </si>
  <si>
    <t>16:03:55</t>
  </si>
  <si>
    <t>REC-061-A6S3-219733</t>
  </si>
  <si>
    <t>15:52:25</t>
  </si>
  <si>
    <t>REC-7828-MB00-2984</t>
  </si>
  <si>
    <t>15:48:28</t>
  </si>
  <si>
    <t>REC-3172-LIO3-82126</t>
  </si>
  <si>
    <t>3900562</t>
  </si>
  <si>
    <t>0921917118</t>
  </si>
  <si>
    <t>15:38:27</t>
  </si>
  <si>
    <t>REC-7818-LV58-19210</t>
  </si>
  <si>
    <t>REC-072-GPG1-227149</t>
  </si>
  <si>
    <t>15:21:15</t>
  </si>
  <si>
    <t>REC-091-A1E5-408921</t>
  </si>
  <si>
    <t>3907697</t>
  </si>
  <si>
    <t>0911961258</t>
  </si>
  <si>
    <t>15:00:22</t>
  </si>
  <si>
    <t>REC-4164-A1LY-147808</t>
  </si>
  <si>
    <t>3945066</t>
  </si>
  <si>
    <t>1790898954001</t>
  </si>
  <si>
    <t>14:56:41</t>
  </si>
  <si>
    <t>REC-3577-A1IU-166726</t>
  </si>
  <si>
    <t>14:43:46</t>
  </si>
  <si>
    <t>REC-3172-YIGY-288488</t>
  </si>
  <si>
    <t>14:39:48</t>
  </si>
  <si>
    <t>REC-944-ZF9M-213682</t>
  </si>
  <si>
    <t>14:24:16</t>
  </si>
  <si>
    <t>REC-3370-A6JI-272492</t>
  </si>
  <si>
    <t>14:17:52</t>
  </si>
  <si>
    <t>REC-4278-IOI5-13971</t>
  </si>
  <si>
    <t>13:51:58</t>
  </si>
  <si>
    <t>REC-4164-A1LY-147778</t>
  </si>
  <si>
    <t>13:26:44</t>
  </si>
  <si>
    <t>REC-3792-A39T-130822</t>
  </si>
  <si>
    <t>13:13:25</t>
  </si>
  <si>
    <t>REC-3029-M9QW-194684</t>
  </si>
  <si>
    <t>13:12:40</t>
  </si>
  <si>
    <t>REC-072-AJ3R-260766</t>
  </si>
  <si>
    <t>12:39:48</t>
  </si>
  <si>
    <t>REC-536-2GEZ-359023</t>
  </si>
  <si>
    <t>12:29:38</t>
  </si>
  <si>
    <t>REC-3371-A1DS-232558</t>
  </si>
  <si>
    <t>3900198</t>
  </si>
  <si>
    <t>0913436200001</t>
  </si>
  <si>
    <t>12:09:44</t>
  </si>
  <si>
    <t>REC-609-A1M3-334545</t>
  </si>
  <si>
    <t>12:02:10</t>
  </si>
  <si>
    <t>REC-072-A6LX-219361</t>
  </si>
  <si>
    <t>3900954</t>
  </si>
  <si>
    <t>0917851578</t>
  </si>
  <si>
    <t>11:43:38</t>
  </si>
  <si>
    <t>REC-5635-A2YS-37783</t>
  </si>
  <si>
    <t>11:23:54</t>
  </si>
  <si>
    <t>REC-7624-PS94-3608</t>
  </si>
  <si>
    <t>10:56:21</t>
  </si>
  <si>
    <t>REC-5310-Z4YZ-663</t>
  </si>
  <si>
    <t>10:53:21</t>
  </si>
  <si>
    <t>REC-4717-FRZ4-385</t>
  </si>
  <si>
    <t>10:42:39</t>
  </si>
  <si>
    <t>REC-536-TDSM-162937</t>
  </si>
  <si>
    <t>09:20:48</t>
  </si>
  <si>
    <t>REC-5117-A283-5601</t>
  </si>
  <si>
    <t>20210305</t>
  </si>
  <si>
    <t>17:50:10</t>
  </si>
  <si>
    <t>REC-4313-IAI9-68295</t>
  </si>
  <si>
    <t>17:12:49</t>
  </si>
  <si>
    <t>REC-3022-FNNL-554915</t>
  </si>
  <si>
    <t>16:40:52</t>
  </si>
  <si>
    <t>REC-095-AJSE-688514</t>
  </si>
  <si>
    <t>16:39:49</t>
  </si>
  <si>
    <t>REC-609-A1M3-334776</t>
  </si>
  <si>
    <t>3903654</t>
  </si>
  <si>
    <t>0922286711</t>
  </si>
  <si>
    <t>16:18:22</t>
  </si>
  <si>
    <t>REC-536-2GEZ-359261</t>
  </si>
  <si>
    <t>15:41:01</t>
  </si>
  <si>
    <t>REC-7456-PR52-2033</t>
  </si>
  <si>
    <t>15:28:56</t>
  </si>
  <si>
    <t>REC-011-VD5Z-369190</t>
  </si>
  <si>
    <t>3903847</t>
  </si>
  <si>
    <t>0907032585</t>
  </si>
  <si>
    <t>15:23:23</t>
  </si>
  <si>
    <t>REC-223-V7XD-289195</t>
  </si>
  <si>
    <t>15:01:40</t>
  </si>
  <si>
    <t>REC-049-A2U2-62900</t>
  </si>
  <si>
    <t>14:46:30</t>
  </si>
  <si>
    <t>REC-944-LRJ0-416741</t>
  </si>
  <si>
    <t>14:44:51</t>
  </si>
  <si>
    <t>REC-7529-A12D-13304</t>
  </si>
  <si>
    <t>14:19:15</t>
  </si>
  <si>
    <t>REC-5594-A1BC-19666</t>
  </si>
  <si>
    <t>12:57:47</t>
  </si>
  <si>
    <t>REC-3697-AAO3-51206</t>
  </si>
  <si>
    <t>3901717</t>
  </si>
  <si>
    <t>0905630836</t>
  </si>
  <si>
    <t>12:44:11</t>
  </si>
  <si>
    <t>REC-342-VEHD-483294</t>
  </si>
  <si>
    <t>12:43:42</t>
  </si>
  <si>
    <t>REC-342-VEHD-483293</t>
  </si>
  <si>
    <t>12:32:12</t>
  </si>
  <si>
    <t>REC-3172-YIGY-288573</t>
  </si>
  <si>
    <t>12:17:50</t>
  </si>
  <si>
    <t>REC-536-TDSM-163072</t>
  </si>
  <si>
    <t>12:08:56</t>
  </si>
  <si>
    <t>REC-3172-LIO7-125512</t>
  </si>
  <si>
    <t>12:05:03</t>
  </si>
  <si>
    <t>REC-518-RI6X-440132</t>
  </si>
  <si>
    <t>3908706</t>
  </si>
  <si>
    <t>0925145369</t>
  </si>
  <si>
    <t>12:04:33</t>
  </si>
  <si>
    <t>REC-5762-FE91-47592</t>
  </si>
  <si>
    <t>12:02:30</t>
  </si>
  <si>
    <t>REC-4190-A11N-1478253</t>
  </si>
  <si>
    <t>11:15:24</t>
  </si>
  <si>
    <t>REC-518-RI6X-440121</t>
  </si>
  <si>
    <t>11:10:00</t>
  </si>
  <si>
    <t>REC-342-VEHD-483267</t>
  </si>
  <si>
    <t>3901351</t>
  </si>
  <si>
    <t>0925743924</t>
  </si>
  <si>
    <t>11:08:17</t>
  </si>
  <si>
    <t>REC-348-1R2Q-457185</t>
  </si>
  <si>
    <t>11:03:28</t>
  </si>
  <si>
    <t>REC-7738-SS61-42735</t>
  </si>
  <si>
    <t>10:33:31</t>
  </si>
  <si>
    <t>REC-678-3V18-582562</t>
  </si>
  <si>
    <t>10:33:24</t>
  </si>
  <si>
    <t>REC-4717-FRZ4-40340</t>
  </si>
  <si>
    <t>10:18:47</t>
  </si>
  <si>
    <t>REC-3577-A1IU-166803</t>
  </si>
  <si>
    <t>10:00:37</t>
  </si>
  <si>
    <t>REC-223-B7CD-594109</t>
  </si>
  <si>
    <t>20210306</t>
  </si>
  <si>
    <t>18:00:29</t>
  </si>
  <si>
    <t>REC-008-PB65-395249</t>
  </si>
  <si>
    <t>17:44:33</t>
  </si>
  <si>
    <t>REC-944-LRJ0-416908</t>
  </si>
  <si>
    <t>16:39:00</t>
  </si>
  <si>
    <t>REC-223-B7CD-594368</t>
  </si>
  <si>
    <t>15:58:03</t>
  </si>
  <si>
    <t>REC-543-U5H7-579502</t>
  </si>
  <si>
    <t>13:08:28</t>
  </si>
  <si>
    <t>REC-3370-A6JI-272770</t>
  </si>
  <si>
    <t>11:46:16</t>
  </si>
  <si>
    <t>REC-4620-A1TY-82459</t>
  </si>
  <si>
    <t>11:26:09</t>
  </si>
  <si>
    <t>REC-3201-Y46O-441115</t>
  </si>
  <si>
    <t>3906771</t>
  </si>
  <si>
    <t>0906960638</t>
  </si>
  <si>
    <t>10:51:49</t>
  </si>
  <si>
    <t>REC-4202-A16N-8786</t>
  </si>
  <si>
    <t>09:49:22</t>
  </si>
  <si>
    <t>REC-3175-A3LN-147469</t>
  </si>
  <si>
    <t>09:14:17</t>
  </si>
  <si>
    <t>REC-543-U5H7-579427</t>
  </si>
  <si>
    <t>20210307</t>
  </si>
  <si>
    <t>12:50:14</t>
  </si>
  <si>
    <t>REC-3371-LD0C-307309</t>
  </si>
  <si>
    <t>12:41:22</t>
  </si>
  <si>
    <t>REC-342-VEHD-483554</t>
  </si>
  <si>
    <t>REC-3792-A24Z-576612</t>
  </si>
  <si>
    <t>12:17:04</t>
  </si>
  <si>
    <t>REC-3792-A24Z-576599</t>
  </si>
  <si>
    <t>11:45:58</t>
  </si>
  <si>
    <t>REC-3187-A2UB-170206</t>
  </si>
  <si>
    <t>3909880</t>
  </si>
  <si>
    <t>0910140417</t>
  </si>
  <si>
    <t>11:13:11</t>
  </si>
  <si>
    <t>REC-3370-A6JI-272832</t>
  </si>
  <si>
    <t>18:03:44</t>
  </si>
  <si>
    <t>REC-5310-Z4YZ-105850</t>
  </si>
  <si>
    <t>15:11:25</t>
  </si>
  <si>
    <t>REC-3187-A2UE-58605</t>
  </si>
  <si>
    <t>3901576</t>
  </si>
  <si>
    <t>0961310190</t>
  </si>
  <si>
    <t>20210308</t>
  </si>
  <si>
    <t>16:40:06</t>
  </si>
  <si>
    <t>REC-390-BBF4-327047</t>
  </si>
  <si>
    <t>15:36:23</t>
  </si>
  <si>
    <t>REC-3187-YWS5-619267</t>
  </si>
  <si>
    <t>15:35:52</t>
  </si>
  <si>
    <t>REC-3187-YWS5-619266</t>
  </si>
  <si>
    <t>14:54:44</t>
  </si>
  <si>
    <t>REC-904-KZH3-424881</t>
  </si>
  <si>
    <t>14:16:35</t>
  </si>
  <si>
    <t>REC-048-QNCI-640912</t>
  </si>
  <si>
    <t>13:29:35</t>
  </si>
  <si>
    <t>REC-045-VMU0-359675</t>
  </si>
  <si>
    <t>11:47:58</t>
  </si>
  <si>
    <t>REC-090-9SKJ-463019</t>
  </si>
  <si>
    <t>11:30:55</t>
  </si>
  <si>
    <t>REC-3200-SAMB-528179</t>
  </si>
  <si>
    <t>11:23:31</t>
  </si>
  <si>
    <t>REC-3371-EFX5-190716</t>
  </si>
  <si>
    <t>10:47:56</t>
  </si>
  <si>
    <t>REC-7675-LB02-118529</t>
  </si>
  <si>
    <t>3907393</t>
  </si>
  <si>
    <t>0919785857</t>
  </si>
  <si>
    <t>10:44:46</t>
  </si>
  <si>
    <t>REC-5635-A2YS-38257</t>
  </si>
  <si>
    <t>10:14:15</t>
  </si>
  <si>
    <t>REC-011-VD5Z-369396</t>
  </si>
  <si>
    <t>09:54:21</t>
  </si>
  <si>
    <t>REC-3520-A1CH-279575</t>
  </si>
  <si>
    <t>09:52:23</t>
  </si>
  <si>
    <t>REC-4007-OIT2-113816</t>
  </si>
  <si>
    <t>09:36:14</t>
  </si>
  <si>
    <t>REC-3815-A3ZR-28926</t>
  </si>
  <si>
    <t>3906798</t>
  </si>
  <si>
    <t>0916405657</t>
  </si>
  <si>
    <t>09:14:01</t>
  </si>
  <si>
    <t>REC-5987-GFL4-110730</t>
  </si>
  <si>
    <t>20210309</t>
  </si>
  <si>
    <t>16:07:24</t>
  </si>
  <si>
    <t>REC-4257-A221-141844</t>
  </si>
  <si>
    <t>15:36:14</t>
  </si>
  <si>
    <t>REC-4960-A1QG-110495</t>
  </si>
  <si>
    <t>3900147</t>
  </si>
  <si>
    <t>1728077064</t>
  </si>
  <si>
    <t>15:17:36</t>
  </si>
  <si>
    <t>REC-072-KBN0-276643</t>
  </si>
  <si>
    <t>14:21:20</t>
  </si>
  <si>
    <t>REC-3172-LIO7-125924</t>
  </si>
  <si>
    <t>14:00:38</t>
  </si>
  <si>
    <t>REC-5762-FE91-172927</t>
  </si>
  <si>
    <t>13:51:31</t>
  </si>
  <si>
    <t>REC-944-PR10-439453</t>
  </si>
  <si>
    <t>3900993</t>
  </si>
  <si>
    <t>0917214330</t>
  </si>
  <si>
    <t>13:49:20</t>
  </si>
  <si>
    <t>REC-3200-SAMK-241897</t>
  </si>
  <si>
    <t>13:41:14</t>
  </si>
  <si>
    <t>REC-3792-A39T-131342</t>
  </si>
  <si>
    <t>REC-585-VR9E-514780</t>
  </si>
  <si>
    <t>11:59:39</t>
  </si>
  <si>
    <t>REC-3094-A521-1501130</t>
  </si>
  <si>
    <t>11:57:59</t>
  </si>
  <si>
    <t>REC-4966-A3Z7-166110</t>
  </si>
  <si>
    <t>11:38:46</t>
  </si>
  <si>
    <t>REC-3182-YQHE-249992</t>
  </si>
  <si>
    <t>3901483</t>
  </si>
  <si>
    <t>0907553267</t>
  </si>
  <si>
    <t>11:20:53</t>
  </si>
  <si>
    <t>REC-944-LRJ0-417094</t>
  </si>
  <si>
    <t>08:44:46</t>
  </si>
  <si>
    <t>REC-5310-Z4YZ-153511</t>
  </si>
  <si>
    <t>20210310</t>
  </si>
  <si>
    <t>17:41:44</t>
  </si>
  <si>
    <t>REC-3412-PTE5-222295</t>
  </si>
  <si>
    <t>16:39:24</t>
  </si>
  <si>
    <t>REC-3295-1T8E-239682</t>
  </si>
  <si>
    <t>3908223</t>
  </si>
  <si>
    <t>0992594950001</t>
  </si>
  <si>
    <t>16:36:54</t>
  </si>
  <si>
    <t>REC-3295-1T8E-239681</t>
  </si>
  <si>
    <t>3908222</t>
  </si>
  <si>
    <t>16:33:59</t>
  </si>
  <si>
    <t>REC-3301-CTQ4-219494</t>
  </si>
  <si>
    <t>3901010</t>
  </si>
  <si>
    <t>0992714727001</t>
  </si>
  <si>
    <t>15:44:37</t>
  </si>
  <si>
    <t>REC-5276-A2G3-243039</t>
  </si>
  <si>
    <t>14:59:47</t>
  </si>
  <si>
    <t>REC-191-A381-214245</t>
  </si>
  <si>
    <t>14:48:49</t>
  </si>
  <si>
    <t>REC-223-B7CD-594962</t>
  </si>
  <si>
    <t>14:00:03</t>
  </si>
  <si>
    <t>REC-7916-AV03-822</t>
  </si>
  <si>
    <t>3909000</t>
  </si>
  <si>
    <t>0915392070</t>
  </si>
  <si>
    <t>13:09:18</t>
  </si>
  <si>
    <t>REC-011-VD5Z-369593</t>
  </si>
  <si>
    <t>3901724</t>
  </si>
  <si>
    <t>0931127203</t>
  </si>
  <si>
    <t>10:47:02</t>
  </si>
  <si>
    <t>REC-241-M1DC-357975</t>
  </si>
  <si>
    <t>3907404</t>
  </si>
  <si>
    <t>0925055352</t>
  </si>
  <si>
    <t>10:37:02</t>
  </si>
  <si>
    <t>REC-3172-LIO6-140340</t>
  </si>
  <si>
    <t>09:55:02</t>
  </si>
  <si>
    <t>REC-7276-RQ45-196235</t>
  </si>
  <si>
    <t>20210311</t>
  </si>
  <si>
    <t>18:54:47</t>
  </si>
  <si>
    <t>REC-191-A381-255576</t>
  </si>
  <si>
    <t>23923115</t>
  </si>
  <si>
    <t>1722720834</t>
  </si>
  <si>
    <t>16:05:51</t>
  </si>
  <si>
    <t>REC-3554-PTY2-250127</t>
  </si>
  <si>
    <t>15:51:38</t>
  </si>
  <si>
    <t>REC-944-ZF9M-214450</t>
  </si>
  <si>
    <t>3906031</t>
  </si>
  <si>
    <t>0920786688</t>
  </si>
  <si>
    <t>15:37:18</t>
  </si>
  <si>
    <t>REC-031-BBYO-449492</t>
  </si>
  <si>
    <t>23923113</t>
  </si>
  <si>
    <t>1711726834</t>
  </si>
  <si>
    <t>15:04:14</t>
  </si>
  <si>
    <t>REC-6471-KF11-4368</t>
  </si>
  <si>
    <t>12:57:31</t>
  </si>
  <si>
    <t>REC-7433-PR32-241899</t>
  </si>
  <si>
    <t>12:17:35</t>
  </si>
  <si>
    <t>REC-096-LIO1-560735</t>
  </si>
  <si>
    <t>3903633</t>
  </si>
  <si>
    <t>0927174532</t>
  </si>
  <si>
    <t>11:55:20</t>
  </si>
  <si>
    <t>REC-3370-A6JI-273324</t>
  </si>
  <si>
    <t>11:44:35</t>
  </si>
  <si>
    <t>REC-3187-YWS5-619460</t>
  </si>
  <si>
    <t>11:00:22</t>
  </si>
  <si>
    <t>REC-3774-ABA2-235569</t>
  </si>
  <si>
    <t>09:22:05</t>
  </si>
  <si>
    <t>REC-3301-CTQ4-229912</t>
  </si>
  <si>
    <t>20210312</t>
  </si>
  <si>
    <t>19:09:23</t>
  </si>
  <si>
    <t>REC-3295-1TWC-231680</t>
  </si>
  <si>
    <t>18:16:21</t>
  </si>
  <si>
    <t>REC-3182-YQHG-240006</t>
  </si>
  <si>
    <t>16:05:21</t>
  </si>
  <si>
    <t>REC-3023-IZCF-590396</t>
  </si>
  <si>
    <t>16:00:42</t>
  </si>
  <si>
    <t>REC-3808-A3Z9-542336</t>
  </si>
  <si>
    <t>3903450</t>
  </si>
  <si>
    <t>0918655564</t>
  </si>
  <si>
    <t>15:58:46</t>
  </si>
  <si>
    <t>REC-090-9SKJ-463703</t>
  </si>
  <si>
    <t>15:54:59</t>
  </si>
  <si>
    <t>REC-3392-A39W-426540</t>
  </si>
  <si>
    <t>15:36:31</t>
  </si>
  <si>
    <t>REC-4961-A24R-49310</t>
  </si>
  <si>
    <t>3903173</t>
  </si>
  <si>
    <t>0922018239</t>
  </si>
  <si>
    <t>15:33:16</t>
  </si>
  <si>
    <t>REC-096-LIO1-560935</t>
  </si>
  <si>
    <t>15:31:06</t>
  </si>
  <si>
    <t>REC-072-TTF1-330651</t>
  </si>
  <si>
    <t>15:18:31</t>
  </si>
  <si>
    <t>REC-096-DCIZ-474357</t>
  </si>
  <si>
    <t>14:40:12</t>
  </si>
  <si>
    <t>REC-613-BK8R-431398</t>
  </si>
  <si>
    <t>14:35:20</t>
  </si>
  <si>
    <t>REC-3187-A2UE-59249</t>
  </si>
  <si>
    <t>14:24:28</t>
  </si>
  <si>
    <t>REC-3414-PTE7-276638</t>
  </si>
  <si>
    <t>3909242</t>
  </si>
  <si>
    <t>1204643652</t>
  </si>
  <si>
    <t>13:46:54</t>
  </si>
  <si>
    <t>REC-5585-RQ83-33727</t>
  </si>
  <si>
    <t>13:40:24</t>
  </si>
  <si>
    <t>REC-986-B099-112</t>
  </si>
  <si>
    <t>3908340</t>
  </si>
  <si>
    <t>0960013746</t>
  </si>
  <si>
    <t>12:31:35</t>
  </si>
  <si>
    <t>REC-3370-A6JI-273425</t>
  </si>
  <si>
    <t>12:22:02</t>
  </si>
  <si>
    <t>REC-3370-A6JI-273424</t>
  </si>
  <si>
    <t>12:08:02</t>
  </si>
  <si>
    <t>REC-096-DCIZ-474301</t>
  </si>
  <si>
    <t>11:43:53</t>
  </si>
  <si>
    <t>REC-3792-A24Z-577475</t>
  </si>
  <si>
    <t>3900569</t>
  </si>
  <si>
    <t>1803617644</t>
  </si>
  <si>
    <t>10:40:17</t>
  </si>
  <si>
    <t>REC-4934-A1ZV-265778</t>
  </si>
  <si>
    <t>08:05:46</t>
  </si>
  <si>
    <t>REC-7488-PR83-258221</t>
  </si>
  <si>
    <t>20210313</t>
  </si>
  <si>
    <t>20:10:40</t>
  </si>
  <si>
    <t>REC-3187-YWS5-619735</t>
  </si>
  <si>
    <t>3907982</t>
  </si>
  <si>
    <t>1803062189</t>
  </si>
  <si>
    <t>16:33:20</t>
  </si>
  <si>
    <t>REC-3182-YQHE-250419</t>
  </si>
  <si>
    <t>15:37:23</t>
  </si>
  <si>
    <t>REC-245-BEJI-688813</t>
  </si>
  <si>
    <t>14:40:55</t>
  </si>
  <si>
    <t>REC-011-JVA0-527451</t>
  </si>
  <si>
    <t>12:18:06</t>
  </si>
  <si>
    <t>REC-986-B099-131</t>
  </si>
  <si>
    <t>12:00:45</t>
  </si>
  <si>
    <t>REC-609-A3AI-101970</t>
  </si>
  <si>
    <t>11:28:16</t>
  </si>
  <si>
    <t>REC-3172-YIHD-260417</t>
  </si>
  <si>
    <t>11:10:16</t>
  </si>
  <si>
    <t>REC-3577-A1IU-167934</t>
  </si>
  <si>
    <t>10:58:27</t>
  </si>
  <si>
    <t>REC-3172-LIO4-254780</t>
  </si>
  <si>
    <t>10:39:29</t>
  </si>
  <si>
    <t>REC-191-A381-293361</t>
  </si>
  <si>
    <t>09:19:57</t>
  </si>
  <si>
    <t>REC-7731-SS58-5498</t>
  </si>
  <si>
    <t>3900560</t>
  </si>
  <si>
    <t>0925694275</t>
  </si>
  <si>
    <t>08:16:12</t>
  </si>
  <si>
    <t>REC-5987-GFL4-288766</t>
  </si>
  <si>
    <t>20210314</t>
  </si>
  <si>
    <t>12:23:36</t>
  </si>
  <si>
    <t>REC-7828-LV64-4150</t>
  </si>
  <si>
    <t>REC-348-AB9D-160672</t>
  </si>
  <si>
    <t>20210315</t>
  </si>
  <si>
    <t>19:07:10</t>
  </si>
  <si>
    <t>REC-008-PB64-391400</t>
  </si>
  <si>
    <t>18:56:52</t>
  </si>
  <si>
    <t>REC-027-A40B-85568</t>
  </si>
  <si>
    <t>3903867</t>
  </si>
  <si>
    <t>0912944006</t>
  </si>
  <si>
    <t>17:56:58</t>
  </si>
  <si>
    <t>REC-3022-A364-141886</t>
  </si>
  <si>
    <t>3902948</t>
  </si>
  <si>
    <t>0921202867</t>
  </si>
  <si>
    <t>17:32:34</t>
  </si>
  <si>
    <t>REC-241-BEJD-586919</t>
  </si>
  <si>
    <t>17:09:08</t>
  </si>
  <si>
    <t>REC-5635-A2YS-39216</t>
  </si>
  <si>
    <t>3930172</t>
  </si>
  <si>
    <t>0912220738</t>
  </si>
  <si>
    <t>16:45:12</t>
  </si>
  <si>
    <t>REC-043-HXVM-328806</t>
  </si>
  <si>
    <t>15:36:03</t>
  </si>
  <si>
    <t>REC-5328-A640-352215</t>
  </si>
  <si>
    <t>14:35:07</t>
  </si>
  <si>
    <t>REC-342-VEHD-484641</t>
  </si>
  <si>
    <t>14:29:55</t>
  </si>
  <si>
    <t>REC-3520-A1CH-280559</t>
  </si>
  <si>
    <t>14:24:40</t>
  </si>
  <si>
    <t>REC-3520-A1CH-280554</t>
  </si>
  <si>
    <t>12:54:11</t>
  </si>
  <si>
    <t>REC-5635-A2YS-39143</t>
  </si>
  <si>
    <t>12:44:15</t>
  </si>
  <si>
    <t>REC-518-RI6X-440997</t>
  </si>
  <si>
    <t>3930239</t>
  </si>
  <si>
    <t>0930882394</t>
  </si>
  <si>
    <t>12:20:56</t>
  </si>
  <si>
    <t>REC-3370-A6JI-273763</t>
  </si>
  <si>
    <t>11:58:40</t>
  </si>
  <si>
    <t>REC-342-VEHD-484592</t>
  </si>
  <si>
    <t>11:46:20</t>
  </si>
  <si>
    <t>REC-518-RI6X-440984</t>
  </si>
  <si>
    <t>3901380</t>
  </si>
  <si>
    <t>0919738260</t>
  </si>
  <si>
    <t>19:56:06</t>
  </si>
  <si>
    <t>REC-3187-A2UE-59532</t>
  </si>
  <si>
    <t>20210316</t>
  </si>
  <si>
    <t>18:49:32</t>
  </si>
  <si>
    <t>REC-5635-A2YS-39451</t>
  </si>
  <si>
    <t>18:45:32</t>
  </si>
  <si>
    <t>REC-3520-A1CH-280786</t>
  </si>
  <si>
    <t>18:37:01</t>
  </si>
  <si>
    <t>REC-7916-AV03-1007</t>
  </si>
  <si>
    <t>3908471</t>
  </si>
  <si>
    <t>1728077064001</t>
  </si>
  <si>
    <t>18:17:56</t>
  </si>
  <si>
    <t>REC-609-A1M3-335938</t>
  </si>
  <si>
    <t>17:50:14</t>
  </si>
  <si>
    <t>REC-3510-A4F9-255810</t>
  </si>
  <si>
    <t>17:28:04</t>
  </si>
  <si>
    <t>REC-4164-A1CB-132989</t>
  </si>
  <si>
    <t>17:21:58</t>
  </si>
  <si>
    <t>REC-096-LIO1-561426</t>
  </si>
  <si>
    <t>15:43:59</t>
  </si>
  <si>
    <t>REC-5221-A543-395183</t>
  </si>
  <si>
    <t>15:34:29</t>
  </si>
  <si>
    <t>REC-7894-VL41-2182</t>
  </si>
  <si>
    <t>14:50:35</t>
  </si>
  <si>
    <t>REC-3577-A26V-543490</t>
  </si>
  <si>
    <t>14:42:29</t>
  </si>
  <si>
    <t>REC-3422-A25Y-109070</t>
  </si>
  <si>
    <t>12:47:12</t>
  </si>
  <si>
    <t>REC-7529-A12D-14512</t>
  </si>
  <si>
    <t>12:18:40</t>
  </si>
  <si>
    <t>REC-096-LIO1-561380</t>
  </si>
  <si>
    <t>12:04:29</t>
  </si>
  <si>
    <t>REC-223-V7XD-290487</t>
  </si>
  <si>
    <t>3907845</t>
  </si>
  <si>
    <t>0908855059</t>
  </si>
  <si>
    <t>11:05:14</t>
  </si>
  <si>
    <t>REC-3187-A2UB-171305</t>
  </si>
  <si>
    <t>10:03:09</t>
  </si>
  <si>
    <t>REC-028-AJSG-573075</t>
  </si>
  <si>
    <t>09:32:27</t>
  </si>
  <si>
    <t>REC-390-BBF4-327490</t>
  </si>
  <si>
    <t>3909187</t>
  </si>
  <si>
    <t>0919738658</t>
  </si>
  <si>
    <t>09:28:57</t>
  </si>
  <si>
    <t>REC-4240-A1LP-411895</t>
  </si>
  <si>
    <t>23923267</t>
  </si>
  <si>
    <t>0501380851</t>
  </si>
  <si>
    <t>09:13:13</t>
  </si>
  <si>
    <t>REC-061-AEU1-200288</t>
  </si>
  <si>
    <t>20210317</t>
  </si>
  <si>
    <t>18:08:53</t>
  </si>
  <si>
    <t>REC-3792-A24Z-578376</t>
  </si>
  <si>
    <t>18:05:10</t>
  </si>
  <si>
    <t>REC-5243-A2DR-16872</t>
  </si>
  <si>
    <t>17:56:12</t>
  </si>
  <si>
    <t>REC-944-LRJW-301079</t>
  </si>
  <si>
    <t>17:49:04</t>
  </si>
  <si>
    <t>REC-3295-1TWC-232221</t>
  </si>
  <si>
    <t>at-3244</t>
  </si>
  <si>
    <t>16:58:57</t>
  </si>
  <si>
    <t>REC-4976-A25U-7745</t>
  </si>
  <si>
    <t>16:28:13</t>
  </si>
  <si>
    <t>REC-4910-A22F-29983</t>
  </si>
  <si>
    <t>16:06:20</t>
  </si>
  <si>
    <t>REC-061-A13Z-53482</t>
  </si>
  <si>
    <t>3908338</t>
  </si>
  <si>
    <t>0601289861</t>
  </si>
  <si>
    <t>15:48:23</t>
  </si>
  <si>
    <t>REC-072-KBN0-278059</t>
  </si>
  <si>
    <t>3908089</t>
  </si>
  <si>
    <t>1204680191</t>
  </si>
  <si>
    <t>15:48:01</t>
  </si>
  <si>
    <t>REC-3175-A3LN-148734</t>
  </si>
  <si>
    <t>3950175</t>
  </si>
  <si>
    <t>1200568259</t>
  </si>
  <si>
    <t>15:41:58</t>
  </si>
  <si>
    <t>REC-3187-A2UB-171482</t>
  </si>
  <si>
    <t>3930113</t>
  </si>
  <si>
    <t>1721239877</t>
  </si>
  <si>
    <t>15:13:04</t>
  </si>
  <si>
    <t>REC-620-CHS1-402764</t>
  </si>
  <si>
    <t>15:00:06</t>
  </si>
  <si>
    <t>REC-3301-CTQ4-430775</t>
  </si>
  <si>
    <t>14:17:40</t>
  </si>
  <si>
    <t>REC-944-ZF9M-214988</t>
  </si>
  <si>
    <t>13:12:14</t>
  </si>
  <si>
    <t>REC-944-LRJW-301030</t>
  </si>
  <si>
    <t>13:08:51</t>
  </si>
  <si>
    <t>REC-191-A381-425370</t>
  </si>
  <si>
    <t>11:49:54</t>
  </si>
  <si>
    <t>REC-3588-ACC3-420908</t>
  </si>
  <si>
    <t>11:01:02</t>
  </si>
  <si>
    <t>REC-7812-PT01-787</t>
  </si>
  <si>
    <t>3909246</t>
  </si>
  <si>
    <t>100780327</t>
  </si>
  <si>
    <t>10:44:24</t>
  </si>
  <si>
    <t>REC-348-AB9D-161211</t>
  </si>
  <si>
    <t>09:10:53</t>
  </si>
  <si>
    <t>REC-355-N45U-584209</t>
  </si>
  <si>
    <t>09:04:41</t>
  </si>
  <si>
    <t>REC-3170-YGVG-338364</t>
  </si>
  <si>
    <t>20210318</t>
  </si>
  <si>
    <t>16:47:18</t>
  </si>
  <si>
    <t>REC-3161-KURB-450536</t>
  </si>
  <si>
    <t>15:58:53</t>
  </si>
  <si>
    <t>REC-7314-A6GU-31328</t>
  </si>
  <si>
    <t>15:33:30</t>
  </si>
  <si>
    <t>REC-3512-A4FC-290665</t>
  </si>
  <si>
    <t>14:32:15</t>
  </si>
  <si>
    <t>REC-072-AV01-9152</t>
  </si>
  <si>
    <t>14:31:47</t>
  </si>
  <si>
    <t>REC-072-AV01-9151</t>
  </si>
  <si>
    <t>14:21:58</t>
  </si>
  <si>
    <t>REC-944-LRJW-301169</t>
  </si>
  <si>
    <t>13:38:59</t>
  </si>
  <si>
    <t>REC-095-AJSE-690120</t>
  </si>
  <si>
    <t>13:17:53</t>
  </si>
  <si>
    <t>REC-3187-A2UB-171624</t>
  </si>
  <si>
    <t>REC-5310-Z4YZ-461588</t>
  </si>
  <si>
    <t>12:28:40</t>
  </si>
  <si>
    <t>REC-3371-LD0C-308824</t>
  </si>
  <si>
    <t>3908589</t>
  </si>
  <si>
    <t>0940296080</t>
  </si>
  <si>
    <t>REC-3187-YWS5-620008</t>
  </si>
  <si>
    <t>10:12:52</t>
  </si>
  <si>
    <t>REC-223-B7CD-596215</t>
  </si>
  <si>
    <t>3903835</t>
  </si>
  <si>
    <t>1203477912001</t>
  </si>
  <si>
    <t>20210319</t>
  </si>
  <si>
    <t>20:12:29</t>
  </si>
  <si>
    <t>REC-5310-Z4YZ-512536</t>
  </si>
  <si>
    <t>19:08:27</t>
  </si>
  <si>
    <t>REC-4963-A3A0-511277</t>
  </si>
  <si>
    <t>18:10:16</t>
  </si>
  <si>
    <t>REC-5645-A1066-250</t>
  </si>
  <si>
    <t>16:31:39</t>
  </si>
  <si>
    <t>REC-072-AV01-9255</t>
  </si>
  <si>
    <t>3945202</t>
  </si>
  <si>
    <t>0903277895</t>
  </si>
  <si>
    <t>16:30:44</t>
  </si>
  <si>
    <t>REC-096-DCIZ-475194</t>
  </si>
  <si>
    <t>3930288</t>
  </si>
  <si>
    <t>1307794998</t>
  </si>
  <si>
    <t>16:15:46</t>
  </si>
  <si>
    <t>REC-5635-A2YS-39908</t>
  </si>
  <si>
    <t>15:41:53</t>
  </si>
  <si>
    <t>REC-049-A2U2-64164</t>
  </si>
  <si>
    <t>15:12:04</t>
  </si>
  <si>
    <t>REC-072-TTF1-331219</t>
  </si>
  <si>
    <t>3908910</t>
  </si>
  <si>
    <t>0901997650</t>
  </si>
  <si>
    <t>14:55:05</t>
  </si>
  <si>
    <t>REC-348-1R2Q-458652</t>
  </si>
  <si>
    <t>3908193</t>
  </si>
  <si>
    <t>0956212864</t>
  </si>
  <si>
    <t>14:45:34</t>
  </si>
  <si>
    <t>REC-226-B7CC-737294</t>
  </si>
  <si>
    <t>3930219</t>
  </si>
  <si>
    <t>0915373575</t>
  </si>
  <si>
    <t>13:02:31</t>
  </si>
  <si>
    <t>REC-3371-EFX5-191958</t>
  </si>
  <si>
    <t>10:56:57</t>
  </si>
  <si>
    <t>REC-3360-IPEN-238701</t>
  </si>
  <si>
    <t>3908543</t>
  </si>
  <si>
    <t>0918715574</t>
  </si>
  <si>
    <t>REC-4190-A11N-1479098</t>
  </si>
  <si>
    <t>at-3251</t>
  </si>
  <si>
    <t>20210320</t>
  </si>
  <si>
    <t>19:20:20</t>
  </si>
  <si>
    <t>REC-536-TDSM-164565</t>
  </si>
  <si>
    <t>3901201</t>
  </si>
  <si>
    <t>1707372924</t>
  </si>
  <si>
    <t>15:43:56</t>
  </si>
  <si>
    <t>REC-3533-CP5G-358089</t>
  </si>
  <si>
    <t>23923132</t>
  </si>
  <si>
    <t>1102109715</t>
  </si>
  <si>
    <t>15:20:43</t>
  </si>
  <si>
    <t>REC-986-B099-266</t>
  </si>
  <si>
    <t>15:11:40</t>
  </si>
  <si>
    <t>REC-223-B7CD-596683</t>
  </si>
  <si>
    <t>12:31:17</t>
  </si>
  <si>
    <t>REC-4654-ART3-525964</t>
  </si>
  <si>
    <t>3903849</t>
  </si>
  <si>
    <t>0930496021</t>
  </si>
  <si>
    <t>11:42:08</t>
  </si>
  <si>
    <t>REC-245-BEJI-689886</t>
  </si>
  <si>
    <t>3906838</t>
  </si>
  <si>
    <t>0907008726</t>
  </si>
  <si>
    <t>10:37:27</t>
  </si>
  <si>
    <t>REC-3095-T359-444634</t>
  </si>
  <si>
    <t>10:30:45</t>
  </si>
  <si>
    <t>REC-4960-A1QG-111977</t>
  </si>
  <si>
    <t>3900206</t>
  </si>
  <si>
    <t>0904966850</t>
  </si>
  <si>
    <t>20210321</t>
  </si>
  <si>
    <t>12:33:56</t>
  </si>
  <si>
    <t>REC-674-3K2R-1491845</t>
  </si>
  <si>
    <t>23923211</t>
  </si>
  <si>
    <t>1720926011</t>
  </si>
  <si>
    <t>20210322</t>
  </si>
  <si>
    <t>17:04:06</t>
  </si>
  <si>
    <t>REC-3022-A364-142412</t>
  </si>
  <si>
    <t>3901755</t>
  </si>
  <si>
    <t>0924589757</t>
  </si>
  <si>
    <t>14:37:07</t>
  </si>
  <si>
    <t>REC-090-ULDN-615990</t>
  </si>
  <si>
    <t>3907587</t>
  </si>
  <si>
    <t>0915811137</t>
  </si>
  <si>
    <t>12:55:04</t>
  </si>
  <si>
    <t>REC-3172-LIO3-83184</t>
  </si>
  <si>
    <t>3908816</t>
  </si>
  <si>
    <t>0926893405</t>
  </si>
  <si>
    <t>11:34:41</t>
  </si>
  <si>
    <t>REC-3158-KURJ-220576</t>
  </si>
  <si>
    <t>3901357</t>
  </si>
  <si>
    <t>0914382015</t>
  </si>
  <si>
    <t>11:32:42</t>
  </si>
  <si>
    <t>REC-223-B7CD-596965</t>
  </si>
  <si>
    <t>3907852</t>
  </si>
  <si>
    <t>0909787095</t>
  </si>
  <si>
    <t>20210323</t>
  </si>
  <si>
    <t>13:38:47</t>
  </si>
  <si>
    <t>REC-4963-A3A0-613793</t>
  </si>
  <si>
    <t>3908113</t>
  </si>
  <si>
    <t>0916386683</t>
  </si>
  <si>
    <t>13:01:38</t>
  </si>
  <si>
    <t>REC-4934-A1ZV-612058</t>
  </si>
  <si>
    <t>3901429</t>
  </si>
  <si>
    <t>0930836432</t>
  </si>
  <si>
    <t>12:29:43</t>
  </si>
  <si>
    <t>REC-4934-A1ZV-610333</t>
  </si>
  <si>
    <t>3907911</t>
  </si>
  <si>
    <t>20210324</t>
  </si>
  <si>
    <t>17:24:37</t>
  </si>
  <si>
    <t>REC-7314-A6GU-32004</t>
  </si>
  <si>
    <t>3900467</t>
  </si>
  <si>
    <t>0925282824</t>
  </si>
  <si>
    <t>15:36:20</t>
  </si>
  <si>
    <t>REC-3808-A3Z9-543376</t>
  </si>
  <si>
    <t>3907744</t>
  </si>
  <si>
    <t>0923855787</t>
  </si>
  <si>
    <t>20210325</t>
  </si>
  <si>
    <t>18:50:43</t>
  </si>
  <si>
    <t>REC-3792-A39T-133527</t>
  </si>
  <si>
    <t>17:54:15</t>
  </si>
  <si>
    <t>REC-609-A1M3-336701</t>
  </si>
  <si>
    <t>3902712</t>
  </si>
  <si>
    <t>0927292805</t>
  </si>
  <si>
    <t>17:00:32</t>
  </si>
  <si>
    <t>REC-986-B099-355</t>
  </si>
  <si>
    <t>16:11:01</t>
  </si>
  <si>
    <t>REC-7698-SS49-685470</t>
  </si>
  <si>
    <t>15:43:21</t>
  </si>
  <si>
    <t>REC-3260-CTO1-684368</t>
  </si>
  <si>
    <t>15:33:31</t>
  </si>
  <si>
    <t>REC-072-A6LX-221571</t>
  </si>
  <si>
    <t>3909145</t>
  </si>
  <si>
    <t>0908729445</t>
  </si>
  <si>
    <t>15:24:16</t>
  </si>
  <si>
    <t>REC-944-PR10-441140</t>
  </si>
  <si>
    <t>REC-061-AEU1-200964</t>
  </si>
  <si>
    <t>12:50:27</t>
  </si>
  <si>
    <t>REC-3370-A6JI-275210</t>
  </si>
  <si>
    <t>12:01:41</t>
  </si>
  <si>
    <t>REC-3422-A3IU-648755</t>
  </si>
  <si>
    <t>11:56:17</t>
  </si>
  <si>
    <t>REC-342-VEHD-485928</t>
  </si>
  <si>
    <t>11:44:55</t>
  </si>
  <si>
    <t>REC-3520-A1CH-281892</t>
  </si>
  <si>
    <t>11:39:54</t>
  </si>
  <si>
    <t>REC-3834-A4T5-108635</t>
  </si>
  <si>
    <t>10:56:51</t>
  </si>
  <si>
    <t>REC-011-JVA0-528622</t>
  </si>
  <si>
    <t>3903248</t>
  </si>
  <si>
    <t>0701654451</t>
  </si>
  <si>
    <t>10:52:04</t>
  </si>
  <si>
    <t>REC-7417-PR22-671423</t>
  </si>
  <si>
    <t>3909152</t>
  </si>
  <si>
    <t>0917707218</t>
  </si>
  <si>
    <t>10:05:17</t>
  </si>
  <si>
    <t>REC-048-AFEP-259275</t>
  </si>
  <si>
    <t>REC-4208-A14N-62946</t>
  </si>
  <si>
    <t>09:34:53</t>
  </si>
  <si>
    <t>REC-011-JVA0-528593</t>
  </si>
  <si>
    <t>3908273</t>
  </si>
  <si>
    <t>0910558949</t>
  </si>
  <si>
    <t>3908286</t>
  </si>
  <si>
    <t>0903877868</t>
  </si>
  <si>
    <t>3907564</t>
  </si>
  <si>
    <t>1306850668</t>
  </si>
  <si>
    <t>13:43:32</t>
  </si>
  <si>
    <t>13:36:46</t>
  </si>
  <si>
    <t>3908332</t>
  </si>
  <si>
    <t>0915081491</t>
  </si>
  <si>
    <t>3907675</t>
  </si>
  <si>
    <t>0905123956</t>
  </si>
  <si>
    <t>09:28:15</t>
  </si>
  <si>
    <t>16:27:23</t>
  </si>
  <si>
    <t>3902954</t>
  </si>
  <si>
    <t>1309167920</t>
  </si>
  <si>
    <t>3908557</t>
  </si>
  <si>
    <t>0909909095</t>
  </si>
  <si>
    <t>3906000</t>
  </si>
  <si>
    <t>0926121864</t>
  </si>
  <si>
    <t>3907376</t>
  </si>
  <si>
    <t>0916280662</t>
  </si>
  <si>
    <t>3901639</t>
  </si>
  <si>
    <t>1719905596001</t>
  </si>
  <si>
    <t>3901722</t>
  </si>
  <si>
    <t>0923861215</t>
  </si>
  <si>
    <t>3908669</t>
  </si>
  <si>
    <t>0923707871</t>
  </si>
  <si>
    <t>3907332</t>
  </si>
  <si>
    <t>0922773478</t>
  </si>
  <si>
    <t>16:00:24</t>
  </si>
  <si>
    <t>3907867</t>
  </si>
  <si>
    <t>0914934120</t>
  </si>
  <si>
    <t>17:09:24</t>
  </si>
  <si>
    <t>3903102</t>
  </si>
  <si>
    <t>0927586529</t>
  </si>
  <si>
    <t>3900275</t>
  </si>
  <si>
    <t xml:space="preserve">JENNY NATALIA MARTINEZ BAQUE            </t>
  </si>
  <si>
    <t xml:space="preserve">CORAIZACA RODRIGUEZ ROBINSON U          </t>
  </si>
  <si>
    <t xml:space="preserve">VASQUEZ RESABALA CARLOS JESUS           </t>
  </si>
  <si>
    <t xml:space="preserve">JAIME ALBERTO  RINCON GOMEZ             </t>
  </si>
  <si>
    <t xml:space="preserve">HUGO ALEXANDER ELIAS MENDEZ             </t>
  </si>
  <si>
    <t xml:space="preserve">RITOMI SA                               </t>
  </si>
  <si>
    <t xml:space="preserve">CADENA CHONG SEGUNDO NAPOLEON           </t>
  </si>
  <si>
    <t xml:space="preserve">EDISON GEOVANNY MEDINA SANGOLU          </t>
  </si>
  <si>
    <t xml:space="preserve">JAUREGUI RICO FERNANDO                  </t>
  </si>
  <si>
    <t xml:space="preserve">ESCALANTE BUSTAMANTE MARIA GAB          </t>
  </si>
  <si>
    <t xml:space="preserve">BAQUERO PILOSO OTTO XAVIER              </t>
  </si>
  <si>
    <t xml:space="preserve">SUQUILANDA VERA MICHAEL ANTONI          </t>
  </si>
  <si>
    <t xml:space="preserve">VICENTE  IMAICELA ROSILLO               </t>
  </si>
  <si>
    <t xml:space="preserve">MARCOS GABRIEL ECHEVERRIA GUTI          </t>
  </si>
  <si>
    <t xml:space="preserve">AGUILAR CARDENAS EDWIN MARCELO          </t>
  </si>
  <si>
    <t xml:space="preserve">SOLEDISPA CHIPRE SANDRA GISELA          </t>
  </si>
  <si>
    <t xml:space="preserve">ARIAS SALAZAR KATHERINE JUSETH          </t>
  </si>
  <si>
    <t xml:space="preserve">ECHEVERRIA MATA ALVARO DANIEL           </t>
  </si>
  <si>
    <t xml:space="preserve">NEDERAGRO SA                            </t>
  </si>
  <si>
    <t xml:space="preserve">DAGER PESANTES OMAR ALEJANDRO           </t>
  </si>
  <si>
    <t>at-3242</t>
  </si>
  <si>
    <t xml:space="preserve">ETYECU S A                              </t>
  </si>
  <si>
    <t xml:space="preserve">VELEZ MACIAS  KATHERINE ANGELI          </t>
  </si>
  <si>
    <t>3902243</t>
  </si>
  <si>
    <t>3909141</t>
  </si>
  <si>
    <t xml:space="preserve">ECHEVERRIA REYES JOE JOFFREY            </t>
  </si>
  <si>
    <t>3903497</t>
  </si>
  <si>
    <t>3907531</t>
  </si>
  <si>
    <t>3900176</t>
  </si>
  <si>
    <t>3907618</t>
  </si>
  <si>
    <t>3960375</t>
  </si>
  <si>
    <t>3960252</t>
  </si>
  <si>
    <t>3903951</t>
  </si>
  <si>
    <t xml:space="preserve">MARIA GABRIELA TERAN SEVILLA            </t>
  </si>
  <si>
    <t xml:space="preserve">PINCAY SILVA FERNANDO RAFAEL            </t>
  </si>
  <si>
    <t xml:space="preserve">EDWIN ANDRES REYES TOALA                </t>
  </si>
  <si>
    <t xml:space="preserve">NERY LILIANA OCHOA BAQUE                </t>
  </si>
  <si>
    <t>3945204</t>
  </si>
  <si>
    <t>3903105</t>
  </si>
  <si>
    <t>3908939</t>
  </si>
  <si>
    <t>3907846</t>
  </si>
  <si>
    <t>3902247</t>
  </si>
  <si>
    <t xml:space="preserve">ARMANDO ROBERTO  YAGUAL BRITO           </t>
  </si>
  <si>
    <t>3930021</t>
  </si>
  <si>
    <t>3900328</t>
  </si>
  <si>
    <t>3900325</t>
  </si>
  <si>
    <t>3909239</t>
  </si>
  <si>
    <t xml:space="preserve">MANUEL ISIDRO RICAURTE GARCES           </t>
  </si>
  <si>
    <t xml:space="preserve">PONCE ANDRADE KERLY KARINA              </t>
  </si>
  <si>
    <t>WESTERN UNION MES DE FEBRERO 2021</t>
  </si>
  <si>
    <t>WESTERN UNION MES DE ENERO 2021</t>
  </si>
  <si>
    <t>BCO PACIFICO MES DE ENERO 2021</t>
  </si>
  <si>
    <t>BCO PACIFICO MES DE MARZO 2021</t>
  </si>
  <si>
    <t>RETENCIONES</t>
  </si>
  <si>
    <t>Fact#: 355206 Rec#: 32517 TAMMY CARMEN CAAMAÑO CORNEJO</t>
  </si>
  <si>
    <t>IC-2811</t>
  </si>
  <si>
    <t>Fact#: 352205-354546 Rec#: 16755 BOLANO HURTADO SUGEY MERY</t>
  </si>
  <si>
    <t>IC-2774</t>
  </si>
  <si>
    <t>Fact#: 354229 Rec#: 16754 TOMALA SANCAN JORGE LUIS</t>
  </si>
  <si>
    <t>IC-2773</t>
  </si>
  <si>
    <t>Fact#: 354070 Rec#: 16753 TOMALA SANCAN JORGE LUIS</t>
  </si>
  <si>
    <t>IC-2772</t>
  </si>
  <si>
    <t>Fact#: 354295 Rec#: 16752 GOMEZ CALDERON ALEXANDRA ELIZABETH</t>
  </si>
  <si>
    <t>IC-2771</t>
  </si>
  <si>
    <t>Fact#: 349243-351432-353758 Rec#: 16751 JONATHAN XAVIER RIVAS FIGUEROA</t>
  </si>
  <si>
    <t>IC-2770</t>
  </si>
  <si>
    <t>Fact#: 354665 Rec#: 16750 MALDONADO VILLAMAR HUMBERTO MARTIN</t>
  </si>
  <si>
    <t>IC-2769</t>
  </si>
  <si>
    <t>Fact#: 352283-354622 Rec#: 16749 FIGUEROA RIOS MIGUEL IBSEN</t>
  </si>
  <si>
    <t>IC-2768</t>
  </si>
  <si>
    <t>Fact#: 349438-351636-353967 Rec#: 16748 SARA DEL CONSUELO OCHOA VELASCO</t>
  </si>
  <si>
    <t>IC-2767</t>
  </si>
  <si>
    <t>Fact#: 351685-354018 Rec#: 32538 MEIBOL CRUZ VELEZ SANCHEZ</t>
  </si>
  <si>
    <t>IC-2876</t>
  </si>
  <si>
    <t>Fact#: 352968-354793 Rec#: 16747 ARCENTALES DOMINGUEZ JOSE LEONIDAS</t>
  </si>
  <si>
    <t>IC-2766</t>
  </si>
  <si>
    <t>Fact#: 354100 Rec#: 16746 VERA GONZALEZ MARIANA LORENA</t>
  </si>
  <si>
    <t>IC-2765</t>
  </si>
  <si>
    <t>Fact#: 352075-354415 Rec#: 16745 MIRABAL RODRIGUEZ CRISTINA</t>
  </si>
  <si>
    <t>IC-2764</t>
  </si>
  <si>
    <t>Fact#: 352837-355203 Rec#: 16744 CASTRO GALARZA RUTH CECILIA</t>
  </si>
  <si>
    <t>IC-2763</t>
  </si>
  <si>
    <t>Fact#: 354817 Rec#: 16743 AVILES PEREZ ALFONSO</t>
  </si>
  <si>
    <t>IC-2762</t>
  </si>
  <si>
    <t>Fact#: 352490-354835 Rec#: 16742 PAREDES TORRES ANGELA DEL ROSARIO</t>
  </si>
  <si>
    <t>IC-2761</t>
  </si>
  <si>
    <t>Fact#: 354129 Rec#: 16741 ARIAS FLORES ENRIQUE SEBASTIAN</t>
  </si>
  <si>
    <t>IC-2760</t>
  </si>
  <si>
    <t>Fact#: 349937-352164-354507 Rec#: 16740 GUERRERO AMAYA DIEGO ANDRES</t>
  </si>
  <si>
    <t>IC-2759</t>
  </si>
  <si>
    <t>Fact#: 353232 Rec#: 16739 CAMPOS VELEZ HENRRY GONZALO</t>
  </si>
  <si>
    <t>IC-2758</t>
  </si>
  <si>
    <t>Fact#: 351371-353700 Rec#: 16738 NUBIA CICELY LOPEZ CONTRERAS</t>
  </si>
  <si>
    <t>IC-2757</t>
  </si>
  <si>
    <t>Fact#: 350443-352723-355074 Rec#: 16737 LEMOS CASTILLO PEDRO FELIX</t>
  </si>
  <si>
    <t>IC-2756</t>
  </si>
  <si>
    <t>Fact#: 354195 Rec#: 16736 CEVALLOS PLUAS JULIT LORENA</t>
  </si>
  <si>
    <t>IC-2755</t>
  </si>
  <si>
    <t>GASTI BANCARIO PACIFICO #3796646-96557-88466-88383-80360-80257-61740-61657-37996-37914-25566-25455-17365-17248-3678577-78516-69185-69097-61485-61370-52983-52893-46267-46162-23893-23779-15858-15736-07791-07701-3598851-98736-88338-88276</t>
  </si>
  <si>
    <t>DR-887</t>
  </si>
  <si>
    <t>N/D BCO. PACIFICO TRANSFERENCIA ROLES DE PAGO 2DA QUINCENA MES DE FEBRERO 2021</t>
  </si>
  <si>
    <t>NDL-56</t>
  </si>
  <si>
    <t>N/D PRODUBANCO TRANSFERENCIA CANCELACIÓN DE FACTURA#435 POR HONORARIOS FEB 20201, A PABLO BAQUERIZO DAVILA</t>
  </si>
  <si>
    <t>NDL-55</t>
  </si>
  <si>
    <t>N/D PACIFICO TRANSFERENCIA CANCELACIÓN DE FACTURA#135 A BYRON BAQUE Y FACTURA#110 A FRANCISCO ESTUPIÑAN</t>
  </si>
  <si>
    <t>NDL-53</t>
  </si>
  <si>
    <t>Fact#: 354397 Rec#: 32521 CEDENO MUNOZ EDGAR ENRIQUE</t>
  </si>
  <si>
    <t>IC-2818</t>
  </si>
  <si>
    <t>Fact#: 348480-353042-353372 Rec#: 32520 MEGADATOS S.A.</t>
  </si>
  <si>
    <t>IC-2814</t>
  </si>
  <si>
    <t>Fact#: 354491 Rec#: 32519 FALCONI DUEÑAS ELISA MARIA</t>
  </si>
  <si>
    <t>IC-2813</t>
  </si>
  <si>
    <t>Fact#: 354595 Rec#: 32516 GUERRERO RENDON VICTORIA EDITA</t>
  </si>
  <si>
    <t>IC-2791</t>
  </si>
  <si>
    <t>Fact#: 354803 Rec#: 32515 ALFREDO GEOVANNY SANCHEZ BENAVIDES</t>
  </si>
  <si>
    <t>IC-2790</t>
  </si>
  <si>
    <t>Fact#: 354336 Rec#: 32514 GONZALEZ SANCHEZ CESAR IVAN</t>
  </si>
  <si>
    <t>IC-2789</t>
  </si>
  <si>
    <t>Fact#: 353176 Rec#: 32513 DELGADO VINTIMILLA CARLOS FERNANDO</t>
  </si>
  <si>
    <t>IC-2788</t>
  </si>
  <si>
    <t>Fact#: 348985-351173-353503 Rec#: 32512 NELSON SAVITRI  VELASCO PAZMIÑO</t>
  </si>
  <si>
    <t>IC-2786</t>
  </si>
  <si>
    <t>Fact#: 353313 Rec#: 32511 SERVICIO DE OFICINA COMPUTARIZADO SEROFICOM S.A.</t>
  </si>
  <si>
    <t>IC-2785</t>
  </si>
  <si>
    <t>Fact#: 351067-353398 Rec#: 32510 JORGE ALFREDO FRANCO MORAN</t>
  </si>
  <si>
    <t>IC-2784</t>
  </si>
  <si>
    <t>Fact#: 352971 Rec#: 32509 ASOC. DE PROPIETARIOS URB. VIA AL SOL</t>
  </si>
  <si>
    <t>IC-2783</t>
  </si>
  <si>
    <t>Fact#: 355024 Rec#: 32508 PRADO FRANCO ANDREA JACQUELINE</t>
  </si>
  <si>
    <t>IC-2782</t>
  </si>
  <si>
    <t>Fact#: 353395 Rec#: 32507 LOURDES DEL ROCIO CHAVEZ VELEZ</t>
  </si>
  <si>
    <t>IC-2781</t>
  </si>
  <si>
    <t>Fact#: 353221 Rec#: 32506 RAMIREZ TAMAYO ENMA MERCEDES</t>
  </si>
  <si>
    <t>IC-2780</t>
  </si>
  <si>
    <t>Fact#: 353216 Rec#: 32505 RAMIREZ TAMAYO ENMA MERCEDES</t>
  </si>
  <si>
    <t>IC-2779</t>
  </si>
  <si>
    <t>Fact#: 353130 Rec#: 32504 FINANCORE NET SERVICIOS TRANSACIONALES FINANCIEROS FICONET S.A.</t>
  </si>
  <si>
    <t>IC-2778</t>
  </si>
  <si>
    <t>Fact#: 354207 Rec#: 32503 HERRERA DIAZ HIALINA AMALIA DE LAS ROSAS</t>
  </si>
  <si>
    <t>IC-2777</t>
  </si>
  <si>
    <t>Fact#: 354744 Rec#: 32502 CASTAÑEDA RENDON JOFFRE AUGUSTO</t>
  </si>
  <si>
    <t>IC-2776</t>
  </si>
  <si>
    <t>Fact#: 353903 Rec#: 32501 CATHERINE NICOLE RUGEL CARRERA</t>
  </si>
  <si>
    <t>IC-2775</t>
  </si>
  <si>
    <t>Fact#: 352455-354799 Rec#: 16735 MENDEZ CARABALI FREDDY MANUEL</t>
  </si>
  <si>
    <t>IC-2754</t>
  </si>
  <si>
    <t>Fact#: 353091 Rec#: 16734 FORMICONSTRUC S.A.</t>
  </si>
  <si>
    <t>IC-2753</t>
  </si>
  <si>
    <t>Fact#: 348530-350758 Rec#: 16733 FORMICONSTRUC S.A.</t>
  </si>
  <si>
    <t>IC-2752</t>
  </si>
  <si>
    <t>Fact#: 353414 Rec#: 16732 NERY LILIANA OCHOA BAQUE</t>
  </si>
  <si>
    <t>IC-2750</t>
  </si>
  <si>
    <t>Fact#: 354487 Rec#: 16731 ROMMEL ANTONIO ZAMORA TRIGUERO</t>
  </si>
  <si>
    <t>IC-2749</t>
  </si>
  <si>
    <t>Fact#: 353765 Rec#: 16730 JESSICA LORENA TRIANA VELIS</t>
  </si>
  <si>
    <t>IC-2748</t>
  </si>
  <si>
    <t>Fact#: 3625-3821 Rec#: 16729 SANCHEZ RIOS FERNANDO ALEXIS</t>
  </si>
  <si>
    <t>IC-2747</t>
  </si>
  <si>
    <t>Fact#: 324577-327359-330130-332990-335914-338859-341854-345377-347879 Rec#: 16728 CAMPUZANO CASTILLO TOMAS ROLANDO</t>
  </si>
  <si>
    <t>IC-2746</t>
  </si>
  <si>
    <t>Fact#: 349148-351332-353661 Rec#: 16727 MABEL EMMA VALVERDE VULGARIN</t>
  </si>
  <si>
    <t>IC-2745</t>
  </si>
  <si>
    <t>Fact#: 349820-352040-354374 Rec#: 16726 MOLINA SALAVARRIA ADRIANO ENRIQUE</t>
  </si>
  <si>
    <t>IC-2744</t>
  </si>
  <si>
    <t>Fact#: 349294-351481-353810 Rec#: 16725 RICHARD VICENTE TORRES POVEDA</t>
  </si>
  <si>
    <t>IC-2743</t>
  </si>
  <si>
    <t>Fact#: 349354-351550-353877 Rec#: 16724 VICTOR HUGO INTRIAGO ESPINAR</t>
  </si>
  <si>
    <t>IC-2742</t>
  </si>
  <si>
    <t>Fact#: 352564-354907 Rec#: 16723 VILLAMAR CARRANZA MARISOL DEL PILAR</t>
  </si>
  <si>
    <t>IC-2741</t>
  </si>
  <si>
    <t>Fact#: 347709-350148-352400 Rec#: 16722 RONALD DAVID CONTRERAS POTES</t>
  </si>
  <si>
    <t>IC-2740</t>
  </si>
  <si>
    <t>Fact#: 354096 Rec#: 16721 MINO DOYLET YOLANDA ABIGAIL</t>
  </si>
  <si>
    <t>IC-2739</t>
  </si>
  <si>
    <t>Fact#: 353755 Rec#: 16720 MAGALY BETSABETH NAVARRETE LOOR</t>
  </si>
  <si>
    <t>IC-2738</t>
  </si>
  <si>
    <t>Fact#: 349678-351899-354237 Rec#: 16719 SAMANIEGO LAVAYEN YESENIA ELIZABETH</t>
  </si>
  <si>
    <t>IC-2737</t>
  </si>
  <si>
    <t>Fact#: 354133 Rec#: 16718 MORALES CASTRO SAMUEL</t>
  </si>
  <si>
    <t>IC-2736</t>
  </si>
  <si>
    <t>Fact#: 324868-330430-333314-336255-339216-342212-345736-348239 Rec#: 16717 LEMA PARCO JULIO CESAR</t>
  </si>
  <si>
    <t>IC-2735</t>
  </si>
  <si>
    <t>Fact#: 355290 Rec#: 16716 GILBERT SILVA CECILIA MARIA</t>
  </si>
  <si>
    <t>IC-2734</t>
  </si>
  <si>
    <t>Fact#: 354052 Rec#: 16715 LISETTE VICTORIA FRANCO CASTRO</t>
  </si>
  <si>
    <t>IC-2733</t>
  </si>
  <si>
    <t>Fact#: 354093 Rec#: 16714 NIETO BARQUET OSCAR AHMED</t>
  </si>
  <si>
    <t>IC-2732</t>
  </si>
  <si>
    <t>Fact#: 353993 Rec#: 16713 NEISI LORENA CHONG MELGAR</t>
  </si>
  <si>
    <t>IC-2708</t>
  </si>
  <si>
    <t>Fact#: 354408 Rec#: 16712 VILLEGAS BASTIDAS JOSE ALFREDO</t>
  </si>
  <si>
    <t>IC-2707</t>
  </si>
  <si>
    <t>Fact#: 3513-3701-3898 Rec#: 16711 ASTUDILLO PIURI DOLORES LUZMILA</t>
  </si>
  <si>
    <t>IC-2706</t>
  </si>
  <si>
    <t>Fact#: 352344-354687 Rec#: 16710 RENDON REGALADO MARIANA SOLANGE</t>
  </si>
  <si>
    <t>IC-2698</t>
  </si>
  <si>
    <t>Fact#: 354789 Rec#: 16709 CASTRO AGUA MARLON JOSE</t>
  </si>
  <si>
    <t>IC-2697</t>
  </si>
  <si>
    <t>Fact#: 351981-354315 Rec#: 16708 BELARDE BRAVO WILLIAM JASMANI</t>
  </si>
  <si>
    <t>IC-2696</t>
  </si>
  <si>
    <t>Fact#: 352553-354896 Rec#: 16707 MORENO TELLO CELI DURINDANA</t>
  </si>
  <si>
    <t>IC-2695</t>
  </si>
  <si>
    <t>Fact#: 354186 Rec#: 16706 HOLGUIN SUAREZ NELSON AMADOR</t>
  </si>
  <si>
    <t>IC-2694</t>
  </si>
  <si>
    <t>Fact#: 343940-346858-349325 Rec#: 16705 CHRISTIAN DAVID REATEGUI BURNEO</t>
  </si>
  <si>
    <t>IC-2693</t>
  </si>
  <si>
    <t>Fact#: 351806-354145 Rec#: 16704 RENDON SOLIS MARJORIE VALENTINA</t>
  </si>
  <si>
    <t>IC-2692</t>
  </si>
  <si>
    <t>Fact#: 349536-351742-354080 Rec#: 16703 LEON PIN OSWALDO NEMECIO</t>
  </si>
  <si>
    <t>IC-2691</t>
  </si>
  <si>
    <t>Fact#: 350581-352875-355236 Rec#: 32500 MEJIA RIVERA ROSARIO ARELYS</t>
  </si>
  <si>
    <t>IC-2673</t>
  </si>
  <si>
    <t>Fact#: 354917 Rec#: 32499 ESPINOSA ESPINOZA HUGO STANLEY</t>
  </si>
  <si>
    <t>IC-2667</t>
  </si>
  <si>
    <t>Fact#: 354433 Rec#: 32498 PUERO CUERO CARLOS JULIO</t>
  </si>
  <si>
    <t>IC-2666</t>
  </si>
  <si>
    <t>VISA - MASTERCARD - PACIFICARD CANCELACION DEBITO TARJETAS GUAYAQUIL-PAGO DE FACT 346664-349125-351782- 354119- 346924- 349393-347708- 350147- 348289- 350472- 348276- 350463- 351585- 353915- 342282</t>
  </si>
  <si>
    <t>NC-26</t>
  </si>
  <si>
    <t>Fact#: 353703 Rec#: 32497 GASTON ALLAND CORTEZ ESPINOZA</t>
  </si>
  <si>
    <t>IC-2665</t>
  </si>
  <si>
    <t>Fact#: 353210 Rec#: 32496 ASISTMED ASISTENCIA A MEDICOS S.A.</t>
  </si>
  <si>
    <t>IC-2652</t>
  </si>
  <si>
    <t>Fact#: 353900 Rec#: 32495 AIMARA RODRIGUEZ FERNANDEZ</t>
  </si>
  <si>
    <t>IC-2651</t>
  </si>
  <si>
    <t>Fact#: 353306 Rec#: 32494 INDUSTRIAL JUVENALIS S.A.</t>
  </si>
  <si>
    <t>IC-2650</t>
  </si>
  <si>
    <t>Fact#: 355073 Rec#: 32493 DUQUE ESTEVEZ MIRKA</t>
  </si>
  <si>
    <t>IC-2649</t>
  </si>
  <si>
    <t>Fact#: 351093-353424 Rec#: 32492 ARTURO ALFONSO VELASCO TUTIVEN</t>
  </si>
  <si>
    <t>IC-2648</t>
  </si>
  <si>
    <t>Fact#: 353455 Rec#: 32491 JAVIER MAURICIO RODRIGO ALBAN</t>
  </si>
  <si>
    <t>IC-2647</t>
  </si>
  <si>
    <t>Fact#: 351148-353477 Rec#: 32490 LOURDES JANET BRITO GUILLEN</t>
  </si>
  <si>
    <t>IC-2646</t>
  </si>
  <si>
    <t>Fact#: 350079-352322-354662 Rec#: 16702 SARMIENTO VIVEROS ALEXANDRA ELIZABETH</t>
  </si>
  <si>
    <t>IC-2645</t>
  </si>
  <si>
    <t>Fact#: 354565 Rec#: 16701 CASTRO MORA AGRIPINA GARDENIA</t>
  </si>
  <si>
    <t>IC-2644</t>
  </si>
  <si>
    <t>Fact#: 353735 Rec#: 16700 DENISSE JUDITH FLORES HUERTA</t>
  </si>
  <si>
    <t>IC-2643</t>
  </si>
  <si>
    <t>Fact#: 352487-354832 Rec#: 16699 CABRERA GOMEZ MARTHA INES</t>
  </si>
  <si>
    <t>IC-2642</t>
  </si>
  <si>
    <t>Fact#: 353543 Rec#: 16698 ANGELA MARIA ANA  FERAUD MANSSUR</t>
  </si>
  <si>
    <t>IC-2641</t>
  </si>
  <si>
    <t>Fact#: 351485-353813 Rec#: 16697 ALEXANDER WELLINGTON ALVARADO CARRIEL</t>
  </si>
  <si>
    <t>IC-2640</t>
  </si>
  <si>
    <t>Fact#: 353493 Rec#: 16696 PABLO ENRIQUE GONZENBACH IGLESIAS</t>
  </si>
  <si>
    <t>IC-2639</t>
  </si>
  <si>
    <t>Fact#: 324129-326904-329670-332524-335447-338389-341381-344905 Rec#: 16695 NEIRA LOY EDISON GUSTAVO</t>
  </si>
  <si>
    <t>IC-2638</t>
  </si>
  <si>
    <t>Fact#: 354303 Rec#: 16694 ESPINOZA ZUNIGA ISABEL MARIA</t>
  </si>
  <si>
    <t>IC-2637</t>
  </si>
  <si>
    <t>Fact#: 354206 Rec#: 16693 MIGUEZ ACOSTA WILLIAM GERMAN</t>
  </si>
  <si>
    <t>IC-2636</t>
  </si>
  <si>
    <t>Fact#: 351824-354164 Rec#: 16692 BURGOS BRIONES MARIA PAMELA</t>
  </si>
  <si>
    <t>IC-2635</t>
  </si>
  <si>
    <t>Fact#: 354583 Rec#: 16691 ROBALINO VALENCIA  SPARTA SUSANA</t>
  </si>
  <si>
    <t>IC-2634</t>
  </si>
  <si>
    <t>Fact#: 354311 Rec#: 16690 ALVERNIA OJEDA NIDIA ROSA</t>
  </si>
  <si>
    <t>IC-2633</t>
  </si>
  <si>
    <t>Fact#: 351530-353857 Rec#: 16689 ISABEL RODRIGUEZ RIZO</t>
  </si>
  <si>
    <t>IC-2632</t>
  </si>
  <si>
    <t>Fact#: 333642-336588-339580 Rec#: 32489 ROSERO CRUZ MARIA AUXILIADORA</t>
  </si>
  <si>
    <t>IC-2630</t>
  </si>
  <si>
    <t>Fact#: 353183-355378 Rec#: 32488 ALVARADO PIN EMILIO PABLO</t>
  </si>
  <si>
    <t>IC-2629</t>
  </si>
  <si>
    <t>Fact#: 353547 Rec#: 32487 SILVIA XIMENA CHAVEZ CABRERA</t>
  </si>
  <si>
    <t>IC-2622</t>
  </si>
  <si>
    <t>Fact#: 351274-351275 Rec#: 32486 LUIS DANIEL CHIANG GUERRERO</t>
  </si>
  <si>
    <t>IC-2620</t>
  </si>
  <si>
    <t>Fact#: 351547-353874 Rec#: 32485 EDISON PATRICIO SOSA SALAME</t>
  </si>
  <si>
    <t>IC-2619</t>
  </si>
  <si>
    <t>AIG METROPOLITANA DE SEGUROS Y REASEGUROS S.A., devolucion por saldo a favor, bco pacifico por transferencia #doc 1945</t>
  </si>
  <si>
    <t>DR-562</t>
  </si>
  <si>
    <t>Fact#: 3671 Rec#: 32522 ZAPATA FLORES GILMAR FABRICIO</t>
  </si>
  <si>
    <t>IC-2819</t>
  </si>
  <si>
    <t>Fact#: 351604-353932 Rec#: 32484 RODDY RAINER RAMIREZ ROJAS</t>
  </si>
  <si>
    <t>IC-2605</t>
  </si>
  <si>
    <t>Fact#: 346483-348941-351131 Rec#: 32483 ALEXANDRA KATHERINE ROMO MONTOYA</t>
  </si>
  <si>
    <t>IC-2604</t>
  </si>
  <si>
    <t>Fact#: 351282-353611 Rec#: 32482 FERNANDO JAVIER MARTINEZ GOMEZ</t>
  </si>
  <si>
    <t>IC-2603</t>
  </si>
  <si>
    <t>Fact#: 353107 Rec#: 32481 SERVICITY C A</t>
  </si>
  <si>
    <t>IC-2602</t>
  </si>
  <si>
    <t>Fact#: 352979 Rec#: 32480 ASOC. PRO. NEW YORK 12 DE SEPTIEMBRE</t>
  </si>
  <si>
    <t>IC-2601</t>
  </si>
  <si>
    <t>Fact#: 352972 Rec#: 32479 ASOC. PRO. NEW YORK 12 DE SEPTIEMBRE</t>
  </si>
  <si>
    <t>IC-2600</t>
  </si>
  <si>
    <t>Fact#: 355072 Rec#: 32478 SUESCUM ROMERO  NATHALY VIRINEYA</t>
  </si>
  <si>
    <t>IC-2599</t>
  </si>
  <si>
    <t>Fact#: 351091-353422 Rec#: 32477 VICTOR ANTONIO AGUSTO ALVARADO</t>
  </si>
  <si>
    <t>IC-2598</t>
  </si>
  <si>
    <t>Fact#: 353117 Rec#: 32476 EDGAR MARCELO MERA VASQUEZ</t>
  </si>
  <si>
    <t>IC-2597</t>
  </si>
  <si>
    <t>Fact#: 351450-353776 Rec#: 32475 FEDERICO GUILLERMO VARAS CHIQUITO</t>
  </si>
  <si>
    <t>IC-2596</t>
  </si>
  <si>
    <t>Fact#: 351085-353415 Rec#: 32474 RAFAEL VICENTE ERAZO FALQUEZ</t>
  </si>
  <si>
    <t>IC-2595</t>
  </si>
  <si>
    <t>Fact#: 354988 Rec#: 32473 CHACON CALDERON SARITA MARIA DE LOS ANGEL</t>
  </si>
  <si>
    <t>IC-2594</t>
  </si>
  <si>
    <t>Fact#: 339266-345794 Rec#: 16688 CEVALLOS YOZA LAILA NICOLE</t>
  </si>
  <si>
    <t>IC-2593</t>
  </si>
  <si>
    <t>Fact#: 352296 Rec#: 16687 PALMA MACIAS ROBERTO CARLOS</t>
  </si>
  <si>
    <t>IC-2592</t>
  </si>
  <si>
    <t>Fact#: 354409 Rec#: 16686 APOLO QUEZADA IVAN RAMIRO</t>
  </si>
  <si>
    <t>IC-2591</t>
  </si>
  <si>
    <t>Fact#: 350260-352525 Rec#: 16685 VALENZUELA PHILLIPS DANIEL ENRIQUE</t>
  </si>
  <si>
    <t>IC-2590</t>
  </si>
  <si>
    <t>Fact#: 348989-351177 Rec#: 16684 GREI DOLORES  DELGADO FARIA</t>
  </si>
  <si>
    <t>IC-2589</t>
  </si>
  <si>
    <t>Fact#: 343455-346477-348934 Rec#: 16683 MICHELLE LAI YIM LOPEZ CORDOVA</t>
  </si>
  <si>
    <t>IC-2588</t>
  </si>
  <si>
    <t>Fact#: 346748-349207-351393 Rec#: 16682 FREDY JHOVANY VARGAS LEON</t>
  </si>
  <si>
    <t>IC-2587</t>
  </si>
  <si>
    <t>Fact#: 351136 Rec#: 16681 JULIO LUIS ESPARZA  MORAN</t>
  </si>
  <si>
    <t>IC-2586</t>
  </si>
  <si>
    <t>Fact#: 351132 Rec#: 16680 MARIA GERMANIA ZAMORA RUIZ</t>
  </si>
  <si>
    <t>IC-2585</t>
  </si>
  <si>
    <t>Fact#: 344328-347109-349586 Rec#: 16679 CRUZ SEGURA SONIA YANINA</t>
  </si>
  <si>
    <t>IC-2584</t>
  </si>
  <si>
    <t>Fact#: 352552 Rec#: 16678 FIGUEROA GAVELA SILVIA FABIOLA</t>
  </si>
  <si>
    <t>IC-2583</t>
  </si>
  <si>
    <t>Fact#: 349269-351458 Rec#: 16677 LENIN ANTONIO SARABIA ORELLANA</t>
  </si>
  <si>
    <t>IC-2582</t>
  </si>
  <si>
    <t>Fact#: 352090 Rec#: 16676 GUAMAN IZA LILIANA ARACELY</t>
  </si>
  <si>
    <t>IC-2581</t>
  </si>
  <si>
    <t>Fact#: 351309-353638 Rec#: 32472 MARIA CRISTINA LOAIZA BREVI</t>
  </si>
  <si>
    <t>IC-2580</t>
  </si>
  <si>
    <t>Fact#: 353822 Rec#: 32470 ENRIQUE FEDERICO ARENAS PILATAXI</t>
  </si>
  <si>
    <t>IC-2573</t>
  </si>
  <si>
    <t>Fact#: 351135-353466 Rec#: 32469 OMAR  PALADINES CORDOVA</t>
  </si>
  <si>
    <t>IC-2572</t>
  </si>
  <si>
    <t>Fact#: 349323-351515-353843 Rec#: 32468 CONSUELO DEL ROCIO BAQUE SANCHEZ</t>
  </si>
  <si>
    <t>IC-2571</t>
  </si>
  <si>
    <t>Fact#: 352950 Rec#: 32467 HOLGUIN ESPINOZA TOMAS</t>
  </si>
  <si>
    <t>IC-2556</t>
  </si>
  <si>
    <t>Fact#: 353157 Rec#: 32471 FERRUX S.A.</t>
  </si>
  <si>
    <t>IC-2579</t>
  </si>
  <si>
    <t>Fact#: 349231-351420 Rec#: 16675 JOHN WALTER GRANDA CEDILLO</t>
  </si>
  <si>
    <t>IC-2530</t>
  </si>
  <si>
    <t>Fact#: 352710 Rec#: 16674 PILLIGUA ANCHUNDIA SEGUNDO BAUDILLO</t>
  </si>
  <si>
    <t>IC-2529</t>
  </si>
  <si>
    <t>Fact#: 349327-351520 Rec#: 16673 CORA MARGARITA ROCIO GALLARDO CRUSELLAS</t>
  </si>
  <si>
    <t>IC-2528</t>
  </si>
  <si>
    <t>Fact#: 351933 Rec#: 16672 ZAMBRANO MOREIRA LUIS ALFREDO</t>
  </si>
  <si>
    <t>IC-2527</t>
  </si>
  <si>
    <t>Fact#: 353111 Rec#: 16671 ALLINPUBLICIDAD&amp;MARKETING S A</t>
  </si>
  <si>
    <t>IC-2526</t>
  </si>
  <si>
    <t>Fact#: 349254-351444 Rec#: 16670 LUIS JOSE GUTIERREZ CASTILLO</t>
  </si>
  <si>
    <t>IC-2525</t>
  </si>
  <si>
    <t>Fact#: 337821-340812-344336 Rec#: 16669 PALACIOS DILLON ALEXANDRA DEL ROCIO</t>
  </si>
  <si>
    <t>IC-2524</t>
  </si>
  <si>
    <t>Fact#: 347178-349655-351878 Rec#: 16668 ANDRADE ALVARADO NANCY NOEMI</t>
  </si>
  <si>
    <t>IC-2523</t>
  </si>
  <si>
    <t>Fact#: 311172-327447-330219-333080-336005-338951-341947-345470-347973 Rec#: 16667 BELLO MENDEZ JOSELINE ZORAIDA</t>
  </si>
  <si>
    <t>IC-2522</t>
  </si>
  <si>
    <t>Fact#: 352249 Rec#: 16666 TOBAR MOROCHO JOSE AUGUSTO</t>
  </si>
  <si>
    <t>IC-2521</t>
  </si>
  <si>
    <t>Fact#: 348373-350543-352838 Rec#: 32466 ESPIN DEL SALTO ROMULO FERNANDO</t>
  </si>
  <si>
    <t>IC-2507</t>
  </si>
  <si>
    <t>Fact#: 349406 Rec#: 32465 RODDY RAINER RAMIREZ ROJAS</t>
  </si>
  <si>
    <t>IC-2506</t>
  </si>
  <si>
    <t>N/D PACIFICO PAGO DE IMPUESTO RETENCIÓN IVA MES DE ENENRO 2021</t>
  </si>
  <si>
    <t>N/D PACIFICO PAGO POR IMPUESTOS A RETENCIÓN EN LA FUENTE MES DE ENERO 2021</t>
  </si>
  <si>
    <t>N/D BCO. PACIFICO PAGO DE IMPUESTOS A LOS CONSUMOS ESPECIALES MES DE ENERO 2021</t>
  </si>
  <si>
    <t>Fact#: 352860 Rec#: 32682 CAMPOSANO VACA GLENDA MARJORIE</t>
  </si>
  <si>
    <t>IC-3755</t>
  </si>
  <si>
    <t>Fact#: 346404-348864 Rec#: 32464 EMPRESA PUBLICA MUNICIPAL DE TELECOMUNICACIONES, AGUA POTABLE, ALCANTARILLADO Y SANEAMIENTO DE CUENCA. ETAPA EP.</t>
  </si>
  <si>
    <t>IC-2501</t>
  </si>
  <si>
    <t>Fact#: 348131-350393-352665 Rec#: 32463 MONGE SCALDAFERRI ANDRES ALBERTO</t>
  </si>
  <si>
    <t>IC-2495</t>
  </si>
  <si>
    <t>Fact#: 346657-349118-351304 Rec#: 32462 EVELYN ROSANGELA ARGUELLO JURADO</t>
  </si>
  <si>
    <t>IC-2494</t>
  </si>
  <si>
    <t>Fact#: 353188 Rec#: 32461 DULCES, PASTELES Y TORTAS RADU S.A.</t>
  </si>
  <si>
    <t>IC-2493</t>
  </si>
  <si>
    <t>Fact#: 353145 Rec#: 32460 DULCES, PASTELES Y TORTAS RADU S.A.</t>
  </si>
  <si>
    <t>IC-2492</t>
  </si>
  <si>
    <t>Fact#: 351339 Rec#: 32459 HENRY LENY BETANCOURT VITERI</t>
  </si>
  <si>
    <t>IC-2491</t>
  </si>
  <si>
    <t>Fact#: 351231 Rec#: 32458 VINUEZA GALLARDO CARLOS ENRIQUE</t>
  </si>
  <si>
    <t>IC-2490</t>
  </si>
  <si>
    <t>Fact#: 351113 Rec#: 32457 NORMA ELISA YEPEZ JIMENEZ</t>
  </si>
  <si>
    <t>IC-2489</t>
  </si>
  <si>
    <t>Fact#: 351059 Rec#: 32456 LORENA VANONI ARMIJOS</t>
  </si>
  <si>
    <t>IC-2488</t>
  </si>
  <si>
    <t>Fact#: 351820 Rec#: 16665 ZAMBRANO CASTRO JOSE JAIR</t>
  </si>
  <si>
    <t>IC-2487</t>
  </si>
  <si>
    <t>Fact#: 351221 Rec#: 16664 SALAZAR CARRILLO MARIA ANDREA</t>
  </si>
  <si>
    <t>IC-2486</t>
  </si>
  <si>
    <t>Fact#: 3686 Rec#: 16663 CHAVEZ ZAMBRANO BRYAN SEBASTIAN</t>
  </si>
  <si>
    <t>IC-2485</t>
  </si>
  <si>
    <t>Fact#: 348948-351138 Rec#: 16662 ELSIE RUTH  ZERDA BARRENO</t>
  </si>
  <si>
    <t>IC-2484</t>
  </si>
  <si>
    <t>Fact#: 352316 Rec#: 16661 TOALA VELEZ CONSUELO ELIZABETH</t>
  </si>
  <si>
    <t>IC-2483</t>
  </si>
  <si>
    <t>Fact#: 350246-352511 Rec#: 16660 CHOEZ BRAVO JOSE ANTONIO</t>
  </si>
  <si>
    <t>IC-2482</t>
  </si>
  <si>
    <t>Fact#: 352729 Rec#: 16659 GUAMAN TUPIZA MANUEL FRANCISCO</t>
  </si>
  <si>
    <t>IC-2481</t>
  </si>
  <si>
    <t>Fact#: 351278 Rec#: 16658 NESTOR AGUSTIN SIMANCAS PINTA</t>
  </si>
  <si>
    <t>IC-2480</t>
  </si>
  <si>
    <t>Fact#: 351115 Rec#: 16657 ALFREDO BARRIGA HOLGUIN</t>
  </si>
  <si>
    <t>IC-2479</t>
  </si>
  <si>
    <t>Fact#: 337702-340694-344219 Rec#: 16656 VERONICA JAYONARA TENORIO QUIÑONEZ</t>
  </si>
  <si>
    <t>IC-2478</t>
  </si>
  <si>
    <t>Fact#: 350407-352680 Rec#: 16655 ZAPATA ROMERO ROBERTO DRUVAL</t>
  </si>
  <si>
    <t>IC-2477</t>
  </si>
  <si>
    <t>Fact#: 351331 Rec#: 32455 JAVIER SANTIAGO GUZHÑAY ANDRADE</t>
  </si>
  <si>
    <t>IC-2475</t>
  </si>
  <si>
    <t>Fact#: 353063 Rec#: 32454 WANHAI LINES ECUADOR S.A.</t>
  </si>
  <si>
    <t>IC-2474</t>
  </si>
  <si>
    <t>Fact#: 3606 Rec#: 32453 HERRERA CIFUENTES ESTUARDO WLADIMIR</t>
  </si>
  <si>
    <t>IC-2472</t>
  </si>
  <si>
    <t>Fact#: 350578-352872 Rec#: 32452 ESCOBAR ECHEVERRIA LUIS ALEJANDRO</t>
  </si>
  <si>
    <t>IC-2470</t>
  </si>
  <si>
    <t>JORGE JOSE  TORBAY GONZALEZ CANCELA TELEFONO 3950310 ABONA SGTE FACTURA, BCO PACIFICO POR VENTANILLA</t>
  </si>
  <si>
    <t>AT-3232</t>
  </si>
  <si>
    <t>Fact#: 351063 Rec#: 32451 KATHERINE MALENA CHILUIZA GARCIA</t>
  </si>
  <si>
    <t>IC-2469</t>
  </si>
  <si>
    <t>Fact#: 347275-349752-351971 Rec#: 16654 GUERRERO SPOONER IVON KATHERINE</t>
  </si>
  <si>
    <t>IC-2456</t>
  </si>
  <si>
    <t>Fact#: 351435 Rec#: 16653 CARLA MARIA GARCIA ANDRADE</t>
  </si>
  <si>
    <t>IC-2441</t>
  </si>
  <si>
    <t>Fact#: 351154 Rec#: 16652 BELINDA LEONOR QUIJANO GOMEZ</t>
  </si>
  <si>
    <t>IC-2440</t>
  </si>
  <si>
    <t>Fact#: 349717-351937 Rec#: 16651 SALAZAR MONTIEL ABEL OLIMPO</t>
  </si>
  <si>
    <t>IC-2439</t>
  </si>
  <si>
    <t>Fact#: 352348 Rec#: 16650 SOLANO DE LA TORRE EFRAIN ALFREDO</t>
  </si>
  <si>
    <t>IC-2438</t>
  </si>
  <si>
    <t>Fact#: 329735-332590-335512-338454-341446-344970 Rec#: 16649 CHRISTIAN GIOVANNY MUÑOZ RIVERA</t>
  </si>
  <si>
    <t>IC-2437</t>
  </si>
  <si>
    <t>Fact#: 351208 Rec#: 16648 ROSA MARGARITA  BARRIGA CANTOS</t>
  </si>
  <si>
    <t>IC-2436</t>
  </si>
  <si>
    <t>Fact#: 351543 Rec#: 16647 TEODOMIRO MAYO</t>
  </si>
  <si>
    <t>IC-2435</t>
  </si>
  <si>
    <t>Fact#: 351671 Rec#: 16646 LUIS ENRIQUE APOLINARIO ROJAS</t>
  </si>
  <si>
    <t>IC-2434</t>
  </si>
  <si>
    <t>N/D PACIFICO TRANSFERENCIA CANCELACIÓN DE FACTURAS#166274559, 166274560, 166274561, 166274562 CNT EP</t>
  </si>
  <si>
    <t>Fact#: 351928 Rec#: 16645 RAMIREZ RUIZ MILTON EMILIO</t>
  </si>
  <si>
    <t>IC-2433</t>
  </si>
  <si>
    <t>Fact#: 351317 Rec#: 16644 MARIA ELENA MORA LUZCANDO</t>
  </si>
  <si>
    <t>IC-2432</t>
  </si>
  <si>
    <t>Fact#: 346594-349054-351239 Rec#: 16643 ZAVALA ICAZA VICTOR HUGO</t>
  </si>
  <si>
    <t>IC-2431</t>
  </si>
  <si>
    <t>Fact#: 348982-351171 Rec#: 16642 BETTY EUVENIA ACOSTA CAJAPE</t>
  </si>
  <si>
    <t>IC-2430</t>
  </si>
  <si>
    <t>Fact#: 349957-352186 Rec#: 16641 CRUZ MONTANO CLAUDIA JOHANNA</t>
  </si>
  <si>
    <t>IC-2429</t>
  </si>
  <si>
    <t>Fact#: 352692 Rec#: 16640 PARADA PARRA MIGUEL ANGEL</t>
  </si>
  <si>
    <t>IC-2428</t>
  </si>
  <si>
    <t>Fact#: 351336 Rec#: 16639 CARLOS GUILLERMO MUÑOZ GUTIERREZ</t>
  </si>
  <si>
    <t>IC-2427</t>
  </si>
  <si>
    <t>Fact#: 3683 Rec#: 16638 ZABALA BARRIONUEVO RITA CECILIA</t>
  </si>
  <si>
    <t>IC-2426</t>
  </si>
  <si>
    <t>Fact#: 353348 Rec#: 16637 MENDOZA VELEZ CARLOS DAMIAN</t>
  </si>
  <si>
    <t>IC-2425</t>
  </si>
  <si>
    <t>Fact#: 352274 Rec#: 16636 SANCHEZ QUINCHUELA INES MONICA</t>
  </si>
  <si>
    <t>IC-2424</t>
  </si>
  <si>
    <t>Fact#: 350400-352673 Rec#: 16635 MAZZILLI MENDOZA MELANIE MICHELLE</t>
  </si>
  <si>
    <t>IC-2423</t>
  </si>
  <si>
    <t>Fact#: 323862-326633-329398-332243-335160-338104-341095-344621 Rec#: 16634 NARVAEZ SOLORZANO GABRIEL ANDRES</t>
  </si>
  <si>
    <t>IC-2422</t>
  </si>
  <si>
    <t>Fact#: 351259 Rec#: 32449 ITURRALDE TORRES EDUARDO ANIBAL</t>
  </si>
  <si>
    <t>IC-2421</t>
  </si>
  <si>
    <t>Fact#: 351935 Rec#: 32448 LOZANO OTERO RICARDO REIMONDI LOZANO OTERO</t>
  </si>
  <si>
    <t>IC-2420</t>
  </si>
  <si>
    <t>Fact#: 353003 Rec#: 32447 DVT DEL ECUADOR S.A</t>
  </si>
  <si>
    <t>IC-2418</t>
  </si>
  <si>
    <t>Fact#: 348849-351024-353368 Rec#: 32445 BROKER BALUARTE F&amp;L BALUARTEFLJ CIA LTDA</t>
  </si>
  <si>
    <t>IC-2410</t>
  </si>
  <si>
    <t>Fact#: 353156 Rec#: 32444 DATA TOOLS S.A.</t>
  </si>
  <si>
    <t>IC-2407</t>
  </si>
  <si>
    <t>FREDDY PABLO  ENDARA SAAVEDRA CANCELA TELEFONO 3903537 ABONA SGTE FACTURA, PAGO WESTERN UNION</t>
  </si>
  <si>
    <t>AT-3230</t>
  </si>
  <si>
    <t>Fact#: 350553-352847 Rec#: 32450 SALCEDO MOYA GLENDA VERONICA</t>
  </si>
  <si>
    <t>IC-2468</t>
  </si>
  <si>
    <t>Fact#: 351074 Rec#: 32446 JUAN JOSE CHACON PACHECO</t>
  </si>
  <si>
    <t>IC-2414</t>
  </si>
  <si>
    <t>Fact#: 352996 Rec#: 32443 LAUDE S.A. LAUDESA ADMINISTRADORA DE FONDOS Y FIDEICOMISOS</t>
  </si>
  <si>
    <t>IC-2400</t>
  </si>
  <si>
    <t>Fact#: 352176 Rec#: 32442 CEVALLOS ORVEN AMADITA</t>
  </si>
  <si>
    <t>IC-2399</t>
  </si>
  <si>
    <t>Fact#: 3659 Rec#: 16633 CRUZ JOSE AMABLE</t>
  </si>
  <si>
    <t>IC-2398</t>
  </si>
  <si>
    <t>Fact#: 351531 Rec#: 16632 CESAR ORLANDO VALLEJO VERA</t>
  </si>
  <si>
    <t>IC-2397</t>
  </si>
  <si>
    <t>Fact#: 352557 Rec#: 16631 VILLACIS LOPEZ ATALA ELENA</t>
  </si>
  <si>
    <t>IC-2396</t>
  </si>
  <si>
    <t>Fact#: 3774 Rec#: 16630 RODRIGUEZ GUEVARA MARIA AUGUSTA</t>
  </si>
  <si>
    <t>IC-2395</t>
  </si>
  <si>
    <t>Fact#: 352345 Rec#: 16629 CHELE TORO OSCAR EULICES</t>
  </si>
  <si>
    <t>IC-2394</t>
  </si>
  <si>
    <t>Fact#: 349465-351666 Rec#: 16628 CARMEN LUISA PORTUGAL JACOME</t>
  </si>
  <si>
    <t>IC-2393</t>
  </si>
  <si>
    <t>Fact#: 352456 Rec#: 16627 VARGAS PARRALES CARLOS JORGE</t>
  </si>
  <si>
    <t>IC-2392</t>
  </si>
  <si>
    <t>Fact#: 350346-352615 Rec#: 16626 ARGUELLO CORTEZ OSCAR NICOLAS</t>
  </si>
  <si>
    <t>IC-2391</t>
  </si>
  <si>
    <t>Fact#: 350974-353300 Rec#: 16625 VDS C.C.C</t>
  </si>
  <si>
    <t>IC-2390</t>
  </si>
  <si>
    <t>Fact#: 352587 Rec#: 16624 MERA NERO JHONNY ALEXANDER</t>
  </si>
  <si>
    <t>IC-2389</t>
  </si>
  <si>
    <t>Fact#: 351632 Rec#: 16623 GALO ENRIQUE ESTUPIÑAN VERA</t>
  </si>
  <si>
    <t>IC-2388</t>
  </si>
  <si>
    <t>Fact#: 346630-349091-351277 Rec#: 16622 EDIN ERNESTO CISNEROS MAESTRE</t>
  </si>
  <si>
    <t>IC-2387</t>
  </si>
  <si>
    <t>Fact#: 337647-340639-344164 Rec#: 16621 RAWAD MACHLB BZEIH BARAKAT</t>
  </si>
  <si>
    <t>IC-2386</t>
  </si>
  <si>
    <t>Fact#: 352143 Rec#: 16620 SALAZAR TELLO NICOLAS EDUARDO</t>
  </si>
  <si>
    <t>IC-2385</t>
  </si>
  <si>
    <t>Fact#: 347339-349819-352039 Rec#: 16619 JIMENEZ MARCHAN CARLOS ALEJANDRO</t>
  </si>
  <si>
    <t>IC-2384</t>
  </si>
  <si>
    <t>Fact#: 353377 Rec#: 32441 EMPRESA PUBLICA MUNICIPAL PARA LA GESTIÓN DE LA INNOVACIÓN  Y LA COMPETITIVIDAD, EP</t>
  </si>
  <si>
    <t>IC-2379</t>
  </si>
  <si>
    <t>Fact#: 353378 Rec#: 32440 EMPRESA PUBLICA MUNICIPAL PARA LA GESTIÓN DE LA INNOVACIÓN  Y LA COMPETITIVIDAD, EP</t>
  </si>
  <si>
    <t>IC-2378</t>
  </si>
  <si>
    <t>Fact#: 351720-352731 Rec#: 32438 ANGEL ROGELIO PUMA MEDINA</t>
  </si>
  <si>
    <t>IC-2371</t>
  </si>
  <si>
    <t>SANDRA PATRICIA MOREJON LLANOS CANCELA TELEFONO 3945486 ABONA SGTE FACTURA. PAGO WESTERN UNION</t>
  </si>
  <si>
    <t>AT-3229</t>
  </si>
  <si>
    <t>N/D BCO. PACIFICO TRANSFERENCIA CANCELACIÓN DE FACTURA#27586381 CNEL EP</t>
  </si>
  <si>
    <t>N/D BCO. PACIFICO TRANSFERENCIA CANCELACIÓN DE FACTURA#27611005 CNEL EP</t>
  </si>
  <si>
    <t>N/D BCO. PACIFICO TRANSFERENCIA CANCELACIÓN DE FACTURA#27575162 CNEL EP</t>
  </si>
  <si>
    <t>NDL-24</t>
  </si>
  <si>
    <t>N/D BCO. PACIFICO TRANSFERENCIA CANCELACIÓN DE FACTURA#4143007 CNEL EP</t>
  </si>
  <si>
    <t>NDL-23</t>
  </si>
  <si>
    <t>N/D BCO. PACIFICO TRANSFERENCIA CANCELACIÓN DE FACTURA#27506736 CNEL EP</t>
  </si>
  <si>
    <t>N/D BCO. PACIFICO TRANSFERENCIA POR CONSUMO DE ENERGÍA ELECTRICA, CTV, PORTAL AL SOL. COD:200017298429</t>
  </si>
  <si>
    <t>Fact#: 351108 Rec#: 32439 SERGIO ANDRES SEMMINARIO VALENZUELA</t>
  </si>
  <si>
    <t>IC-2373</t>
  </si>
  <si>
    <t>Fact#: 351330 Rec#: 32437 CAROLINA AMALIA IDROVO PIEDRAHITA</t>
  </si>
  <si>
    <t>IC-2357</t>
  </si>
  <si>
    <t>Fact#: 352768 Rec#: 32436 SILVA ESPINOZA CARLOTA ELIZABETH</t>
  </si>
  <si>
    <t>IC-2356</t>
  </si>
  <si>
    <t>Fact#: 352606 Rec#: 32435 SANCHEZ MEDINA FELIX</t>
  </si>
  <si>
    <t>IC-2355</t>
  </si>
  <si>
    <t>Fact#: 350031-352266 Rec#: 16618 CORDOVA REYES CARLOS HORACIO</t>
  </si>
  <si>
    <t>IC-2354</t>
  </si>
  <si>
    <t>Fact#: 352165 Rec#: 16617 VALENCIA NIEVES BYRON BOLIVAR</t>
  </si>
  <si>
    <t>IC-2353</t>
  </si>
  <si>
    <t>Fact#: 353276 Rec#: 16616 SPORTMEDIC.S.A</t>
  </si>
  <si>
    <t>IC-2352</t>
  </si>
  <si>
    <t>Fact#: 351823 Rec#: 16615 BRITO LAVAYEN BEATRIZ TERESA</t>
  </si>
  <si>
    <t>IC-2351</t>
  </si>
  <si>
    <t>Fact#: 351079 Rec#: 16614 EDDA GLADYS PARRALES GOMEZ</t>
  </si>
  <si>
    <t>IC-2350</t>
  </si>
  <si>
    <t>Fact#: 351500 Rec#: 16613 ANGEL ANTONIO RAMIREZ NUÑEZ</t>
  </si>
  <si>
    <t>IC-2349</t>
  </si>
  <si>
    <t>Fact#: 351281 Rec#: 16612 MARCOS GERMAN VERA ABAD</t>
  </si>
  <si>
    <t>IC-2348</t>
  </si>
  <si>
    <t>Fact#: 353310 Rec#: 16611 SEGURIDAD &amp; PROTECCION TECNICA SEPROTECSECURITY CIA. LTDA.</t>
  </si>
  <si>
    <t>IC-2347</t>
  </si>
  <si>
    <t>Fact#: 349397-351595 Rec#: 16610 NANCY ESTHELA SANCHEZ</t>
  </si>
  <si>
    <t>IC-2346</t>
  </si>
  <si>
    <t>Fact#: 351841 Rec#: 16609 CARRILLO ANCHUNDIA FLOR MARIA</t>
  </si>
  <si>
    <t>IC-2345</t>
  </si>
  <si>
    <t>Fact#: 350439-352718 Rec#: 16608 TUMBACO VERA JOSE LUIS</t>
  </si>
  <si>
    <t>IC-2344</t>
  </si>
  <si>
    <t>Fact#: 352030 Rec#: 16607 VALLE GONZALEZ LIDIA ELIZABETH</t>
  </si>
  <si>
    <t>IC-2343</t>
  </si>
  <si>
    <t>Fact#: 3493-3681 Rec#: 16606 PAREDES PEREZ GUSTAVO XAVIER</t>
  </si>
  <si>
    <t>IC-2342</t>
  </si>
  <si>
    <t>Fact#: 349389-351587 Rec#: 16605 AMADA ORQUIDEA CAICEDO TREJO</t>
  </si>
  <si>
    <t>IC-2341</t>
  </si>
  <si>
    <t>Fact#: 349240-351429 Rec#: 16604 MAGALY BETSABETH NAVARRETE LOOR</t>
  </si>
  <si>
    <t>IC-2340</t>
  </si>
  <si>
    <t>Fact#: 348371-350541-352836 Rec#: 32434 FIGUEROA VINCES JOSE ALFREDO</t>
  </si>
  <si>
    <t>IC-2322</t>
  </si>
  <si>
    <t>Fact#: 352835 Rec#: 32433 FLORES VELIZ CARMEN ROSA</t>
  </si>
  <si>
    <t>IC-2315</t>
  </si>
  <si>
    <t>Fact#: 350722-350724-353056-353058 Rec#: 32432 JUAYATABC TELEVISION S.A.</t>
  </si>
  <si>
    <t>IC-2313</t>
  </si>
  <si>
    <t>Fact#: 353190 Rec#: 32431 PAYLESS SHOESOURCE ECUADOR CIA. LTDA.</t>
  </si>
  <si>
    <t>IC-2310</t>
  </si>
  <si>
    <t>Fact#: 352149 Rec#: 32430 FALCONI DUEÑAS ELISA MARIA</t>
  </si>
  <si>
    <t>IC-2309</t>
  </si>
  <si>
    <t>AT-3227</t>
  </si>
  <si>
    <t>CUEVA VEGA EFREN CANCELA TELEFONO 3908240 ABONA SGTE FACTURA</t>
  </si>
  <si>
    <t>AT-3226</t>
  </si>
  <si>
    <t>Fact#: 3640 Rec#: 16603 CRUZ SANTANA MARCOS BOLIVAR</t>
  </si>
  <si>
    <t>IC-2304</t>
  </si>
  <si>
    <t>Fact#: 351283 Rec#: 16602 JULIO CESAR MONCAYO CRESPIN</t>
  </si>
  <si>
    <t>IC-2303</t>
  </si>
  <si>
    <t>Fact#: 351564 Rec#: 16601 PEDRO JAVIER BAQUERIZO SUAREZ</t>
  </si>
  <si>
    <t>IC-2302</t>
  </si>
  <si>
    <t>Fact#: 352852 Rec#: 16600 SANCHEZ MENDOZA ANA ADELA</t>
  </si>
  <si>
    <t>IC-2301</t>
  </si>
  <si>
    <t>Fact#: 349411-351609 Rec#: 16599 CESAR WILSON LARA NARVAEZ</t>
  </si>
  <si>
    <t>IC-2300</t>
  </si>
  <si>
    <t>Fact#: 3626 Rec#: 16598 CACUANGO LINCANGO EDISON FABIAN</t>
  </si>
  <si>
    <t>IC-2299</t>
  </si>
  <si>
    <t>Fact#: 350577-352871 Rec#: 16597 MIRANDA TORRES JUAN ERNESTO</t>
  </si>
  <si>
    <t>IC-2298</t>
  </si>
  <si>
    <t>Fact#: 349570-351779 Rec#: 16596 FLORES LAVAYEN HECTOR GIOVANNY</t>
  </si>
  <si>
    <t>IC-2297</t>
  </si>
  <si>
    <t>Fact#: 321272-324030-326804-329569-332421-335342-338284-341276-344800 Rec#: 16595 AGUIRRE CIRIO RIGOBERTO FRANCISCO</t>
  </si>
  <si>
    <t>IC-2296</t>
  </si>
  <si>
    <t>Fact#: 348306-350483-352776 Rec#: 16594 MONTOYA LEON DARWIN SANTIAGO</t>
  </si>
  <si>
    <t>IC-2295</t>
  </si>
  <si>
    <t>Fact#: 352394 Rec#: 16593 CORTEZ CANTOS  PEDRO PABLO</t>
  </si>
  <si>
    <t>IC-2294</t>
  </si>
  <si>
    <t>Fact#: 349119-351305 Rec#: 16592 JENNIFER MARITZA BAJAÑA MERCHAN</t>
  </si>
  <si>
    <t>IC-2293</t>
  </si>
  <si>
    <t>Fact#: 351474 Rec#: 16591 OMAR JOSSUE GRANIZO HUAYAMAVE</t>
  </si>
  <si>
    <t>IC-2292</t>
  </si>
  <si>
    <t>Fact#: 351743 Rec#: 16590 ESTEFANO ATTILIO LANATA GARAICOA</t>
  </si>
  <si>
    <t>IC-2291</t>
  </si>
  <si>
    <t>Fact#: 352519 Rec#: 16589 PONCE BURGOS NORMA ISABEL</t>
  </si>
  <si>
    <t>IC-2290</t>
  </si>
  <si>
    <t>Fact#: 352518 Rec#: 16588 PONCE BURGOS NORMA ISABEL</t>
  </si>
  <si>
    <t>IC-2289</t>
  </si>
  <si>
    <t>Fact#: 331486-334399-337334-340325-343855 Rec#: 16587 ANGEL FERNANDO ERAS GALARZA</t>
  </si>
  <si>
    <t>IC-2288</t>
  </si>
  <si>
    <t>Fact#: 3814 Rec#: 16586 INKA BURGER</t>
  </si>
  <si>
    <t>IC-2287</t>
  </si>
  <si>
    <t>Fact#: 347569-350055-352293 Rec#: 16585 QUINONEZ MINA DARLIS LUCIA</t>
  </si>
  <si>
    <t>IC-2286</t>
  </si>
  <si>
    <t>Fact#: 350383-352654 Rec#: 16584 LLERAS EVARISTO RAFAEL GUSTAVO</t>
  </si>
  <si>
    <t>IC-2285</t>
  </si>
  <si>
    <t>Fact#: 323801-326570-329335-332178-335094-338037-341027-344552 Rec#: 16583 GOMEZ CALDERON ALEXANDRA ELIZABETH</t>
  </si>
  <si>
    <t>IC-2284</t>
  </si>
  <si>
    <t>Fact#: 351997 Rec#: 16582 VALLEJO MARTINEZ LEIDIZ DIANA</t>
  </si>
  <si>
    <t>IC-2283</t>
  </si>
  <si>
    <t>Fact#: 341283-344807-347420 Rec#: 16581 BRITO ANDRADE MILTON KLEBER</t>
  </si>
  <si>
    <t>IC-2282</t>
  </si>
  <si>
    <t>N/D PACIFICO CANCELACIÓN DE FACTURA#72863268 OTECEL S.A. PLAN CORP. PERIODO 08-Ene-2021 al 07-Feb-2021</t>
  </si>
  <si>
    <t>N/D BCO.PACIFICO TRANSFERENCIA ANTICIPO A FACTURA#435 POR HONORARIOS MES DE FEB 2021 A BAQUERIZO DAVILA PABLO</t>
  </si>
  <si>
    <t>N/D BCO. PACIFICO TRANSFERENCIA ROLES DE PAGO 1ERA QUINCENA MES DE FEBRERO 2021</t>
  </si>
  <si>
    <t>N/D BCO. PACIFICO TRANSFERENCIA PAGO DE FONDOS DE RESERVA MES DE ENERO 2021</t>
  </si>
  <si>
    <t>N/D POR COMISIONES DE WESTERN UNION POR RECAUDACION DEL 05/02/2021 AL 11/02/2021</t>
  </si>
  <si>
    <t>Fact#: 352192 Rec#: 32429 VELIZ CASTRO RICARDO XAVIER</t>
  </si>
  <si>
    <t>IC-2281</t>
  </si>
  <si>
    <t>Fact#: 351144 Rec#: 32428 GLORIA ISABEL MITE LEON</t>
  </si>
  <si>
    <t>IC-2280</t>
  </si>
  <si>
    <t>Fact#: 351852 Rec#: 32427 VARGAS TORRES ZENIA</t>
  </si>
  <si>
    <t>IC-2279</t>
  </si>
  <si>
    <t>Fact#: 353015 Rec#: 32426 SOLUCIONES SEGURAS S.A</t>
  </si>
  <si>
    <t>IC-2278</t>
  </si>
  <si>
    <t>Fact#: 353142 Rec#: 32425 CIPORT &amp; TECNAC CIPTE C.L</t>
  </si>
  <si>
    <t>IC-2272</t>
  </si>
  <si>
    <t>Fact#: 761-762 Rec#: 32424 F.V - AREA ANDINA S.A.</t>
  </si>
  <si>
    <t>IC-2271</t>
  </si>
  <si>
    <t>Fact#: 352991 Rec#: 32423 LG ELECTRONICS PANAMA S.A</t>
  </si>
  <si>
    <t>IC-2270</t>
  </si>
  <si>
    <t>Fact#: 352594 Rec#: 16580 FERRIN ANDRADE ERICKA MARIUXI</t>
  </si>
  <si>
    <t>IC-2269</t>
  </si>
  <si>
    <t>Fact#: 351482 Rec#: 16579 SANDRA ELIZABETH BARBERAN GUADAMUD</t>
  </si>
  <si>
    <t>IC-2268</t>
  </si>
  <si>
    <t>Fact#: 349180-351364 Rec#: 16578 XIMENA DE LOURDES VASQUEZ HINOJOSA</t>
  </si>
  <si>
    <t>IC-2267</t>
  </si>
  <si>
    <t>Fact#: 351118 Rec#: 16577 MORAIMA SEMINARIO TOLEDO</t>
  </si>
  <si>
    <t>IC-2266</t>
  </si>
  <si>
    <t>Fact#: 352194 Rec#: 16576 DESINTONIO HUAYAMAVE ALBERTO LUIS</t>
  </si>
  <si>
    <t>IC-2265</t>
  </si>
  <si>
    <t>Fact#: 352424 Rec#: 16575 RODRIGUEZ REYES JINSOP ORLIN</t>
  </si>
  <si>
    <t>IC-2264</t>
  </si>
  <si>
    <t>Fact#: 352359 Rec#: 16574 CASTRO BARZOLA KEVIN JONATHAN</t>
  </si>
  <si>
    <t>IC-2263</t>
  </si>
  <si>
    <t>Fact#: 353263 Rec#: 16573 ALVARADO BASURTO SEGUNDO GABRIEL</t>
  </si>
  <si>
    <t>IC-2262</t>
  </si>
  <si>
    <t>Fact#: 346976-349450-351651 Rec#: 16572 ROBERTO GABRIEL QUINDE DIAZ</t>
  </si>
  <si>
    <t>IC-2261</t>
  </si>
  <si>
    <t>Fact#: 353078 Rec#: 32422 OPENGROUP S.A.</t>
  </si>
  <si>
    <t>IC-2245</t>
  </si>
  <si>
    <t>N/D BCO. PACIFICO TRANSFERENCIA CANCELACIÓN DE FACTURA#27494196 CNEL EP</t>
  </si>
  <si>
    <t>N/D BCO. PACIFICO TRANSFERENCIA CANCELACIÓN DE FACTURA#26871633 CNEL EP</t>
  </si>
  <si>
    <t>N/D BCO. PACIFICO TRANSFERENCIA CANCELACIÓN DE FACTURA#4307345 CNEL EP</t>
  </si>
  <si>
    <t>NDL-18</t>
  </si>
  <si>
    <t>N/D BCO. PACIFICO PAGO PLLAS. IESS FONDOS DE RESERVA MES DE ENERO 2020, COMP#20739952</t>
  </si>
  <si>
    <t>NDL-15</t>
  </si>
  <si>
    <t>N/D BCO. PACIFICO PAGO PLLAS. IESS PREST. QUIROGRAFARIO MES DE ENERO 2021, COMP#33150322</t>
  </si>
  <si>
    <t>NDL-14</t>
  </si>
  <si>
    <t>N/D BCO. PACIFICO PAGO PLLAS. PREST. HIPOTECARIO MES DE ENERO 2021, COMP#10915099</t>
  </si>
  <si>
    <t>N/D BCO. PACIFICO PAGO PLLAS. IESS AJUSTE MES DE ENERO 2021 COMP#139192015</t>
  </si>
  <si>
    <t>NDL-12</t>
  </si>
  <si>
    <t>N/D BCO. PACIFICO PAGO PLLAS. IESS NORMALES MES DE ENERO 2021, COMP#139191961</t>
  </si>
  <si>
    <t>NDL-11</t>
  </si>
  <si>
    <t>Fact#: 342262-345786 Rec#: 16571 PALACIOS ALVARADO JULIO RAMON</t>
  </si>
  <si>
    <t>IC-2244</t>
  </si>
  <si>
    <t>Fact#: 349606-351818 Rec#: 16570 REINA SALAZAR JOSE DIEGO</t>
  </si>
  <si>
    <t>IC-2243</t>
  </si>
  <si>
    <t>Fact#: 351827 Rec#: 16569 DEL VALLE MONTECE SELENA MARIBEL</t>
  </si>
  <si>
    <t>IC-2242</t>
  </si>
  <si>
    <t>Fact#: 351228 Rec#: 16568 ARMANDO ROBERTO  YAGUAL BRITO</t>
  </si>
  <si>
    <t>IC-2241</t>
  </si>
  <si>
    <t>Fact#: 352297 Rec#: 16567 FLORES GORDILLO LUIS EDUARDO</t>
  </si>
  <si>
    <t>IC-2240</t>
  </si>
  <si>
    <t>Fact#: 351162 Rec#: 16566 SANDRA PATRICIA MOREJON LLANOS</t>
  </si>
  <si>
    <t>IC-2239</t>
  </si>
  <si>
    <t>Fact#: 346922-349391-351589 Rec#: 16565 MARIA BRIGITE PEREZ MOLINA</t>
  </si>
  <si>
    <t>IC-2238</t>
  </si>
  <si>
    <t>Fact#: 343857-346802-349266 Rec#: 16564 GRACE JUANA CRUZ CHIPRE</t>
  </si>
  <si>
    <t>IC-2237</t>
  </si>
  <si>
    <t>Fact#: 352340 Rec#: 16563 CABELLO CHIRIGUAYA DAVID ELIAS</t>
  </si>
  <si>
    <t>IC-2236</t>
  </si>
  <si>
    <t>Fact#: 350182-352441 Rec#: 16562 FREIRE ANDRADE PAOLA MARIA</t>
  </si>
  <si>
    <t>IC-2235</t>
  </si>
  <si>
    <t>Fact#: 349665-351888 Rec#: 16561 CASTRO RIVERA JONATHAN GEOVANNY</t>
  </si>
  <si>
    <t>IC-2234</t>
  </si>
  <si>
    <t>Fact#: 350438-352716 Rec#: 32421 FLORES ORTEGA MERCEDES ROCIO</t>
  </si>
  <si>
    <t>IC-2232</t>
  </si>
  <si>
    <t>Fact#: 352301 Rec#: 32420 CEVALLOS ZAVALA BOLIVAR ANTONIO</t>
  </si>
  <si>
    <t>IC-2231</t>
  </si>
  <si>
    <t>Fact#: 353217-353233-353234-353235 Rec#: 32419 RUIZ ROMAN ROMMEL ELIAS</t>
  </si>
  <si>
    <t>IC-2228</t>
  </si>
  <si>
    <t>Fact#: 350893-350910-350911-350912 Rec#: 32418 RUIZ ROMAN ROMMEL ELIAS</t>
  </si>
  <si>
    <t>IC-2227</t>
  </si>
  <si>
    <t>Fact#: 353287-353288 Rec#: 32416 TOPFOOD CIA. LTDA.</t>
  </si>
  <si>
    <t>IC-2215</t>
  </si>
  <si>
    <t>Fact#: 350498-352797 Rec#: 32415 BATTEN SORIANO CARLOS ARTURO</t>
  </si>
  <si>
    <t>IC-2214</t>
  </si>
  <si>
    <t>Fact#: 350591-352885 Rec#: 32414 ARIAS ALVAREZ GLADYS MERCEDES</t>
  </si>
  <si>
    <t>IC-2209</t>
  </si>
  <si>
    <t>Fact#: 348909-351098 Rec#: 16560 MELVA PATRICIA TORRES ALMEIDA</t>
  </si>
  <si>
    <t>IC-2207</t>
  </si>
  <si>
    <t>Fact#: 352493 Rec#: 16559 VELEZ LOZANO HECTOR EDUARDO</t>
  </si>
  <si>
    <t>IC-2206</t>
  </si>
  <si>
    <t>Fact#: 352481 Rec#: 32413 REYES SOLIS  MARJORIE YOLANDA</t>
  </si>
  <si>
    <t>IC-2200</t>
  </si>
  <si>
    <t>Fact#: 352624 Rec#: 32412 CASTRO ESPINALES LUCELINA PRIMITIVA</t>
  </si>
  <si>
    <t>IC-2199</t>
  </si>
  <si>
    <t>Fact#: 349966-352195 Rec#: 16558 ORTEGA QUIMI ADRIANA ALEXANDRA</t>
  </si>
  <si>
    <t>IC-2198</t>
  </si>
  <si>
    <t>Fact#: 352298 Rec#: 16557 SANCHEZ PARRA MAYURI EMILIA</t>
  </si>
  <si>
    <t>IC-2197</t>
  </si>
  <si>
    <t>Fact#: 349275-351464 Rec#: 16556 CARLOS WELLINGTON CHOEZ VERA</t>
  </si>
  <si>
    <t>IC-2196</t>
  </si>
  <si>
    <t>Fact#: 3699 Rec#: 16555 GUERRERO CASTRO ROSA ELVIRA</t>
  </si>
  <si>
    <t>IC-2195</t>
  </si>
  <si>
    <t>Fact#: 347147-349623-351836 Rec#: 16554 MUÑOZ QUINTO MONICA ANABELLE</t>
  </si>
  <si>
    <t>IC-2194</t>
  </si>
  <si>
    <t>Fact#: 351944 Rec#: 16553 YANEZ ARROYO LUIS ALBERTO</t>
  </si>
  <si>
    <t>IC-2193</t>
  </si>
  <si>
    <t>Fact#: 352036 Rec#: 16552 RODRIGUEZ ENRIQUES FERNANDO FAVIAN</t>
  </si>
  <si>
    <t>IC-2192</t>
  </si>
  <si>
    <t>Fact#: 352613 Rec#: 16551 MACHACILLA QUINCHE MARIO UBALDO</t>
  </si>
  <si>
    <t>IC-2191</t>
  </si>
  <si>
    <t>Fact#: 351206 Rec#: 16550 MARIA DEL CARMEN VERA VALVERDE</t>
  </si>
  <si>
    <t>IC-2190</t>
  </si>
  <si>
    <t>Fact#: 351930 Rec#: 16549 DE LA O CHACON JOSEPH CHRISTIAN</t>
  </si>
  <si>
    <t>IC-2189</t>
  </si>
  <si>
    <t>PAGO TARJ. CORP. CUOTA MES DE FEB-2021</t>
  </si>
  <si>
    <t>NDL-64</t>
  </si>
  <si>
    <t>N/D PACIFICO TRANSFERENCIA CANCELACIÓN DE FACTURA#166274563 CNT EP</t>
  </si>
  <si>
    <t>NDL-28</t>
  </si>
  <si>
    <t>Fact#: 341524-345048-347572 Rec#: 32411 PESANTES GUAMAN DANIEL ARTURO</t>
  </si>
  <si>
    <t>IC-2171</t>
  </si>
  <si>
    <t>Fact#: 352074 Rec#: 32410 MANRIQUE OSORIO XAVIER ENRIQUE</t>
  </si>
  <si>
    <t>IC-2170</t>
  </si>
  <si>
    <t>Fact#: 3631 Rec#: 32409 GUATEMAL COLIMBA JUAN BAUTISTA</t>
  </si>
  <si>
    <t>IC-2169</t>
  </si>
  <si>
    <t>Fact#: 352094 Rec#: 32408 REIMBERG BADUY PETER PAUL</t>
  </si>
  <si>
    <t>IC-2168</t>
  </si>
  <si>
    <t>Fact#: 351992 Rec#: 32407 PERALTA CASTILLO ELSA DEL ROCIO</t>
  </si>
  <si>
    <t>IC-2167</t>
  </si>
  <si>
    <t>Fact#: 350162-352418 Rec#: 32406 JIMENEZ ALVAREZ GARY WINDER</t>
  </si>
  <si>
    <t>IC-2166</t>
  </si>
  <si>
    <t>Fact#: 351005 Rec#: 32405 PRETOMEL S.A.</t>
  </si>
  <si>
    <t>IC-2165</t>
  </si>
  <si>
    <t>Fact#: 352320 Rec#: 16548 PARRALES CABRERA TEOFILO CELESTINO</t>
  </si>
  <si>
    <t>IC-2164</t>
  </si>
  <si>
    <t>Fact#: 352983 Rec#: 16547 ASOCIACION DE PROPIETARIOS III ETAPA LONDRES</t>
  </si>
  <si>
    <t>IC-2163</t>
  </si>
  <si>
    <t>Fact#: 353253 Rec#: 16546 REX PLASTICS S.A.</t>
  </si>
  <si>
    <t>IC-2162</t>
  </si>
  <si>
    <t>Fact#: 349987-352218 Rec#: 16545 GUADALUPE REMACHE SILVIA FABIOLA</t>
  </si>
  <si>
    <t>IC-2161</t>
  </si>
  <si>
    <t>Fact#: 351705 Rec#: 16544 NARCISA MIRELLA ANDRADE SALTOS</t>
  </si>
  <si>
    <t>IC-2160</t>
  </si>
  <si>
    <t>Fact#: 352542 Rec#: 16543 SANTANA MORENO SAUL AUGUSTO</t>
  </si>
  <si>
    <t>IC-2159</t>
  </si>
  <si>
    <t>Fact#: 349878-352101 Rec#: 16542 GUERRERO CRESPIN JULIO ENRIQUE</t>
  </si>
  <si>
    <t>IC-2158</t>
  </si>
  <si>
    <t>Fact#: 337387-340378-343908 Rec#: 16541 FABRICIO OLMEDO GRANDA QUESADA</t>
  </si>
  <si>
    <t>IC-2157</t>
  </si>
  <si>
    <t>Fact#: 350792-353122 Rec#: 16540 JOMALUNKA S.A</t>
  </si>
  <si>
    <t>IC-2156</t>
  </si>
  <si>
    <t>Fact#: 346936-349405-351603 Rec#: 16539 ALEX EMILIO TELLO CEDEÑO</t>
  </si>
  <si>
    <t>IC-2155</t>
  </si>
  <si>
    <t>Fact#: 349477-351680 Rec#: 16538 HANS EDUARDO NORIEGA ALBUJA</t>
  </si>
  <si>
    <t>IC-2154</t>
  </si>
  <si>
    <t>Fact#: 353089 Rec#: 16537 FILUS S.A</t>
  </si>
  <si>
    <t>IC-2153</t>
  </si>
  <si>
    <t>Fact#: 353088 Rec#: 16536 FILUS S.A</t>
  </si>
  <si>
    <t>IC-2152</t>
  </si>
  <si>
    <t>Fact#: 349562-351771 Rec#: 16535 ESTUPIÑAN BAJAÑA JORDAN EDWARD</t>
  </si>
  <si>
    <t>IC-2151</t>
  </si>
  <si>
    <t>Fact#: 353120 Rec#: 32404 CONSTRU-YA S.A.</t>
  </si>
  <si>
    <t>IC-2148</t>
  </si>
  <si>
    <t>Fact#: 3065-3309-3720 Rec#: 32403 ZOANNI SALDIVAR DAMIAN ALFREDO</t>
  </si>
  <si>
    <t>IC-2143</t>
  </si>
  <si>
    <t>Fact#: 351994 Rec#: 32402 PAZMINO PRIETO SIXTO JAVIER</t>
  </si>
  <si>
    <t>IC-2140</t>
  </si>
  <si>
    <t>Fact#: 351903 Rec#: 32401 MACIAS PERUGACHI OSCAR ROLANDO</t>
  </si>
  <si>
    <t>IC-2139</t>
  </si>
  <si>
    <t>PENA MENDOZA JEFFERSON RAFAEL CANCELA TELEFONO 3900238 ABONA SGTE FACTURA</t>
  </si>
  <si>
    <t>AT-3223</t>
  </si>
  <si>
    <t>Fact#: 346683-349144-351328 Rec#: 32400 LUIS ANTONIO CARVAJAL TORAL</t>
  </si>
  <si>
    <t>IC-2134</t>
  </si>
  <si>
    <t>Fact#: 351225 Rec#: 32399 RIOS ORELLANA INGRID DE LA CRUZ</t>
  </si>
  <si>
    <t>IC-2133</t>
  </si>
  <si>
    <t>Fact#: 348910-351099 Rec#: 32398 LUIS EDUARDO BAQUERIZO BRAND</t>
  </si>
  <si>
    <t>IC-2132</t>
  </si>
  <si>
    <t>Fact#: 349949-352177 Rec#: 32397 SANCHEZ EGAS LIZETH MARITZA</t>
  </si>
  <si>
    <t>IC-2131</t>
  </si>
  <si>
    <t>Fact#: 350399-352671 Rec#: 32396 SALTOS MATA FILADELFO VLADIMIR</t>
  </si>
  <si>
    <t>IC-2130</t>
  </si>
  <si>
    <t>Fact#: 350418-352694 Rec#: 32395 CHALEN ROSADO VICENTE MANUEL</t>
  </si>
  <si>
    <t>IC-2129</t>
  </si>
  <si>
    <t>Fact#: 352440 Rec#: 32394 MORA REYES JOSE FRANK</t>
  </si>
  <si>
    <t>IC-2128</t>
  </si>
  <si>
    <t>Fact#: 349333-351528 Rec#: 16534 RAMIRO RAMON TOALA GARCIA</t>
  </si>
  <si>
    <t>IC-2113</t>
  </si>
  <si>
    <t>Fact#: 352434 Rec#: 16533 ZAMBRANO CALENO OLGA PATRICIA</t>
  </si>
  <si>
    <t>IC-2112</t>
  </si>
  <si>
    <t>Fact#: 349204-351390 Rec#: 16532 GINGER LIZBETH GOMEZ CALDERON</t>
  </si>
  <si>
    <t>IC-2111</t>
  </si>
  <si>
    <t>Fact#: 350257-352522 Rec#: 16531 RIVERA PINTO RAMONA ELIZABETH</t>
  </si>
  <si>
    <t>IC-2110</t>
  </si>
  <si>
    <t>Fact#: 351552 Rec#: 16530 JORJY JIMY RIVERA MONTIEL</t>
  </si>
  <si>
    <t>IC-2109</t>
  </si>
  <si>
    <t>Fact#: 349626-351839 Rec#: 16529 ARROYO AYOVI SANDRA YADIRA</t>
  </si>
  <si>
    <t>IC-2108</t>
  </si>
  <si>
    <t>Fact#: 349857-352079 Rec#: 16528 RUIZ JORDAN TERESA DE JESUS</t>
  </si>
  <si>
    <t>IC-2107</t>
  </si>
  <si>
    <t>Fact#: 350512-352809 Rec#: 16527 MEJIA LEMA WILSON ALEXANDER</t>
  </si>
  <si>
    <t>IC-2106</t>
  </si>
  <si>
    <t>Fact#: 350071-352314 Rec#: 16526 GAMEZ CUELLAR PEDRO NASARIO</t>
  </si>
  <si>
    <t>IC-2105</t>
  </si>
  <si>
    <t>Fact#: 351254 Rec#: 16525 LOPEZ LOPEZ WASHINGTON FERMIN</t>
  </si>
  <si>
    <t>IC-2104</t>
  </si>
  <si>
    <t>Fact#: 347284-349760-351978 Rec#: 16524 CEDENO CEVALLOS ALEJANDRO EUGENIO</t>
  </si>
  <si>
    <t>IC-2103</t>
  </si>
  <si>
    <t>Fact#: 350160-352415 Rec#: 16523 GUAMANQUISPE FLORES ESPERANZA ANTONIETA</t>
  </si>
  <si>
    <t>IC-2102</t>
  </si>
  <si>
    <t>Fact#: 349666-351889 Rec#: 16522 PINCAY RUIZ VICENTA MARLENE</t>
  </si>
  <si>
    <t>IC-2101</t>
  </si>
  <si>
    <t>Fact#: 346384 Rec#: 16521 DISTRIBUIDORA DE PRODUCTOS DE CONSUMO MASIVO CODIPROMASA C.A.</t>
  </si>
  <si>
    <t>IC-2100</t>
  </si>
  <si>
    <t>Fact#: 346385-348834 Rec#: 16520 DISTRIBUIDORA DE PRODUCTOS DE CONSUMO MASIVO CODIPROMASA C.A.</t>
  </si>
  <si>
    <t>IC-2099</t>
  </si>
  <si>
    <t>Fact#: 353202 Rec#: 16519 CORPORACION DE TRANSPORTISTAS DEL ECUADOR S.A.</t>
  </si>
  <si>
    <t>IC-2098</t>
  </si>
  <si>
    <t>Fact#: 349445-351647 Rec#: 16518 VILMA NINFA MORA MORA</t>
  </si>
  <si>
    <t>IC-2097</t>
  </si>
  <si>
    <t>Fact#: 351664 Rec#: 16517 NIZA ALEJANDRA MARRIOT CAICEDO</t>
  </si>
  <si>
    <t>IC-2096</t>
  </si>
  <si>
    <t>Fact#: 350287-352556 Rec#: 16516 ONETO LERTORA CARMEN MARIA</t>
  </si>
  <si>
    <t>IC-2095</t>
  </si>
  <si>
    <t>Fact#: 352064 Rec#: 16515 AGUIRRE HURTADO KATHERINE ELIZABETH</t>
  </si>
  <si>
    <t>IC-2094</t>
  </si>
  <si>
    <t>Fact#: 302775-305420-308180 Rec#: 16514 VILLAVICENCIO TIGRE DARWIN YAZMANY</t>
  </si>
  <si>
    <t>IC-2093</t>
  </si>
  <si>
    <t>Fact#: 352038 Rec#: 16513 VELASQUEZ POLIT NINA NATASHA</t>
  </si>
  <si>
    <t>IC-2092</t>
  </si>
  <si>
    <t>Fact#: 352489 Rec#: 16512 HERRERA LOOR GUILLERMO NILBERTO</t>
  </si>
  <si>
    <t>IC-2091</t>
  </si>
  <si>
    <t>Fact#: 322714-325471-328220-331039-333953-336897 Rec#: 16511 CARLOS LUIS  DUARTE FRANCO</t>
  </si>
  <si>
    <t>IC-2090</t>
  </si>
  <si>
    <t>Fact#: 351419 Rec#: 16510 UBALDO HELIODORO MOTOCHE MEDINA</t>
  </si>
  <si>
    <t>IC-2089</t>
  </si>
  <si>
    <t>Fact#: 349934-352160 Rec#: 16509 NEIRA PILLASAGUA ROSA DEL CARMEN</t>
  </si>
  <si>
    <t>IC-2088</t>
  </si>
  <si>
    <t>Fact#: 332323-335243-338187-341178-344702 Rec#: 16508 VERA GONZALEZ JOSE ANTONIO</t>
  </si>
  <si>
    <t>IC-2087</t>
  </si>
  <si>
    <t>Fact#: 352123 Rec#: 16507 ESCANDON DIAZ FRANCISCO DAVID</t>
  </si>
  <si>
    <t>IC-2086</t>
  </si>
  <si>
    <t>Fact#: 349647-351867 Rec#: 16506 MIGUEZ ACOSTA WILLIAM GERMAN</t>
  </si>
  <si>
    <t>IC-2085</t>
  </si>
  <si>
    <t>Fact#: 349748-351967 Rec#: 16505 ESPINOZA ZUNIGA ISABEL MARIA</t>
  </si>
  <si>
    <t>IC-2084</t>
  </si>
  <si>
    <t>Fact#: 344225 Rec#: 32393 DANIELA MELISSA MORAN RUGEL</t>
  </si>
  <si>
    <t>IC-2065</t>
  </si>
  <si>
    <t>Fact#: 348972 Rec#: 32391 CHRISTIAN ARTHUR KONANZ SCHOTEL</t>
  </si>
  <si>
    <t>IC-2044</t>
  </si>
  <si>
    <t>TAFUR MOSQUERA AMPARO JACQUELINE CANCELA TELEFONO 3900593 ABONA SGTE FACTURA, BCO PACIFICO POR VENTANILLA</t>
  </si>
  <si>
    <t>AT-3221</t>
  </si>
  <si>
    <t>Fact#: 349912-352138 Rec#: 32392 PALADINES RODRIGUEZ VICTOR EMILIO</t>
  </si>
  <si>
    <t>IC-2062</t>
  </si>
  <si>
    <t>Fact#: 332310-335229-338173-341164-344688 Rec#: 16504 GUARDINI PRIETO ADOLFO GIUSEPPE</t>
  </si>
  <si>
    <t>IC-2025</t>
  </si>
  <si>
    <t>Fact#: 350491-352787 Rec#: 16503 PRIETO VEGA MARTHA MARIA ELIZABETH</t>
  </si>
  <si>
    <t>IC-2024</t>
  </si>
  <si>
    <t>Fact#: 352433 Rec#: 16502 SAQUICELA SORIA MARCELO ALEJANDRO</t>
  </si>
  <si>
    <t>IC-2023</t>
  </si>
  <si>
    <t>Fact#: 352607 Rec#: 16501 ARAUJO AGUIRRE JUAN JOSE</t>
  </si>
  <si>
    <t>IC-2022</t>
  </si>
  <si>
    <t>Fact#: 349517-351722 Rec#: 16500 ALEXANDRE FABIAN MARTINEZ CARRION</t>
  </si>
  <si>
    <t>IC-2021</t>
  </si>
  <si>
    <t>Fact#: 3694 Rec#: 16499 GUTIERREZ ALVAREZ TERESA EUGENIA</t>
  </si>
  <si>
    <t>IC-2020</t>
  </si>
  <si>
    <t>Fact#: 3768 Rec#: 32390 CABEZAS GUERRA MARIA DEL CARMEN</t>
  </si>
  <si>
    <t>IC-2043</t>
  </si>
  <si>
    <t>Fact#: 350453-352737 Rec#: 32389 MAZZINI RADA MARIELA PAOLA</t>
  </si>
  <si>
    <t>IC-2042</t>
  </si>
  <si>
    <t>Fact#: 351762 Rec#: 16498 VERA GONZALEZ MARIANA LORENA</t>
  </si>
  <si>
    <t>IC-2019</t>
  </si>
  <si>
    <t>Fact#: 352914 Rec#: 16497 PAREDES LOPEZ MARIA PIEDAD</t>
  </si>
  <si>
    <t>IC-2018</t>
  </si>
  <si>
    <t>Fact#: 351023-353346 Rec#: 16496 DENNIS TOMALA ALBA ROSA</t>
  </si>
  <si>
    <t>IC-2017</t>
  </si>
  <si>
    <t>Fact#: 353151 Rec#: 16495 SALTOS RODRIGUEZ ANDREA EDITH</t>
  </si>
  <si>
    <t>IC-2016</t>
  </si>
  <si>
    <t>Fact#: 346844-349310-351499 Rec#: 16494 JONATHAN SAHI ALVES BAUTISTA</t>
  </si>
  <si>
    <t>IC-2015</t>
  </si>
  <si>
    <t>Fact#: 349711-351931 Rec#: 16493 MENDEZ ROSALES GIOCONDA EREUTEIDA</t>
  </si>
  <si>
    <t>IC-2014</t>
  </si>
  <si>
    <t>Fact#: 352464 Rec#: 16492 SOLARTE SOLARTE HERNEY SEBASTIAN</t>
  </si>
  <si>
    <t>IC-2013</t>
  </si>
  <si>
    <t>Fact#: 350592-352886 Rec#: 32388 INZHIVOTKINA YANA</t>
  </si>
  <si>
    <t>IC-2041</t>
  </si>
  <si>
    <t>Fact#: 351080 Rec#: 32387 GIOVANNY NARVAEZ PORTILLA</t>
  </si>
  <si>
    <t>IC-2040</t>
  </si>
  <si>
    <t>Fact#: 352459 Rec#: 32386 ALFREDO GEOVANNY SANCHEZ BENAVIDES</t>
  </si>
  <si>
    <t>IC-2039</t>
  </si>
  <si>
    <t>Fact#: 351461 Rec#: 32385 ALFREDO GEOVANNY SANCHEZ BENAVIDES</t>
  </si>
  <si>
    <t>IC-2038</t>
  </si>
  <si>
    <t>Fact#: 352128 Rec#: 32384 RAMOS MARCILLO CATHERINE LISSETTE</t>
  </si>
  <si>
    <t>IC-2037</t>
  </si>
  <si>
    <t>Fact#: 350206-352468 Rec#: 32383 BUSTAMANTE TORRES CAMILO EDUARDO</t>
  </si>
  <si>
    <t>IC-2036</t>
  </si>
  <si>
    <t>Fact#: 348997-351184 Rec#: 32382 CARMEN NARCISA  JURADO PAREDES</t>
  </si>
  <si>
    <t>IC-2035</t>
  </si>
  <si>
    <t>Fact#: 349076-351262 Rec#: 32381 VILLAO JURADO ANDREA BELEN</t>
  </si>
  <si>
    <t>IC-2034</t>
  </si>
  <si>
    <t>Fact#: 351384 Rec#: 32380 MIRIAM ANTONIETA MARIDUEÑA VALENZUELA</t>
  </si>
  <si>
    <t>IC-2033</t>
  </si>
  <si>
    <t>Fact#: 350933-353262 Rec#: 16491 DULCOSTA S.A.</t>
  </si>
  <si>
    <t>IC-2012</t>
  </si>
  <si>
    <t>Fact#: 3689 Rec#: 16490 ESPIN BIFARINI LOURDES TAMARA</t>
  </si>
  <si>
    <t>IC-2011</t>
  </si>
  <si>
    <t>Fact#: 2595-2908-3156-3401 Rec#: 16489 BORJA UYANA DANIEL GENARO</t>
  </si>
  <si>
    <t>IC-2010</t>
  </si>
  <si>
    <t>Fact#: 3637 Rec#: 16488 CADENA CHONTASI OLGA MARIA</t>
  </si>
  <si>
    <t>IC-2009</t>
  </si>
  <si>
    <t>Fact#: 352567 Rec#: 16487 SANCHEZ PEREZ FRANCISCO ROBERTO</t>
  </si>
  <si>
    <t>IC-2008</t>
  </si>
  <si>
    <t>Fact#: 349065-351251 Rec#: 16486 MARIA EUGENIA TERAN JORDAN</t>
  </si>
  <si>
    <t>IC-2007</t>
  </si>
  <si>
    <t>Fact#: 350178-352438 Rec#: 16485 SOLEDISPA ACEBO MILTON ANTONIO</t>
  </si>
  <si>
    <t>IC-2006</t>
  </si>
  <si>
    <t>Fact#: 351835 Rec#: 16484 MERCHAN  PEREZ FABIAN BERNARDINO</t>
  </si>
  <si>
    <t>IC-2005</t>
  </si>
  <si>
    <t>Fact#: 351383 Rec#: 16483 CINDY LORENA BAJAÑA BELTRAN</t>
  </si>
  <si>
    <t>IC-2004</t>
  </si>
  <si>
    <t>Fact#: 349559-351767 Rec#: 16482 TAMAYO CARABALLOSO LISANDRA MERCEDES</t>
  </si>
  <si>
    <t>IC-2003</t>
  </si>
  <si>
    <t>Fact#: 351382 Rec#: 16481 MARIA DEL ROSARIO GUZMAN MASPONS</t>
  </si>
  <si>
    <t>IC-2002</t>
  </si>
  <si>
    <t>Fact#: 350475-352766 Rec#: 16480 AVILES ECHEVER GUSTAVO MICHAEL</t>
  </si>
  <si>
    <t>IC-2001</t>
  </si>
  <si>
    <t>Fact#: 351611 Rec#: 16479 EDUARDO CAMPOSANO ULLOA</t>
  </si>
  <si>
    <t>IC-2000</t>
  </si>
  <si>
    <t>Fact#: 353087 Rec#: 16478 LABORATORIOS RENALABSA S A</t>
  </si>
  <si>
    <t>IC-1999</t>
  </si>
  <si>
    <t>Fact#: 350158-352413 Rec#: 16477 MACAS VERA CARLOS ERNESTO</t>
  </si>
  <si>
    <t>IC-1998</t>
  </si>
  <si>
    <t>Fact#: 351546 Rec#: 16476 JAVIER FEDERICO VILLON ANASTACIO</t>
  </si>
  <si>
    <t>IC-1997</t>
  </si>
  <si>
    <t>Fact#: 349183-351368 Rec#: 16475 LUCILA SOLANGE FLOR ORELLANA</t>
  </si>
  <si>
    <t>IC-1996</t>
  </si>
  <si>
    <t>Fact#: 351441 Rec#: 16474 WILLINGTON HUGO ROSALES MEDINA</t>
  </si>
  <si>
    <t>IC-1995</t>
  </si>
  <si>
    <t>Fact#: 351048 Rec#: 32379 CONSORCIO ECUATORIANO DE TELECOMUNICACIONES S.A. CONECEL</t>
  </si>
  <si>
    <t>IC-1992</t>
  </si>
  <si>
    <t>Fact#: 351043 Rec#: 32378 OTECEL</t>
  </si>
  <si>
    <t>IC-1991</t>
  </si>
  <si>
    <t>Fact#: 352093 Rec#: 32377 PUERO CUERO CARLOS JULIO</t>
  </si>
  <si>
    <t>IC-1989</t>
  </si>
  <si>
    <t>Fact#: 350546-352841 Rec#: 32376 TAMMY CARMEN CAAMAÑO CORNEJO</t>
  </si>
  <si>
    <t>IC-1988</t>
  </si>
  <si>
    <t>Fact#: 345222-347723-352411 Rec#: 32375 TRIVINO MORLA CARLOS ERNESTO</t>
  </si>
  <si>
    <t>IC-1987</t>
  </si>
  <si>
    <t>N/D BCO. PACIFICO PAGO PLLAS. IESS NORMALES MES DE ENERO 2021 A PABLO BAQUERIZO COMP#139121689</t>
  </si>
  <si>
    <t>NDL-10</t>
  </si>
  <si>
    <t>N/D BCO. PACIFICO PAGO PLLAS. IESS NORMALES MES DE DIC 2020 A PABLO BAQUERIZO COMP#139121681</t>
  </si>
  <si>
    <t>NDL-9</t>
  </si>
  <si>
    <t>Fact#: 350858-353182 Rec#: 16462 SOLUCIONES GLOBALES S.A GLOBFAST</t>
  </si>
  <si>
    <t>IC-3031</t>
  </si>
  <si>
    <t>Fact#: 350857-353181 Rec#: 16461 SOLUCIONES GLOBALES S.A GLOBFAST</t>
  </si>
  <si>
    <t>IC-3030</t>
  </si>
  <si>
    <t>Fact#: 350955-353283 Rec#: 16473 BRODERIN S.A</t>
  </si>
  <si>
    <t>IC-2537</t>
  </si>
  <si>
    <t>Fact#: 350422-352698 Rec#: 32374 JARAMILLO JALON JOSE GABRIEL</t>
  </si>
  <si>
    <t>IC-1910</t>
  </si>
  <si>
    <t>Fact#: 353159 Rec#: 32373 INDUVERIKA S.A.</t>
  </si>
  <si>
    <t>IC-1902</t>
  </si>
  <si>
    <t>Fact#: 353073 Rec#: 32372 DUPROCSA S.A.</t>
  </si>
  <si>
    <t>IC-1901</t>
  </si>
  <si>
    <t>Fact#: 352986 Rec#: 32371 AUTOMEKANO CIA. LTDA</t>
  </si>
  <si>
    <t>IC-1900</t>
  </si>
  <si>
    <t>Fact#: 352975 Rec#: 32370 EFFICACITAS CONSULTORA CIA.LTDA.</t>
  </si>
  <si>
    <t>IC-1899</t>
  </si>
  <si>
    <t>Fact#: 352976 Rec#: 32369 EFFICACITAS CONSULTORA CIA.LTDA.</t>
  </si>
  <si>
    <t>IC-1898</t>
  </si>
  <si>
    <t>Fact#: 352977 Rec#: 32368 EFFICACITAS CONSULTORA CIA.LTDA.</t>
  </si>
  <si>
    <t>IC-1897</t>
  </si>
  <si>
    <t>Fact#: 352980 Rec#: 32367 ASOC. DE PROPIETARIOS URB. TERRASOL</t>
  </si>
  <si>
    <t>IC-1896</t>
  </si>
  <si>
    <t>Fact#: 353065 Rec#: 32366 BELLUSCIO S.A.</t>
  </si>
  <si>
    <t>IC-1895</t>
  </si>
  <si>
    <t>Fact#: 351117 Rec#: 32365 JENNY CEDEÑO CAAMAÑO</t>
  </si>
  <si>
    <t>IC-1894</t>
  </si>
  <si>
    <t>Fact#: 351072 Rec#: 32364 GISELLE MARIELA CLEMENTE VERA</t>
  </si>
  <si>
    <t>IC-1893</t>
  </si>
  <si>
    <t>Fact#: 351448 Rec#: 32363 ANTONIO IGNACIO ARTEAGA FERAUD</t>
  </si>
  <si>
    <t>IC-1892</t>
  </si>
  <si>
    <t>Fact#: 352597 Rec#: 32362 JOSE FRANCISCO  FERNANDEZ   ESPINOZA</t>
  </si>
  <si>
    <t>IC-1891</t>
  </si>
  <si>
    <t>Fact#: 351654 Rec#: 32361 RICARDO PABLO FALCONI DUEÑAS</t>
  </si>
  <si>
    <t>IC-1890</t>
  </si>
  <si>
    <t>Fact#: 351172 Rec#: 32360 FAUSTO EDUARDO  CARBO RIVERA</t>
  </si>
  <si>
    <t>IC-1889</t>
  </si>
  <si>
    <t>Fact#: 351075 Rec#: 32359 JAIRO ALBERTO GOMEZ COELLO</t>
  </si>
  <si>
    <t>IC-1888</t>
  </si>
  <si>
    <t>Fact#: 351086 Rec#: 32358 ISABEL ROSARIO QUINDE SORIANO</t>
  </si>
  <si>
    <t>IC-1887</t>
  </si>
  <si>
    <t>Fact#: 351153 Rec#: 32357 PAULA JESUS SALAZAR MACIAS</t>
  </si>
  <si>
    <t>IC-1886</t>
  </si>
  <si>
    <t>Fact#: 351122 Rec#: 32356 JOSE JOAQUIN OLMEDO CASTELLO</t>
  </si>
  <si>
    <t>IC-1885</t>
  </si>
  <si>
    <t>Fact#: 351375 Rec#: 32355 JUAN XAVIER BENEDETI RIPALDA</t>
  </si>
  <si>
    <t>IC-1884</t>
  </si>
  <si>
    <t>Fact#: 351116 Rec#: 32354 MONICA CRIOLLO SALAZAR</t>
  </si>
  <si>
    <t>IC-1883</t>
  </si>
  <si>
    <t>Fact#: 352691 Rec#: 32353 NIEVES RODRIGUEZ JORGE ELIECER</t>
  </si>
  <si>
    <t>IC-1882</t>
  </si>
  <si>
    <t>Fact#: 352023 Rec#: 32352 ESPANA BAJANA STEFANIA ELIZABETH</t>
  </si>
  <si>
    <t>IC-1881</t>
  </si>
  <si>
    <t>Fact#: 351062 Rec#: 32351 ROBERTO MUZZIO NARANJO</t>
  </si>
  <si>
    <t>IC-1880</t>
  </si>
  <si>
    <t>Fact#: 351227 Rec#: 32350 MANRIQUEZ SALAZAR MARIA PAZ</t>
  </si>
  <si>
    <t>IC-1879</t>
  </si>
  <si>
    <t>Fact#: 351224 Rec#: 32349 CARLOS ALBERTO RENDON PALMA</t>
  </si>
  <si>
    <t>IC-1878</t>
  </si>
  <si>
    <t>Fact#: 351243 Rec#: 32348 TERESA DE LA CRUZ TOSCANO BRITO</t>
  </si>
  <si>
    <t>IC-1877</t>
  </si>
  <si>
    <t>Fact#: 352446 Rec#: 32347 ZULVY BEDON LAGOS</t>
  </si>
  <si>
    <t>IC-1876</t>
  </si>
  <si>
    <t>Fact#: 351054 Rec#: 32346 EVA MARIA VINUEZA OCAÑA</t>
  </si>
  <si>
    <t>IC-1875</t>
  </si>
  <si>
    <t>Fact#: 351175 Rec#: 32345 FRANKLIN JOAQUIN  DOMINGUEZ VARGAS</t>
  </si>
  <si>
    <t>IC-1874</t>
  </si>
  <si>
    <t>Fact#: 352210 Rec#: 32344 CANDO REYES JOSE MAURICIO</t>
  </si>
  <si>
    <t>IC-1873</t>
  </si>
  <si>
    <t>Fact#: 351391 Rec#: 32343 GUILLERMO ELOY SERRANO GOMEZ</t>
  </si>
  <si>
    <t>IC-1872</t>
  </si>
  <si>
    <t>Fact#: 351302 Rec#: 32342 GISELLA MARIA YUNES ANDRADE</t>
  </si>
  <si>
    <t>IC-1871</t>
  </si>
  <si>
    <t>Fact#: 351565 Rec#: 32341 FERNANDO XAVIER DROUET CEDEÑO</t>
  </si>
  <si>
    <t>IC-1870</t>
  </si>
  <si>
    <t>Fact#: 351842 Rec#: 32340 GILBERT SILVA CECILIA MARIA</t>
  </si>
  <si>
    <t>IC-1869</t>
  </si>
  <si>
    <t>Fact#: 351312 Rec#: 32339 LUIS EDUARDO SANCHEZ TIMM</t>
  </si>
  <si>
    <t>IC-1868</t>
  </si>
  <si>
    <t>Fact#: 352261 Rec#: 32338 VINUEZA GARCIA EDISON EDUARDO</t>
  </si>
  <si>
    <t>IC-1867</t>
  </si>
  <si>
    <t>Fact#: 351503 Rec#: 32337 CARLOS BENJAMIN ROSALES PINO</t>
  </si>
  <si>
    <t>IC-1866</t>
  </si>
  <si>
    <t>Fact#: 352198 Rec#: 32336 PERALTA BENITEZ ROBERTO ELIAS</t>
  </si>
  <si>
    <t>IC-1865</t>
  </si>
  <si>
    <t>Fact#: 351608 Rec#: 32335 CARLOS ADALBERTO SALAVARRIA PALMA</t>
  </si>
  <si>
    <t>IC-1864</t>
  </si>
  <si>
    <t>Fact#: 351214 Rec#: 32334 ANA LUCRECIA  CABRERA GARCIA</t>
  </si>
  <si>
    <t>IC-1863</t>
  </si>
  <si>
    <t>Fact#: 352312 Rec#: 32333 SUSANA HERMELINDA ANALUISA HARO</t>
  </si>
  <si>
    <t>IC-1862</t>
  </si>
  <si>
    <t>Fact#: 351226 Rec#: 32332 UVIDIA SALTOS  CARLOS BOLIVAR</t>
  </si>
  <si>
    <t>IC-1861</t>
  </si>
  <si>
    <t>Fact#: 350908 Rec#: 32331 CAMPOS VELEZ HENRRY GONZALO</t>
  </si>
  <si>
    <t>IC-1860</t>
  </si>
  <si>
    <t>Fact#: 351655 Rec#: 32330 XAVIER ALFREDO ZANABRIA VILLAMAR</t>
  </si>
  <si>
    <t>IC-1859</t>
  </si>
  <si>
    <t>Fact#: 351155 Rec#: 32329 FERNANDO GABRIEL AVILES USCOCOVICH</t>
  </si>
  <si>
    <t>IC-1858</t>
  </si>
  <si>
    <t>Fact#: 351919 Rec#: 16472 ARROBA VALENCIA  JULIO ZENON</t>
  </si>
  <si>
    <t>IC-1856</t>
  </si>
  <si>
    <t>Fact#: 350965-353292 Rec#: 16471 LOPEZ FLOREZ CARLOS RAFAEL</t>
  </si>
  <si>
    <t>IC-1855</t>
  </si>
  <si>
    <t>Fact#: 352759 Rec#: 16470 GONZALEZ BARRERA ANABEL NATALI</t>
  </si>
  <si>
    <t>IC-1854</t>
  </si>
  <si>
    <t>Fact#: 352367 Rec#: 16469 BORBOR MORENO LUIS ANTONIO</t>
  </si>
  <si>
    <t>IC-1853</t>
  </si>
  <si>
    <t>Fact#: 350128-352375 Rec#: 16468 GUARANDA SALAZAR MILTON JUAN</t>
  </si>
  <si>
    <t>IC-1852</t>
  </si>
  <si>
    <t>Fact#: 339252-342257-345781-348284 Rec#: 16467 CALLE RODRIGO GERARDO DANIEL</t>
  </si>
  <si>
    <t>IC-1851</t>
  </si>
  <si>
    <t>Fact#: 349780-351999 Rec#: 32328 JARAMILLO RIVERA WILLIAN ADOLFO</t>
  </si>
  <si>
    <t>IC-1850</t>
  </si>
  <si>
    <t>Fact#: 352171 Rec#: 16466 PENA MENDOZA JEFFERSON RAFAEL</t>
  </si>
  <si>
    <t>IC-1849</t>
  </si>
  <si>
    <t>Fact#: 353185 Rec#: 16465 R.C.N CONSTRUCIONES S.A</t>
  </si>
  <si>
    <t>IC-1848</t>
  </si>
  <si>
    <t>Fact#: 353184 Rec#: 16464 R.C.N CONSTRUCIONES S.A</t>
  </si>
  <si>
    <t>IC-1847</t>
  </si>
  <si>
    <t>Fact#: 327592-330389-339159-342154-345678-348181 Rec#: 16463 CUEVA VEGA EFREN</t>
  </si>
  <si>
    <t>IC-1846</t>
  </si>
  <si>
    <t>Fact#: 352083 Rec#: 16460 INTRIAGO GANCHOZO ANGELA MERCEDES</t>
  </si>
  <si>
    <t>IC-1843</t>
  </si>
  <si>
    <t>Fact#: 349505-351709 Rec#: 16459 RICHARD ORLANDO CHIQUITO MOLINA</t>
  </si>
  <si>
    <t>IC-1842</t>
  </si>
  <si>
    <t>Fact#: 349212-351399 Rec#: 16458 ADRIANA ALEXANDRA CHIQUITO MOLINA</t>
  </si>
  <si>
    <t>IC-1841</t>
  </si>
  <si>
    <t>Fact#: 350113-352358 Rec#: 16457 AGILA MALDONADO MANUEL HORACIO</t>
  </si>
  <si>
    <t>IC-1840</t>
  </si>
  <si>
    <t>Fact#: 352535 Rec#: 16456 FRANCO BARRAGAN MARLON JULIO</t>
  </si>
  <si>
    <t>IC-1839</t>
  </si>
  <si>
    <t>Fact#: 351233 Rec#: 16455 NELIS MARIA PINARGOTE YEPEZ</t>
  </si>
  <si>
    <t>IC-1838</t>
  </si>
  <si>
    <t>Fact#: 349982-352213 Rec#: 16454 NARANJO CADENA DANIEL FIDEL</t>
  </si>
  <si>
    <t>IC-1837</t>
  </si>
  <si>
    <t>Fact#: 349986-352217 Rec#: 16453 ORELLANA CALDERON JUAN CARLOS</t>
  </si>
  <si>
    <t>IC-1836</t>
  </si>
  <si>
    <t>Fact#: 349723-351943 Rec#: 16452 XIAOBAO WENG</t>
  </si>
  <si>
    <t>IC-1835</t>
  </si>
  <si>
    <t>Fact#: 346915-349385-351583 Rec#: 16451 SILVIA FILOMENA MOLINA BARONA</t>
  </si>
  <si>
    <t>IC-1834</t>
  </si>
  <si>
    <t>Fact#: 348647-350881 Rec#: 16450 CORPALVAH S A</t>
  </si>
  <si>
    <t>IC-1833</t>
  </si>
  <si>
    <t>Fact#: 350956-353284 Rec#: 16449 MERCHAN BALON CHRISTOPHER FERNANDO</t>
  </si>
  <si>
    <t>IC-1832</t>
  </si>
  <si>
    <t>Fact#: 351813 Rec#: 16448 AGUILAR AVILES ANDREA CAROLINA</t>
  </si>
  <si>
    <t>IC-1831</t>
  </si>
  <si>
    <t>Fact#: 349838-352057 Rec#: 16447 CASTILLO PAZMINO ANTHONI AARON</t>
  </si>
  <si>
    <t>IC-1830</t>
  </si>
  <si>
    <t>Fact#: 353259 Rec#: 16446 SOLIS REYES OMAR MICHAEL</t>
  </si>
  <si>
    <t>IC-1829</t>
  </si>
  <si>
    <t>Fact#: 350212-352474 Rec#: 16445 BURGOS GOYA MARLIE  KATHERINE</t>
  </si>
  <si>
    <t>IC-1828</t>
  </si>
  <si>
    <t>Fact#: 352670 Rec#: 16444 CEDENO ANGULO JAIRO RENE</t>
  </si>
  <si>
    <t>IC-1827</t>
  </si>
  <si>
    <t>Fact#: 343266-346294-348744 Rec#: 16443 LOOR ZAMBRANO EDGAR ASDRUBAL</t>
  </si>
  <si>
    <t>IC-1826</t>
  </si>
  <si>
    <t>Fact#: 351491 Rec#: 16442 JAVIER ENRIQUE ARTEAGA MENENDEZ</t>
  </si>
  <si>
    <t>IC-1825</t>
  </si>
  <si>
    <t>Fact#: 352517 Rec#: 32326 GUALAN HIDALGO MARCO ANTONIO</t>
  </si>
  <si>
    <t>IC-1806</t>
  </si>
  <si>
    <t>Fact#: 352516 Rec#: 32325 GUALAN HIDALGO MARCO ANTONIO</t>
  </si>
  <si>
    <t>IC-1805</t>
  </si>
  <si>
    <t>Fact#: 350375-352645 Rec#: 32321 VELASQUEZ SANTANA NESTOR SIGIFREDO</t>
  </si>
  <si>
    <t>IC-1796</t>
  </si>
  <si>
    <t>AMERICAN EXPRESS CANCELACION DEBITO TARJETAS GUAYAQUIL- PAGO DE FACT 351337- 351663- 349468- 351670- 353098- 351790- 353201- 353203- 352053- 352309- 352409- 352512- 353123- 352563- 352631- 352565- 352363- 352507  - 353307  - 352763- 352802  - 352785-</t>
  </si>
  <si>
    <t>NC-2</t>
  </si>
  <si>
    <t>VISA - MASTERCARD - PACIFICARD CANCELACION DEBITO TARJETAS GUAYAQUIL- PAGO DE FACT 352945</t>
  </si>
  <si>
    <t>Fact#: 353245 Rec#: 32324 MARRIOTT S.A</t>
  </si>
  <si>
    <t>IC-1803</t>
  </si>
  <si>
    <t>Fact#: 350652 Rec#: 32323 SOLVESA  ECUADOR S.A</t>
  </si>
  <si>
    <t>IC-1798</t>
  </si>
  <si>
    <t>Fact#: 353154 Rec#: 32322 SINERGIA MARIN SANCHEZ S.A. SINERMASA</t>
  </si>
  <si>
    <t>IC-1797</t>
  </si>
  <si>
    <t>Fact#: 336650-339643-343188-346216 Rec#: 32320 BAJANA DE LA ROSA SANTIAGO EDISON</t>
  </si>
  <si>
    <t>IC-1695</t>
  </si>
  <si>
    <t>Fact#: 346706-349167-351351 Rec#: 32319 JULIO MIGUEL NARANJO FIALLOS</t>
  </si>
  <si>
    <t>IC-1694</t>
  </si>
  <si>
    <t>Fact#: 350743 Rec#: 32318 RECICLA ELECTRONIC RECICLAJES RECICLAELECTRONIC S</t>
  </si>
  <si>
    <t>IC-1693</t>
  </si>
  <si>
    <t>Fact#: 350524-352821 Rec#: 32317 PROANO PIEDRA CHRISTIAN XAVIER</t>
  </si>
  <si>
    <t>IC-1692</t>
  </si>
  <si>
    <t>Fact#: 349688-351908 Rec#: 32316 BAJANA DE LA ROSA SANTIAGO EDISON</t>
  </si>
  <si>
    <t>IC-1691</t>
  </si>
  <si>
    <t>Fact#: 350828 Rec#: 32315 SANCHEZ TIMM RAFAEL ANDRES</t>
  </si>
  <si>
    <t>IC-1690</t>
  </si>
  <si>
    <t>Fact#: 351619 Rec#: 32314 RICARDO ARMANDO COLOMA MOLINA</t>
  </si>
  <si>
    <t>IC-1689</t>
  </si>
  <si>
    <t>Fact#: 348935-351125 Rec#: 32313 VICTOR HUGO PEZO AQUINO</t>
  </si>
  <si>
    <t>IC-1688</t>
  </si>
  <si>
    <t>Fact#: 351772 Rec#: 32312 TENENUELA CEPEDA MARIA MANUELA</t>
  </si>
  <si>
    <t>IC-1687</t>
  </si>
  <si>
    <t>Fact#: 333040-335964-338909-341905-345428-347931 Rec#: 16441 CEBALLOS CASTRILLON CAROLINA</t>
  </si>
  <si>
    <t>IC-1686</t>
  </si>
  <si>
    <t>Fact#: 347076-349552-351759 Rec#: 16440 BARRAGAN QUISHPE PATRICIO XAVIER</t>
  </si>
  <si>
    <t>IC-1685</t>
  </si>
  <si>
    <t>Fact#: 331877-334791-337731-340723-344248 Rec#: 16439 MERO MANTUANO DARWIN IVAN</t>
  </si>
  <si>
    <t>IC-1684</t>
  </si>
  <si>
    <t>Fact#: 349884-352107 Rec#: 16438 ASTUDILLO JARA ISRAEL WILLIAM</t>
  </si>
  <si>
    <t>IC-1683</t>
  </si>
  <si>
    <t>Fact#: 351033-353351 Rec#: 16437 LABORATORIOS TECNO - ALEMANES S.A. LATECNA</t>
  </si>
  <si>
    <t>IC-1682</t>
  </si>
  <si>
    <t>Fact#: 351077 Rec#: 16436 LIDIA JUDITH OJEDA RUIZ</t>
  </si>
  <si>
    <t>IC-1681</t>
  </si>
  <si>
    <t>Fact#: 349556-351764 Rec#: 16435 FREDDY PABLO  ENDARA SAAVEDRA</t>
  </si>
  <si>
    <t>IC-1680</t>
  </si>
  <si>
    <t>Fact#: 350957-353285 Rec#: 16434 LA CASA DEL MEDICO LACASADELMEDICO S.A.</t>
  </si>
  <si>
    <t>IC-1679</t>
  </si>
  <si>
    <t>Fact#: 353174 Rec#: 16433 PACHECO CACERES DENISE ERIKA</t>
  </si>
  <si>
    <t>IC-1678</t>
  </si>
  <si>
    <t>Fact#: 349238-351427 Rec#: 16432 ANGELICA KATTY CALDERON BARRIOS</t>
  </si>
  <si>
    <t>IC-1677</t>
  </si>
  <si>
    <t>Fact#: 350835-353161 Rec#: 16431 COOPERATIVA DE AHORRO Y CREDITO MUSHUK YUYAY-CHIMBORAZO LTDA</t>
  </si>
  <si>
    <t>IC-1676</t>
  </si>
  <si>
    <t>Fact#: 349977-352206 Rec#: 16430 PANCHANA GONZALEZ GLADYS HAIDEE</t>
  </si>
  <si>
    <t>IC-1675</t>
  </si>
  <si>
    <t>Fact#: 348851-351026 Rec#: 16429 LUZURIAGA CAMPOVERDE MILTON JAIRO</t>
  </si>
  <si>
    <t>IC-1674</t>
  </si>
  <si>
    <t>Fact#: 348852-351027 Rec#: 16428 LUZURIAGA CAMPOVERDE MILTON JAIRO</t>
  </si>
  <si>
    <t>IC-1673</t>
  </si>
  <si>
    <t>Fact#: 349849-352070 Rec#: 16427 APOLO QUEZADA IVAN RAMIRO</t>
  </si>
  <si>
    <t>IC-1672</t>
  </si>
  <si>
    <t>Fact#: 333329-336270-339230-342233-345757-348260 Rec#: 16426 RUIZ FLORES ESTANISLAO DEIVY</t>
  </si>
  <si>
    <t>IC-1671</t>
  </si>
  <si>
    <t>Fact#: 352092 Rec#: 16425 YUMBLA MENDIETA MONICA ELIZABETH</t>
  </si>
  <si>
    <t>IC-1670</t>
  </si>
  <si>
    <t>Fact#: 349528-351734 Rec#: 16424 MONCADA MORA WENDY GINA</t>
  </si>
  <si>
    <t>IC-1669</t>
  </si>
  <si>
    <t>Fact#: 347851-350231-352494 Rec#: 16423 BARZOLA ARREAGA IVAN ABEL</t>
  </si>
  <si>
    <t>IC-1668</t>
  </si>
  <si>
    <t>Fact#: 351376 Rec#: 16422 CARLOS IVAN AGUIRRE GARCIA</t>
  </si>
  <si>
    <t>IC-1667</t>
  </si>
  <si>
    <t>Fact#: 350248-352513 Rec#: 16421 AGUAYO SOLORZANO JOEL GEOVANNY</t>
  </si>
  <si>
    <t>IC-1666</t>
  </si>
  <si>
    <t>Fact#: 349338-351535 Rec#: 16420 ERIKA SUGEY ANCHUNDIA ALVARADO</t>
  </si>
  <si>
    <t>IC-1665</t>
  </si>
  <si>
    <t>Fact#: 3445-3633 Rec#: 16419 INTRIAGO ALCIVAR DAISY ADRIANA</t>
  </si>
  <si>
    <t>IC-1664</t>
  </si>
  <si>
    <t>Fact#: 349002-351189 Rec#: 16418 HAYDEE GANDIOSA  FALUGIANI MORA</t>
  </si>
  <si>
    <t>IC-1663</t>
  </si>
  <si>
    <t>Fact#: 352581 Rec#: 16417 LEON GARCIA MARCELA VERONICA</t>
  </si>
  <si>
    <t>IC-1662</t>
  </si>
  <si>
    <t>Fact#: 352010 Rec#: 16416 ROCAFUERTE FIGUEROA DILGLA MARIANELA</t>
  </si>
  <si>
    <t>IC-1661</t>
  </si>
  <si>
    <t>Fact#: 349785-352003 Rec#: 16415 ORTIZ ACOSTA HERNAN GONZALO</t>
  </si>
  <si>
    <t>IC-1660</t>
  </si>
  <si>
    <t>Fact#: 352029 Rec#: 16414 MEDINA BORJA LEONARDO JAVIER</t>
  </si>
  <si>
    <t>IC-1659</t>
  </si>
  <si>
    <t>MACIAS LOPEZ VICENTE ARCADIO CANCELA TELEFONO 3908531 ABONA SGTE FACTURA</t>
  </si>
  <si>
    <t>AT-3217</t>
  </si>
  <si>
    <t>Fact#: 350389-352661 Rec#: 16412 LETTY DEL CISNE DAVILA ROMO</t>
  </si>
  <si>
    <t>IC-2532</t>
  </si>
  <si>
    <t>Fact#: 329024-331862-334775-337715-340707-344232 Rec#: 32310 MARCELA CAROLINA BEDON BEDOYA</t>
  </si>
  <si>
    <t>IC-1633</t>
  </si>
  <si>
    <t>Fact#: 346637-349098-351284 Rec#: 32309 CAROLINA GLORIA BRAVO TOMALA</t>
  </si>
  <si>
    <t>IC-1632</t>
  </si>
  <si>
    <t>Fact#: 352208 Rec#: 32308 VILLON SORIANO DIOSELINA SOLEDAD</t>
  </si>
  <si>
    <t>IC-1631</t>
  </si>
  <si>
    <t>Fact#: 350734 Rec#: 32307 AUTOMERCADO S.A.</t>
  </si>
  <si>
    <t>IC-1630</t>
  </si>
  <si>
    <t>Fact#: 350735 Rec#: 32306 AUTOMERCADO S.A.</t>
  </si>
  <si>
    <t>IC-1629</t>
  </si>
  <si>
    <t>Fact#: 351306 Rec#: 32305 GUILLERMO IGNACIO JORGE BAQUERIZO VASQUEZ</t>
  </si>
  <si>
    <t>IC-1628</t>
  </si>
  <si>
    <t>Fact#: 350746 Rec#: 32304 CAMPOS Y ASOCIADOS CIA LTDA</t>
  </si>
  <si>
    <t>IC-1627</t>
  </si>
  <si>
    <t>Fact#: 351286 Rec#: 32303 GRACIELA GUADALUPE MEREJILDO VERA</t>
  </si>
  <si>
    <t>IC-1626</t>
  </si>
  <si>
    <t>Fact#: 349860-352082 Rec#: 32302 UBILLA MORAN MARIANA JACQUELINE</t>
  </si>
  <si>
    <t>IC-1625</t>
  </si>
  <si>
    <t>Fact#: 351594 Rec#: 32301 MELCHOR MAURICIO VALENCIA PEREZ</t>
  </si>
  <si>
    <t>IC-1624</t>
  </si>
  <si>
    <t>Fact#: 350825 Rec#: 16413 SALTOS RODRIGUEZ ANDREA EDITH</t>
  </si>
  <si>
    <t>IC-1623</t>
  </si>
  <si>
    <t>Fact#: 352447 Rec#: 16411 CASTRO AGUA MARLON JOSE</t>
  </si>
  <si>
    <t>IC-1621</t>
  </si>
  <si>
    <t>Fact#: 350207-352469 Rec#: 16410 LOPEZ HERRERA FRANKLIN RIGOBERTO</t>
  </si>
  <si>
    <t>IC-1620</t>
  </si>
  <si>
    <t>Fact#: 352153 Rec#: 16409 JIMA BRAVO  JOSE FLORENCIO</t>
  </si>
  <si>
    <t>IC-1619</t>
  </si>
  <si>
    <t>Fact#: 350129-352378 Rec#: 16408 ZAVALA TORO CRUZ SISIBEL</t>
  </si>
  <si>
    <t>IC-1618</t>
  </si>
  <si>
    <t>Fact#: 350605-352897 Rec#: 16407 HIDROVO BARREIRO JOSE MIGUEL RUBEN</t>
  </si>
  <si>
    <t>IC-1617</t>
  </si>
  <si>
    <t>Fact#: 349676-351898 Rec#: 16406 VALENCIA VICTOR HUGO</t>
  </si>
  <si>
    <t>IC-1616</t>
  </si>
  <si>
    <t>Fact#: 349139-351323 Rec#: 16405 LISETTE JOHANNA MEZA VEGA</t>
  </si>
  <si>
    <t>IC-1615</t>
  </si>
  <si>
    <t>Fact#: 3685 Rec#: 16404 SALINAS GONZALEZ JAIME PATRICIO</t>
  </si>
  <si>
    <t>IC-1614</t>
  </si>
  <si>
    <t>Fact#: 351748 Rec#: 16403 GONZALEZ MELLA CRISTIAN ALEJANDRO</t>
  </si>
  <si>
    <t>IC-1613</t>
  </si>
  <si>
    <t>Fact#: 346926-349395-351593 Rec#: 16402 MARCO VINICIO GONZALEZ LEDESMA</t>
  </si>
  <si>
    <t>IC-1612</t>
  </si>
  <si>
    <t>Fact#: 346925-349394-351592 Rec#: 16401 MARGARITA MAGALI VILLAMAR AGUAYO</t>
  </si>
  <si>
    <t>IC-1611</t>
  </si>
  <si>
    <t>Fact#: 350008-352241 Rec#: 16400 ORTEGA CHAVEZ JUANA ALEJANDRINA</t>
  </si>
  <si>
    <t>IC-1610</t>
  </si>
  <si>
    <t>Fact#: 352376 Rec#: 16399 GOMEZ VERA NATALY ELIZABETH</t>
  </si>
  <si>
    <t>IC-1609</t>
  </si>
  <si>
    <t>Fact#: 350142-352392 Rec#: 16398 ALZAMORA RAMIREZ PEDRO FAUSTO</t>
  </si>
  <si>
    <t>IC-1608</t>
  </si>
  <si>
    <t>Fact#: 346817-349281-351469 Rec#: 16397 BRYAN JOEL BURGOS GALARZA</t>
  </si>
  <si>
    <t>IC-1607</t>
  </si>
  <si>
    <t>Fact#: 350334-352605 Rec#: 16396 BRIONES BAQUERIZO ALFREDO ROBERTO</t>
  </si>
  <si>
    <t>IC-1606</t>
  </si>
  <si>
    <t>Fact#: 349287-351475 Rec#: 16395 RAQUEL YOLANDA POSADA RAMIREZ</t>
  </si>
  <si>
    <t>IC-1605</t>
  </si>
  <si>
    <t>Fact#: 352013 Rec#: 16394 ROMAN ALVARADO LILIAN ISIDORA</t>
  </si>
  <si>
    <t>IC-1604</t>
  </si>
  <si>
    <t>Fact#: 352240 Rec#: 16393 TENORIO PRECIADO SUSANA MIRELLA</t>
  </si>
  <si>
    <t>IC-1603</t>
  </si>
  <si>
    <t>Fact#: 350617-352907 Rec#: 16392 REINOSO MARISCAL CARLOS BORIS</t>
  </si>
  <si>
    <t>IC-1602</t>
  </si>
  <si>
    <t>Fact#: 350159-352414 Rec#: 16391 MACIAS PENAFIEL KATTY MARIBEL</t>
  </si>
  <si>
    <t>IC-1601</t>
  </si>
  <si>
    <t>Fact#: 347601-350089-352331 Rec#: 16390 BIMBELA HEREDIA AXEL AARON</t>
  </si>
  <si>
    <t>IC-1600</t>
  </si>
  <si>
    <t>Fact#: 351402 Rec#: 16389 PILAR MARYLIN ALCIVAR MORAN</t>
  </si>
  <si>
    <t>IC-1599</t>
  </si>
  <si>
    <t>Fact#: 349339-351536 Rec#: 16388 WILSON ISMAEL MIRANDA POZO</t>
  </si>
  <si>
    <t>IC-1598</t>
  </si>
  <si>
    <t>Fact#: 350800-353129-353177 Rec#: 32300 RITOMI S.A.</t>
  </si>
  <si>
    <t>IC-1568</t>
  </si>
  <si>
    <t>Fact#: 350852 Rec#: 32299 RITOMI S.A.</t>
  </si>
  <si>
    <t>IC-1548</t>
  </si>
  <si>
    <t>Fact#: 350516-352813 Rec#: 32298 IRIGOYEN NEGRON MARIA TERESA</t>
  </si>
  <si>
    <t>IC-1547</t>
  </si>
  <si>
    <t>Fact#: 350583-352877 Rec#: 32296 MURILLO BARAHONA LISSETTE ESTEFANIA</t>
  </si>
  <si>
    <t>IC-1537</t>
  </si>
  <si>
    <t>Fact#: 351973 Rec#: 32311 LOGROÑO REYES VICENTE JAVIER</t>
  </si>
  <si>
    <t>IC-1637</t>
  </si>
  <si>
    <t>Fact#: 317614-320354-323111-325872-328623-331451-334364-337298-340289-343819 Rec#: 32297 JORGE ANDRES TOALA ALVAREZ</t>
  </si>
  <si>
    <t>IC-1546</t>
  </si>
  <si>
    <t>Fact#: 351050 Rec#: 32295 Corporación Nacional de Telecomunicaciones-CNT EP</t>
  </si>
  <si>
    <t>IC-1536</t>
  </si>
  <si>
    <t>Fact#: 351757 Rec#: 32293 IBAÑEZ VASCONES MARIA CECILIA</t>
  </si>
  <si>
    <t>IC-1534</t>
  </si>
  <si>
    <t>Fact#: 320556-323309-326074-328828-331660-334572-337510-340502-344029 Rec#: 32292 VICENTE ANTONIO VITERI GOMEZ</t>
  </si>
  <si>
    <t>IC-1516</t>
  </si>
  <si>
    <t>Fact#: 352263 Rec#: 32291 HERNANDEZ GOMEZ EDDY MAXIMO</t>
  </si>
  <si>
    <t>IC-1515</t>
  </si>
  <si>
    <t>Fact#: 351313 Rec#: 32290 JAIME RICARDO ZUÑIGA RODRIGUEZ</t>
  </si>
  <si>
    <t>IC-1514</t>
  </si>
  <si>
    <t>Fact#: 349881-352104 Rec#: 32289 VALERO CEPEDA IVONNE MARIA</t>
  </si>
  <si>
    <t>IC-1513</t>
  </si>
  <si>
    <t>Fact#: 351963 Rec#: 32288 SOXO QUICHIMBO IVONNE ALEXANDRA</t>
  </si>
  <si>
    <t>IC-1512</t>
  </si>
  <si>
    <t>Fact#: 349576-351786 Rec#: 32287 RUIZ VELEZ LIBIA KARINA</t>
  </si>
  <si>
    <t>IC-1511</t>
  </si>
  <si>
    <t>Fact#: 348933-351124 Rec#: 32286 JAVIER MAURICIO RODRIGO ALBAN</t>
  </si>
  <si>
    <t>IC-1510</t>
  </si>
  <si>
    <t>Fact#: 351784 Rec#: 32285 QUINTO BAZAN JOHNN HENRY</t>
  </si>
  <si>
    <t>IC-1509</t>
  </si>
  <si>
    <t>Fact#: 350403-352675 Rec#: 32284 MAZZINI RIVADENEIRA VALERIE GEOVANNA</t>
  </si>
  <si>
    <t>IC-1508</t>
  </si>
  <si>
    <t>Fact#: 352753 Rec#: 32283 ANDRADE FLORENCIA  EMILIO JOSE</t>
  </si>
  <si>
    <t>IC-1507</t>
  </si>
  <si>
    <t>Fact#: 350388-352659 Rec#: 32282 MARTINEZ PUGA XAVIER ENRRIQUE</t>
  </si>
  <si>
    <t>IC-1506</t>
  </si>
  <si>
    <t>Fact#: 352001 Rec#: 32281 GONZALEZ SANCHEZ CESAR IVAN</t>
  </si>
  <si>
    <t>IC-1505</t>
  </si>
  <si>
    <t>Fact#: 349740-351959 Rec#: 32280 DUENAS RUIZ TERESA EDITH</t>
  </si>
  <si>
    <t>IC-1504</t>
  </si>
  <si>
    <t>Fact#: 351068 Rec#: 32279 SIMON EMILIO BRIONES LOOR</t>
  </si>
  <si>
    <t>IC-1503</t>
  </si>
  <si>
    <t>Fact#: 347107-349584-351794 Rec#: 32278 PERALTA RUA JOSE LUIS</t>
  </si>
  <si>
    <t>IC-1502</t>
  </si>
  <si>
    <t>Fact#: 352423 Rec#: 32277 AMAGUAYA CHUQUI ANGEL DANIEL</t>
  </si>
  <si>
    <t>IC-1501</t>
  </si>
  <si>
    <t>Fact#: 351492 Rec#: 32276 MARIA FERNANDA GONZALEZ MITE</t>
  </si>
  <si>
    <t>IC-1500</t>
  </si>
  <si>
    <t>Fact#: 347950-350291-352561 Rec#: 32275 MENDIETA VILLALVA ROSA MARIA</t>
  </si>
  <si>
    <t>IC-1499</t>
  </si>
  <si>
    <t>Fact#: 351248 Rec#: 16387 ALVARADO PIGUAVE CAROLIN JANET</t>
  </si>
  <si>
    <t>IC-1498</t>
  </si>
  <si>
    <t>Fact#: 349540-351747 Rec#: 16386 YAGUAL GOMEZ JOHAN ALEJANDRO</t>
  </si>
  <si>
    <t>IC-1497</t>
  </si>
  <si>
    <t>Fact#: 352543 Rec#: 16385 MACIAS GRACIA JOHNNY FRANCISCO</t>
  </si>
  <si>
    <t>IC-1496</t>
  </si>
  <si>
    <t>Fact#: 352656 Rec#: 16384 MONTEALEGRE PEDRO JOAQUIN</t>
  </si>
  <si>
    <t>IC-1495</t>
  </si>
  <si>
    <t>Fact#: 352120 Rec#: 16383 CAMPOVERDE AREVALO WILLIAM HERNAN</t>
  </si>
  <si>
    <t>IC-1494</t>
  </si>
  <si>
    <t>Fact#: 352728 Rec#: 16382 VILLAFUERTE PEREZ PETRA MARIA</t>
  </si>
  <si>
    <t>IC-1493</t>
  </si>
  <si>
    <t>Fact#: 351865 Rec#: 16381 CHACHA MOREIRA SINTIA PAOLA</t>
  </si>
  <si>
    <t>IC-1492</t>
  </si>
  <si>
    <t>Fact#: 347706-350146-352397 Rec#: 16380 LEON ANDRADE CRISTIAN ALFREDO</t>
  </si>
  <si>
    <t>IC-1491</t>
  </si>
  <si>
    <t>Fact#: 351681 Rec#: 16379 KATHERINE VIVIANA GUIM SANTILLAN</t>
  </si>
  <si>
    <t>IC-1490</t>
  </si>
  <si>
    <t>Fact#: 351996 Rec#: 16378 PILAY QUINDE ALEXI ANDRES</t>
  </si>
  <si>
    <t>IC-1489</t>
  </si>
  <si>
    <t>Fact#: 351675 Rec#: 16377 ANGELICA MARIA BARCIA SAN MARTIN</t>
  </si>
  <si>
    <t>IC-1488</t>
  </si>
  <si>
    <t>Fact#: 352741 Rec#: 16376 LAINEZ FRANCO MILDRED BETSABE</t>
  </si>
  <si>
    <t>IC-1487</t>
  </si>
  <si>
    <t>Fact#: 347742-350167-352425 Rec#: 16375 LARA MARURI SANDRA ELIZABETH</t>
  </si>
  <si>
    <t>IC-1486</t>
  </si>
  <si>
    <t>Fact#: 352054 Rec#: 16374 ORTEGA CONFORME  JANET AURORA</t>
  </si>
  <si>
    <t>IC-1485</t>
  </si>
  <si>
    <t>Fact#: 334873-337815-340806-344330 Rec#: 16373 CORTEZ ORDOÑEZ GABY GERALDINE</t>
  </si>
  <si>
    <t>IC-1484</t>
  </si>
  <si>
    <t>Fact#: 3462-3649 Rec#: 16372 SILVA REA OLIVO AMADO</t>
  </si>
  <si>
    <t>IC-1483</t>
  </si>
  <si>
    <t>Fact#: 352145 Rec#: 16371 ROMMEL ANTONIO ZAMORA TRIGUERO</t>
  </si>
  <si>
    <t>IC-1482</t>
  </si>
  <si>
    <t>Fact#: 349461-351662 Rec#: 16370 NEISI LORENA CHONG MELGAR</t>
  </si>
  <si>
    <t>IC-1481</t>
  </si>
  <si>
    <t>Fact#: 352391 Rec#: 16369 CHUCA CHANCAY ANDREA BETZABETH</t>
  </si>
  <si>
    <t>IC-1480</t>
  </si>
  <si>
    <t>Fact#: 352154 Rec#: 16368 FERNANDEZ PACHECO DIANA ISABEL</t>
  </si>
  <si>
    <t>IC-1479</t>
  </si>
  <si>
    <t>Fact#: 352055 Rec#: 16367 CHAVEZ ZAMBRANO MARIA DOLORES</t>
  </si>
  <si>
    <t>IC-1478</t>
  </si>
  <si>
    <t>Fact#: 350394-352666 Rec#: 16366 GOMEZ ALCIVAR RUBER GIL</t>
  </si>
  <si>
    <t>IC-1477</t>
  </si>
  <si>
    <t>Fact#: 352521 Rec#: 16365 MERINO MORAN LUIS MIGUEL</t>
  </si>
  <si>
    <t>IC-1476</t>
  </si>
  <si>
    <t>Fact#: 352849 Rec#: 32274 DE SANTIS NEIRA JUAN JAIME CRISTIAN</t>
  </si>
  <si>
    <t>IC-1472</t>
  </si>
  <si>
    <t>Feb/2021</t>
  </si>
  <si>
    <t>SALDO SEGÚN ESTADO DE CUENTA AL 28 DE FEBRERO DEL 2021</t>
  </si>
  <si>
    <t>SALDO SEGÚN LIBRO BANCOS AL 28 DE FEBRERO DEL 2021</t>
  </si>
  <si>
    <t>D</t>
  </si>
  <si>
    <t>VA</t>
  </si>
  <si>
    <t>N/D PACIFICO TRANSFERENCIA CANCELACIÓN DE FACTURA#438 A PABLO BAQUERIZO DAVILA</t>
  </si>
  <si>
    <t>NDL-60</t>
  </si>
  <si>
    <t>N/D PACIFICO TRANSFERENCIA ROLES DE PAGO 2DA QUINCENA MES DE MARZO 2021</t>
  </si>
  <si>
    <t>NDL-58</t>
  </si>
  <si>
    <t>N/D PACIFICO TRANSFERENCIA CANCELACIÓN DE FACTURA#137 BAQUE BAQUE BYRON PAUL Y FACTURA#111 ESTUPIÑAN ANDRADE FRANCISCO JAVIER</t>
  </si>
  <si>
    <t>NDL-54</t>
  </si>
  <si>
    <t>Fact#: 356242 Rec#: 32795 MARIA FERNANDA GONZALEZ MITE</t>
  </si>
  <si>
    <t>IC-4469</t>
  </si>
  <si>
    <t>Fact#: 356548 Rec#: 32794 LOPEZ PALACIOS DANNY CHRISTIAN</t>
  </si>
  <si>
    <t>IC-4468</t>
  </si>
  <si>
    <t>Fact#: 356711 Rec#: 32793 ARIAS SALAZAR KATHERINE JUSETH</t>
  </si>
  <si>
    <t>IC-4467</t>
  </si>
  <si>
    <t>Fact#: 354356-356761 Rec#: 32792 PONCE ANDRADE KERLY KARINA</t>
  </si>
  <si>
    <t>IC-4466</t>
  </si>
  <si>
    <t>Fact#: 355851 Rec#: 32791 FATIMA LEONOR AGUILAR MURILLO</t>
  </si>
  <si>
    <t>IC-4465</t>
  </si>
  <si>
    <t>Fact#: 356355 Rec#: 32790 GALLEGOS ABARCA FILOMENA RUTH</t>
  </si>
  <si>
    <t>IC-4464</t>
  </si>
  <si>
    <t>Fact#: 355826 Rec#: 32789 LOURDES DEL ROCIO CHAVEZ VELEZ</t>
  </si>
  <si>
    <t>IC-4463</t>
  </si>
  <si>
    <t>Fact#: 354423-356827 Rec#: 17229 INTRIAGO GANCHOZO ANGELA MERCEDES</t>
  </si>
  <si>
    <t>IC-4442</t>
  </si>
  <si>
    <t>Fact#: 353463-355894 Rec#: 17228 MARIA GERMANIA ZAMORA RUIZ</t>
  </si>
  <si>
    <t>IC-4441</t>
  </si>
  <si>
    <t>Fact#: 353467-355896 Rec#: 17227 JULIO LUIS ESPARZA  MORAN</t>
  </si>
  <si>
    <t>IC-4440</t>
  </si>
  <si>
    <t>Fact#: 356999 Rec#: 17226 ROSERO MERCADO ELSA KARINA</t>
  </si>
  <si>
    <t>IC-4439</t>
  </si>
  <si>
    <t>Fact#: 354205-356613 Rec#: 17225 CHACHA MOREIRA SINTIA PAOLA</t>
  </si>
  <si>
    <t>IC-4437</t>
  </si>
  <si>
    <t>Fact#: 355066-357458 Rec#: 17224 GONZALES LOJA MARIA FERNANDA</t>
  </si>
  <si>
    <t>IC-4436</t>
  </si>
  <si>
    <t>Fact#: 354448-356852 Rec#: 17223 CAICHE ROMERO GRACE SOFIA</t>
  </si>
  <si>
    <t>IC-4424</t>
  </si>
  <si>
    <t>Fact#: 356780 Rec#: 17222 RIVADENEIRA SACON GRACE ALEXANDRA</t>
  </si>
  <si>
    <t>IC-4413</t>
  </si>
  <si>
    <t>Fact#: 357188 Rec#: 17221 CASTRO AGUA MARLON JOSE</t>
  </si>
  <si>
    <t>IC-4411</t>
  </si>
  <si>
    <t>Fact#: 355724 Rec#: 17220 LOPEZ FLOREZ CARLOS RAFAEL</t>
  </si>
  <si>
    <t>IC-4405</t>
  </si>
  <si>
    <t>Fact#: 357217 Rec#: 17219 AVILES PEREZ ALFONSO</t>
  </si>
  <si>
    <t>IC-4404</t>
  </si>
  <si>
    <t>Fact#: 357103 Rec#: 17218 MARCILLO COBOS DAVID FERNANDO</t>
  </si>
  <si>
    <t>IC-4403</t>
  </si>
  <si>
    <t>Fact#: 354925-357321 Rec#: 17217 LEON GARCIA MARCELA VERONICA</t>
  </si>
  <si>
    <t>IC-4402</t>
  </si>
  <si>
    <t>Fact#: 352385-354725-357124 Rec#: 17216 BHURANI SUMEET</t>
  </si>
  <si>
    <t>IC-4401</t>
  </si>
  <si>
    <t>Fact#: 356140 Rec#: 17215 GINGER LIZBETH GOMEZ CALDERON</t>
  </si>
  <si>
    <t>IC-4400</t>
  </si>
  <si>
    <t>Fact#: 321346-324101-326875-329640-332494-335417-338359-341351-344875 Rec#: 17214 MORENO VIVAR LORENA BEATRIZ</t>
  </si>
  <si>
    <t>IC-4399</t>
  </si>
  <si>
    <t>Fact#: 352735-355085-357477 Rec#: 17213 GUILLEN RENGIFO GLENDA ELIZABETH</t>
  </si>
  <si>
    <t>IC-4398</t>
  </si>
  <si>
    <t>Fact#: 355254-357648 Rec#: 17212 OVIEDO OVIEDO MANUEL ALFREDO</t>
  </si>
  <si>
    <t>IC-4397</t>
  </si>
  <si>
    <t>Fact#: 356157 Rec#: 17211 DENISSE JUDITH FLORES HUERTA</t>
  </si>
  <si>
    <t>IC-4396</t>
  </si>
  <si>
    <t>Fact#: 357503 Rec#: 17210 GONZALEZ BARRERA ANABEL NATALI</t>
  </si>
  <si>
    <t>IC-4395</t>
  </si>
  <si>
    <t>Fact#: 351848-354189-356598 Rec#: 17209 GAVINO LARREATEGUI  JUAN ALFREDO</t>
  </si>
  <si>
    <t>IC-4394</t>
  </si>
  <si>
    <t>Fact#: 4118 Rec#: 17208 ASTUDILLO PIURI DOLORES LUZMILA</t>
  </si>
  <si>
    <t>IC-4393</t>
  </si>
  <si>
    <t>Fact#: 353381 Rec#: 32788 CONSORCIO ECUATORIANO DE TELECOMUNICACIONES S.A. CONECEL</t>
  </si>
  <si>
    <t>IC-4382</t>
  </si>
  <si>
    <t>Fact#: 308341-311070-313782 Rec#: 32787 ROMERO ROMERO JANETT VICTORIA</t>
  </si>
  <si>
    <t>IC-4376</t>
  </si>
  <si>
    <t>Fact#: 356837 Rec#: 32786 PUERO CUERO CARLOS JULIO</t>
  </si>
  <si>
    <t>IC-4374</t>
  </si>
  <si>
    <t>Fact#: 353042-355453-355546 Rec#: 32784 MEGADATOS S.A.</t>
  </si>
  <si>
    <t>IC-4372</t>
  </si>
  <si>
    <t>GASTO BANCARIO PACIFICO #3833713-33800-46254-46377-57283-57402-67774-67880-77667-77776-3903023-03123-11006-11082-19146-19243-27249-27338-35646-35706-54109-54250-64124-64208-73547-73627-81987-82056-89887-89997-4013256-13381-27666-27715-35718-35823-43337-43</t>
  </si>
  <si>
    <t>DR-1242</t>
  </si>
  <si>
    <t>Fact#: 324115-326890-329656-332510-335433 Rec#: 32785 BALLADARES ALVARADO LEONARD ANTHONY</t>
  </si>
  <si>
    <t>IC-4373</t>
  </si>
  <si>
    <t>Fact#: 357482 Rec#: 17207 GANCINO TOAPANTA NAPOLEON ISRAEL</t>
  </si>
  <si>
    <t>IC-4371</t>
  </si>
  <si>
    <t>Fact#: 356740 Rec#: 32783 GONZALEZ SANCHEZ CESAR IVAN</t>
  </si>
  <si>
    <t>IC-4370</t>
  </si>
  <si>
    <t>Fact#: 354121-356530 Rec#: 32782 QUINTO BAZAN JOHNN HENRY</t>
  </si>
  <si>
    <t>IC-4369</t>
  </si>
  <si>
    <t>Fact#: 352306-354646-357049 Rec#: 32781 SALAS PLUAS PAULO ROBERTO</t>
  </si>
  <si>
    <t>IC-4368</t>
  </si>
  <si>
    <t>Fact#: 355855 Rec#: 32780 ARTURO ALFONSO VELASCO TUTIVEN</t>
  </si>
  <si>
    <t>IC-4367</t>
  </si>
  <si>
    <t>Fact#: 356615 Rec#: 32779 HERRERA DIAZ HIALINA AMALIA DE LAS ROSAS</t>
  </si>
  <si>
    <t>IC-4366</t>
  </si>
  <si>
    <t>Fact#: 356868 Rec#: 17206 MOREIRA VELEZ MANUEL ISIDRO</t>
  </si>
  <si>
    <t>IC-4356</t>
  </si>
  <si>
    <t>Fact#: 354046-356456 Rec#: 17205 TANIA PAOLA ILLESCAS PIBAQUE</t>
  </si>
  <si>
    <t>IC-4355</t>
  </si>
  <si>
    <t>Fact#: 353489-355918 Rec#: 17204 GRACIELA ELENA CAMACHO COELLO</t>
  </si>
  <si>
    <t>IC-4354</t>
  </si>
  <si>
    <t>Fact#: 356890 Rec#: 17203 SALAZAR TELLO NICOLAS EDUARDO</t>
  </si>
  <si>
    <t>IC-4353</t>
  </si>
  <si>
    <t>Fact#: 354627-357033 Rec#: 17202 FRANCO GARCIA BYRON NELSON</t>
  </si>
  <si>
    <t>IC-4352</t>
  </si>
  <si>
    <t>Fact#: 353537-355965 Rec#: 17201 MARIA DEL CARMEN VERA VALVERDE</t>
  </si>
  <si>
    <t>IC-4351</t>
  </si>
  <si>
    <t>Fact#: 357134 Rec#: 17200 MORA SANCHEZ DIANA LISSETH</t>
  </si>
  <si>
    <t>IC-4350</t>
  </si>
  <si>
    <t>Fact#: 351638-353969-356383 Rec#: 17199 ALBERTO WILSON CHOEZ FIGUEROA</t>
  </si>
  <si>
    <t>IC-4349</t>
  </si>
  <si>
    <t>Fact#: 357087 Rec#: 17198 RENDON REGALADO MARIANA SOLANGE</t>
  </si>
  <si>
    <t>IC-4348</t>
  </si>
  <si>
    <t>Fact#: 357265 Rec#: 17197 MERINO MORAN LUIS MIGUEL</t>
  </si>
  <si>
    <t>IC-4347</t>
  </si>
  <si>
    <t>Fact#: 356900 Rec#: 17196 JIMA BRAVO  JOSE FLORENCIO</t>
  </si>
  <si>
    <t>IC-4346</t>
  </si>
  <si>
    <t>Fact#: 356812 Rec#: 17195 VILLEGAS BASTIDAS JOSE ALFREDO</t>
  </si>
  <si>
    <t>IC-4345</t>
  </si>
  <si>
    <t>Fact#: 356407 Rec#: 17194 NEISI LORENA CHONG MELGAR</t>
  </si>
  <si>
    <t>IC-4344</t>
  </si>
  <si>
    <t>Fact#: 356354 Rec#: 17193 EDUARDO CAMPOSANO ULLOA</t>
  </si>
  <si>
    <t>IC-4343</t>
  </si>
  <si>
    <t>Fact#: 347930-350278-352546 Rec#: 17192 ZAMBRANO RIVERA EDINSON EDGAR</t>
  </si>
  <si>
    <t>IC-4342</t>
  </si>
  <si>
    <t>Fact#: 354159-356570 Rec#: 17191 ZAMBRANO CASTRO JOSE JAIR</t>
  </si>
  <si>
    <t>IC-4341</t>
  </si>
  <si>
    <t>Fact#: 351398-353726-356148 Rec#: 17190 GLORIA GABRIELA VARGAS ACUÑA</t>
  </si>
  <si>
    <t>IC-4340</t>
  </si>
  <si>
    <t>Fact#: 353657-356081 Rec#: 32778 LUIS ANTONIO CARVAJAL TORAL</t>
  </si>
  <si>
    <t>IC-4307</t>
  </si>
  <si>
    <t>Fact#: 354764-357164 Rec#: 32777 AMAGUAYA CHUQUI ANGEL DANIEL</t>
  </si>
  <si>
    <t>IC-4304</t>
  </si>
  <si>
    <t>Fact#: 356956 Rec#: 32776 VILLON SORIANO DIOSELINA SOLEDAD</t>
  </si>
  <si>
    <t>IC-4303</t>
  </si>
  <si>
    <t>Fact#: 357465 Rec#: 32775 SUESCUM ROMERO  NATHALY VIRINEYA</t>
  </si>
  <si>
    <t>IC-4302</t>
  </si>
  <si>
    <t>Fact#: 357643 Rec#: 32774 INZHIVOTKINA YANA</t>
  </si>
  <si>
    <t>IC-4301</t>
  </si>
  <si>
    <t>Fact#: 353923-356341 Rec#: 32773 MELCHOR MAURICIO VALENCIA PEREZ</t>
  </si>
  <si>
    <t>IC-4300</t>
  </si>
  <si>
    <t>Fact#: 354702-357101 Rec#: 17189 SANCHEZ AGUILAR SORAYA PATRICIA</t>
  </si>
  <si>
    <t>IC-4299</t>
  </si>
  <si>
    <t>Fact#: 357312 Rec#: 17188 BELLO MENDEZ JOSELINE ZORAIDA</t>
  </si>
  <si>
    <t>IC-4298</t>
  </si>
  <si>
    <t>Fact#: 357113 Rec#: 17187 CHANCAY SOLEDISPA VICTOR MANUEL</t>
  </si>
  <si>
    <t>IC-4297</t>
  </si>
  <si>
    <t>Fact#: 354250-356659 Rec#: 17186 PARIAS QUINTERO FRANKLIN ANTONIO</t>
  </si>
  <si>
    <t>IC-4296</t>
  </si>
  <si>
    <t>Fact#: 354273-356682 Rec#: 17185 FREIRE ORTIZ PEDRO PABLO</t>
  </si>
  <si>
    <t>IC-4295</t>
  </si>
  <si>
    <t>Fact#: 355107-357500 Rec#: 17184 CALLE RODRIGO GERARDO DANIEL</t>
  </si>
  <si>
    <t>IC-4294</t>
  </si>
  <si>
    <t>Fact#: 336682-339675-343220-346248-348698 Rec#: 17183 JARRIN LOPEZ VERONICA ELIZABETH</t>
  </si>
  <si>
    <t>IC-4293</t>
  </si>
  <si>
    <t>Fact#: 356935 Rec#: 17182 CRUZ MONTANO CLAUDIA JOHANNA</t>
  </si>
  <si>
    <t>IC-4292</t>
  </si>
  <si>
    <t>Fact#: 4071 Rec#: 17181 TIO ALVAREZ ADRIAN</t>
  </si>
  <si>
    <t>IC-4291</t>
  </si>
  <si>
    <t>Fact#: 354167-356576 Rec#: 17180 DEL VALLE MONTECE SELENA MARIBEL</t>
  </si>
  <si>
    <t>IC-4290</t>
  </si>
  <si>
    <t>Fact#: 353612-356037 Rec#: 17179 JULIO CESAR MONCAYO CRESPIN</t>
  </si>
  <si>
    <t>IC-4289</t>
  </si>
  <si>
    <t>Fact#: 357296 Rec#: 17178 MEDINA FLORES DANIEL FRANCISCO</t>
  </si>
  <si>
    <t>IC-4288</t>
  </si>
  <si>
    <t>Fact#: 352482-354827-357227 Rec#: 17177 PONCE CARRIEL BRENDA LIZETH</t>
  </si>
  <si>
    <t>IC-4287</t>
  </si>
  <si>
    <t>Fact#: 356628 Rec#: 17176 LUQUE RIVAS MARIA ROSA</t>
  </si>
  <si>
    <t>IC-4286</t>
  </si>
  <si>
    <t>Fact#: 356085 Rec#: 17175 MABEL EMMA VALVERDE VULGARIN</t>
  </si>
  <si>
    <t>IC-4285</t>
  </si>
  <si>
    <t>Fact#: 306486-309307-312094 Rec#: 17174 BOLIVAR ROLANDO GUEVARA ANGAMARCA</t>
  </si>
  <si>
    <t>IC-4284</t>
  </si>
  <si>
    <t>Fact#: 356050 Rec#: 17173 MARIA PIEDAD MONTALVAN CAMPOVERDE</t>
  </si>
  <si>
    <t>IC-4283</t>
  </si>
  <si>
    <t>Fact#: 3714-3913-4132 Rec#: 17172 CRUZ CESAR BELISARIO</t>
  </si>
  <si>
    <t>IC-4282</t>
  </si>
  <si>
    <t>Fact#: 357225 Rec#: 17171 BURBANO VARGAS LUIS ALEJANDRO</t>
  </si>
  <si>
    <t>IC-4281</t>
  </si>
  <si>
    <t>Fact#: 354462-356866 Rec#: 17170 AGUIRRE CIRIO RIGOBERTO FRANCISCO</t>
  </si>
  <si>
    <t>IC-4280</t>
  </si>
  <si>
    <t>Fact#: 356311 Rec#: 17169 PEDRO JAVIER BAQUERIZO SUAREZ</t>
  </si>
  <si>
    <t>IC-4279</t>
  </si>
  <si>
    <t>Fact#: 352750-355100-357493 Rec#: 32772 GONZALEZ RODRIGUEZ JUAN SEBASTIAN</t>
  </si>
  <si>
    <t>IC-4258</t>
  </si>
  <si>
    <t>Fact#: 357304 Rec#: 32771 GABINO MIRANDA DAVID EDUARDO</t>
  </si>
  <si>
    <t>IC-4255</t>
  </si>
  <si>
    <t>Fact#: 354095-356505 Rec#: 32768 IBAÑEZ VASCONES MARIA CECILIA</t>
  </si>
  <si>
    <t>IC-4252</t>
  </si>
  <si>
    <t>Fact#: 356062 Rec#: 32767 MARIA CRISTINA LOAIZA BREVI</t>
  </si>
  <si>
    <t>IC-4251</t>
  </si>
  <si>
    <t>Fact#: 357485 Rec#: 32766 CAGUANA VELESACA NORMA ALEXANDRA</t>
  </si>
  <si>
    <t>IC-4250</t>
  </si>
  <si>
    <t>Fact#: 356028-356029 Rec#: 32765 LUIS DANIEL CHIANG GUERRERO</t>
  </si>
  <si>
    <t>IC-4249</t>
  </si>
  <si>
    <t>Fact#: 356896 Rec#: 32764 FALCONI DUEÑAS ELISA MARIA</t>
  </si>
  <si>
    <t>IC-4248</t>
  </si>
  <si>
    <t>Fact#: 351019-353343-355780 Rec#: 32763 UNIPACK S.A.</t>
  </si>
  <si>
    <t>IC-4247</t>
  </si>
  <si>
    <t>Fact#: 357313 Rec#: 32762 ESPINOSA ESPINOZA HUGO STANLEY</t>
  </si>
  <si>
    <t>IC-4246</t>
  </si>
  <si>
    <t>Fact#: 357600 Rec#: 32769 TAMMY CARMEN CAAMAÑO CORNEJO</t>
  </si>
  <si>
    <t>IC-4253</t>
  </si>
  <si>
    <t>Fact#: 356436 Rec#: 17168 BEATRIZ MARIA DEL CARMEN PACHECO BALLESTEROS</t>
  </si>
  <si>
    <t>IC-4236</t>
  </si>
  <si>
    <t>Fact#: 354172-356581 Rec#: 17167 CAJAS BOHORQUEZ FREDDY XAVIER</t>
  </si>
  <si>
    <t>IC-4235</t>
  </si>
  <si>
    <t>Fact#: 357042 Rec#: 17166 FLORES GORDILLO LUIS EDUARDO</t>
  </si>
  <si>
    <t>IC-4234</t>
  </si>
  <si>
    <t>Fact#: 357067 Rec#: 17165 MALDONADO VILLAMAR HUMBERTO MARTIN</t>
  </si>
  <si>
    <t>IC-4233</t>
  </si>
  <si>
    <t>Fact#: 350611-352903 Rec#: 17164 GUARANDA MERCHAN NIEVE GRACIELA</t>
  </si>
  <si>
    <t>IC-4232</t>
  </si>
  <si>
    <t>Fact#: 353665-356089 Rec#: 17163 CARLOS GUILLERMO MUÑOZ GUTIERREZ</t>
  </si>
  <si>
    <t>IC-4231</t>
  </si>
  <si>
    <t>Fact#: 354460-356864 Rec#: 17162 CAMPOVERDE AREVALO WILLIAM HERNAN</t>
  </si>
  <si>
    <t>IC-4230</t>
  </si>
  <si>
    <t>Fact#: 357062 Rec#: 17161 PARRALES CABRERA TEOFILO CELESTINO</t>
  </si>
  <si>
    <t>IC-4229</t>
  </si>
  <si>
    <t>Fact#: 357046 Rec#: 17160 JURADO VELEZ JONNY EUGENIO</t>
  </si>
  <si>
    <t>IC-4228</t>
  </si>
  <si>
    <t>Fact#: 354081-356490 Rec#: 17159 ESTEFANO ATTILIO LANATA GARAICOA</t>
  </si>
  <si>
    <t>IC-4227</t>
  </si>
  <si>
    <t>Fact#: 353767-356189 Rec#: 17158 WILLINGTON HUGO ROSALES MEDINA</t>
  </si>
  <si>
    <t>IC-4226</t>
  </si>
  <si>
    <t>Fact#: 357325 Rec#: 17157 MORAN MOSQUERA JORGE RAMON</t>
  </si>
  <si>
    <t>IC-4225</t>
  </si>
  <si>
    <t>Fact#: 354224-356631 Rec#: 17156 VERA GUZMAN SILVIA AZUCENA</t>
  </si>
  <si>
    <t>IC-4224</t>
  </si>
  <si>
    <t>Fact#: 353963-356378 Rec#: 17155 GALO ENRIQUE ESTUPIÑAN VERA</t>
  </si>
  <si>
    <t>IC-4223</t>
  </si>
  <si>
    <t>Fact#: 351557-353884-356305 Rec#: 17154 FELIX EDUARDO CARRERA CEDEÑO</t>
  </si>
  <si>
    <t>IC-4222</t>
  </si>
  <si>
    <t>Fact#: 347402-349880-352103 Rec#: 17153 VENEGAS ARTEAGA CARLOS ALFREDO</t>
  </si>
  <si>
    <t>IC-4221</t>
  </si>
  <si>
    <t>Fact#: 352550-354893-357288 Rec#: 17152 LAUZO MARISCAL MANUEL DAVID</t>
  </si>
  <si>
    <t>IC-4220</t>
  </si>
  <si>
    <t>Fact#: 351783-354120-356529 Rec#: 17151 PEREZ CASTRO MARIANA DE JESUS</t>
  </si>
  <si>
    <t>IC-4219</t>
  </si>
  <si>
    <t>FERNANDEZ ZAMBRANO ELSA VIOLETA CANCLEA TELEFNO 3900566 ABONA SGTE FACTURA. PAGO WESTERN UNION</t>
  </si>
  <si>
    <t>AT-3255</t>
  </si>
  <si>
    <t>N/C PACIFICO TRANSFERENCIA DEVOLUCION DE DECIMO CUARTO POR IRMA VITERI PERIODO MARZO/2020 A FEB/2021</t>
  </si>
  <si>
    <t>NC-12</t>
  </si>
  <si>
    <t>Fact#: 356601 Rec#: 32761 VARGAS TORRES ZENIA</t>
  </si>
  <si>
    <t>IC-4210</t>
  </si>
  <si>
    <t>Fact#: 355573 Rec#: 32760 SANCHEZ TIMM RAFAEL ANDRES</t>
  </si>
  <si>
    <t>IC-4209</t>
  </si>
  <si>
    <t>Fact#: 355549 Rec#: 32759 FINANCORE NET SERVICIOS TRANSACIONALES FINANCIEROS FICONET S.A.</t>
  </si>
  <si>
    <t>IC-4208</t>
  </si>
  <si>
    <t>Fact#: 356074 Rec#: 32758 MANUEL ISIDRO RICAURTE GARCES</t>
  </si>
  <si>
    <t>IC-4207</t>
  </si>
  <si>
    <t>Fact#: 354811-357210 Rec#: 32757 BUSTAMANTE TORRES CAMILO EDUARDO</t>
  </si>
  <si>
    <t>IC-4206</t>
  </si>
  <si>
    <t>Fact#: 357466 Rec#: 32756 DUQUE ESTEVEZ MIRKA</t>
  </si>
  <si>
    <t>IC-4205</t>
  </si>
  <si>
    <t>Fact#: 357382 Rec#: 32755 CHACON CALDERON SARITA MARIA DE LOS ANGEL</t>
  </si>
  <si>
    <t>IC-4204</t>
  </si>
  <si>
    <t>Fact#: 356824 Rec#: 17150 MAYEZA REGALADO JIMMY HARRY</t>
  </si>
  <si>
    <t>IC-4203</t>
  </si>
  <si>
    <t>Fact#: 353456-355886 Rec#: 17149 MARTHA ROCIO  TRIVIÑO GRIJALVA</t>
  </si>
  <si>
    <t>IC-4202</t>
  </si>
  <si>
    <t>Fact#: 355042-357435 Rec#: 17148 MENDEZ LAINEZ RUTH ELIZABETH</t>
  </si>
  <si>
    <t>IC-4201</t>
  </si>
  <si>
    <t>Fact#: 356603 Rec#: 17147 CEVALLOS PLUAS JULIT LORENA</t>
  </si>
  <si>
    <t>IC-4200</t>
  </si>
  <si>
    <t>Fact#: 356067 Rec#: 17146 CESAR AUGUSTO BAQUERIZO AROSEMENA</t>
  </si>
  <si>
    <t>IC-4199</t>
  </si>
  <si>
    <t>Fact#: 355971 Rec#: 17145 ANGELA MARIA ANA  FERAUD MANSSUR</t>
  </si>
  <si>
    <t>IC-4198</t>
  </si>
  <si>
    <t>Fact#: 351532-353859-356280 Rec#: 17144 DELFIN NESTOR CALDERON GARCIA</t>
  </si>
  <si>
    <t>IC-4197</t>
  </si>
  <si>
    <t>Fact#: 352765-355116-357509 Rec#: 17143 MORA MORA MARIA DE LOURDES</t>
  </si>
  <si>
    <t>IC-4196</t>
  </si>
  <si>
    <t>Fact#: 356704 Rec#: 17142 VASQUEZ DORA JUAN JOSE</t>
  </si>
  <si>
    <t>IC-4195</t>
  </si>
  <si>
    <t>Fact#: 355391 Rec#: 17141 ASOCIACION DE PROPIETARIOS VALLE ALTO ETAPA PARIS</t>
  </si>
  <si>
    <t>IC-4194</t>
  </si>
  <si>
    <t>Fact#: 354822-357222 Rec#: 17140 PERALTA RODRIGUEZ MARLON SANTIAGO</t>
  </si>
  <si>
    <t>IC-4193</t>
  </si>
  <si>
    <t>Fact#: 4080 Rec#: 17139 VELEZ CHAVARRIA FRANCISCA MARIA</t>
  </si>
  <si>
    <t>IC-4192</t>
  </si>
  <si>
    <t>Fact#: 356989 Rec#: 17138 ROBALINO VALENCIA  SPARTA SUSANA</t>
  </si>
  <si>
    <t>IC-4191</t>
  </si>
  <si>
    <t>Fact#: 356875 Rec#: 17137 YUNEZ PARRA JOSE MIGUEL</t>
  </si>
  <si>
    <t>IC-4190</t>
  </si>
  <si>
    <t>Fact#: 356878 Rec#: 17136 YUNEZ PARRA JOSE MIGUEL</t>
  </si>
  <si>
    <t>IC-4189</t>
  </si>
  <si>
    <t>Fact#: 356506 Rec#: 17135 MINO DOYLET YOLANDA ABIGAIL</t>
  </si>
  <si>
    <t>IC-4188</t>
  </si>
  <si>
    <t>Fact#: 357504 Rec#: 17134 SORIA LAMAN HARRY SUN</t>
  </si>
  <si>
    <t>IC-4187</t>
  </si>
  <si>
    <t>Fact#: 351508-353835-356257 Rec#: 17133 NILO JUSTINO GUERRERO INDIO</t>
  </si>
  <si>
    <t>IC-4186</t>
  </si>
  <si>
    <t>Fact#: 355525 Rec#: 17132 ALLINPUBLICIDAD&amp;MARKETING S A</t>
  </si>
  <si>
    <t>IC-4185</t>
  </si>
  <si>
    <t>Fact#: 354579-356985 Rec#: 17131 TENORIO PRECIADO SUSANA MIRELLA</t>
  </si>
  <si>
    <t>IC-4184</t>
  </si>
  <si>
    <t>Fact#: 347870-350245-352510 Rec#: 17130 MACIAS MIRANDA DELIA ADRIANA</t>
  </si>
  <si>
    <t>IC-4183</t>
  </si>
  <si>
    <t>Fact#: 352714-355065-357457 Rec#: 17129 ALVARADO CALDERON LUIS ENRIQUE</t>
  </si>
  <si>
    <t>IC-4182</t>
  </si>
  <si>
    <t>Fact#: 349915-352141-354482 Rec#: 17128 MONTESDEOCA ZAMBRANO SILVIA MARIA</t>
  </si>
  <si>
    <t>IC-4181</t>
  </si>
  <si>
    <t>Fact#: 347432-349913-352139 Rec#: 17127 MONTESDEOCA ZAMBRANO SILVIA MARIA</t>
  </si>
  <si>
    <t>IC-4180</t>
  </si>
  <si>
    <t>Fact#: 353653-356077 Rec#: 17126 JIMMY LEANDRO MERCHAN JALCA</t>
  </si>
  <si>
    <t>IC-4179</t>
  </si>
  <si>
    <t>Fact#: 356636 Rec#: 17125 TOMALA SANCAN JORGE LUIS</t>
  </si>
  <si>
    <t>IC-4178</t>
  </si>
  <si>
    <t>Fact#: 356480 Rec#: 17124 TOMALA SANCAN JORGE LUIS</t>
  </si>
  <si>
    <t>IC-4177</t>
  </si>
  <si>
    <t>Fact#: 350432-352707-355056 Rec#: 17123 PANTA GARZON MARCOS STALYN</t>
  </si>
  <si>
    <t>IC-4176</t>
  </si>
  <si>
    <t>Fact#: 355010-357403 Rec#: 17122 GOMEZ ALCIVAR RUBER GIL</t>
  </si>
  <si>
    <t>IC-4175</t>
  </si>
  <si>
    <t>Fact#: 355975 Rec#: 32754 SILVIA XIMENA CHAVEZ CABRERA</t>
  </si>
  <si>
    <t>IC-4171</t>
  </si>
  <si>
    <t>Fact#: 354991-357385 Rec#: 32753 VELASQUEZ SANTANA NESTOR SIGIFREDO</t>
  </si>
  <si>
    <t>IC-4164</t>
  </si>
  <si>
    <t>Fact#: 355022-357415 Rec#: 32752 BOWEN FLORES WALTER EDISON</t>
  </si>
  <si>
    <t>IC-4146</t>
  </si>
  <si>
    <t>Fact#: 351374-353705-356126 Rec#: 32751 GIOMAR PAOLA CHOEZ CATUTO</t>
  </si>
  <si>
    <t>IC-4145</t>
  </si>
  <si>
    <t>Fact#: 356521 Rec#: 32750 ORTIZ CARRILLO ROBERTO JAVIER</t>
  </si>
  <si>
    <t>IC-4144</t>
  </si>
  <si>
    <t>Fact#: 354414-356818 Rec#: 32749 MANRIQUE OSORIO XAVIER ENRIQUE</t>
  </si>
  <si>
    <t>IC-4134</t>
  </si>
  <si>
    <t>Fact#: 357001 Rec#: 32748 GUERRERO RENDON VICTORIA EDITA</t>
  </si>
  <si>
    <t>IC-4133</t>
  </si>
  <si>
    <t>Fact#: 352190-354533-356938 Rec#: 32747 MERA ESPINOZA LEONEL ANTONIO</t>
  </si>
  <si>
    <t>IC-4132</t>
  </si>
  <si>
    <t>Fact#: 356939 Rec#: 32746 MERA ESPINOZA LEONEL ANTONIO</t>
  </si>
  <si>
    <t>IC-4131</t>
  </si>
  <si>
    <t>Fact#: 356319 Rec#: 32745 AIMARA RODRIGUEZ FERNANDEZ</t>
  </si>
  <si>
    <t>IC-4130</t>
  </si>
  <si>
    <t>Fact#: 355986 Rec#: 32744 ARMANDO ROBERTO  YAGUAL BRITO</t>
  </si>
  <si>
    <t>IC-4129</t>
  </si>
  <si>
    <t>Fact#: 356826 Rec#: 32743 UBILLA MORAN MARIANA JACQUELINE</t>
  </si>
  <si>
    <t>IC-4128</t>
  </si>
  <si>
    <t>Fact#: 351718-354053-356463 Rec#: 32742 JORGE ALBERTO NORERO SANTOS</t>
  </si>
  <si>
    <t>IC-4127</t>
  </si>
  <si>
    <t>Fact#: 355521 Rec#: 32741 SERVICITY C A</t>
  </si>
  <si>
    <t>IC-4126</t>
  </si>
  <si>
    <t>Fact#: 355635 Rec#: 32740 ASISTMED ASISTENCIA A MEDICOS S.A.</t>
  </si>
  <si>
    <t>IC-4125</t>
  </si>
  <si>
    <t>Fact#: 353527-355955 Rec#: 32739 TANNIA ELIZABETH  CARRERA CALDERON</t>
  </si>
  <si>
    <t>IC-4124</t>
  </si>
  <si>
    <t>Fact#: 355845 Rec#: 32738 NERY LILIANA OCHOA BAQUE</t>
  </si>
  <si>
    <t>IC-4123</t>
  </si>
  <si>
    <t>Fact#: 353879-356300 Rec#: 17121 JORJY JIMY RIVERA MONTIEL</t>
  </si>
  <si>
    <t>IC-4119</t>
  </si>
  <si>
    <t>Fact#: 354838-357238 Rec#: 17120 VELEZ LOZANO HECTOR EDUARDO</t>
  </si>
  <si>
    <t>IC-4118</t>
  </si>
  <si>
    <t>Fact#: 356551 Rec#: 17119 VASQUEZ AYALA MARIA DE LOURDES</t>
  </si>
  <si>
    <t>IC-4117</t>
  </si>
  <si>
    <t>Fact#: 349762-351980-354314 Rec#: 17118 ALEMAN SEGARRA SHIRLEY ELIZABETH</t>
  </si>
  <si>
    <t>IC-4116</t>
  </si>
  <si>
    <t>Fact#: 352444-354786-357185 Rec#: 17117 VERDUGA CANARTE ANTONIO ZABULON</t>
  </si>
  <si>
    <t>IC-4115</t>
  </si>
  <si>
    <t>Fact#: 355946 Rec#: 17116 LAURA BEATRIZ  ENCALADA ESPINOZA</t>
  </si>
  <si>
    <t>IC-4114</t>
  </si>
  <si>
    <t>Fact#: 354372-356777 Rec#: 17115 VELASQUEZ POLIT NINA NATASHA</t>
  </si>
  <si>
    <t>IC-4113</t>
  </si>
  <si>
    <t>Fact#: 354123-356532 Rec#: 17114 JOHN FRANCISCO IZQUIERDO ZAVALA</t>
  </si>
  <si>
    <t>IC-4112</t>
  </si>
  <si>
    <t>Fact#: 351653-353984-356398 Rec#: 17113 CARLOS ENRIQUE PAZ FIALLOS</t>
  </si>
  <si>
    <t>IC-4111</t>
  </si>
  <si>
    <t>Fact#: 353646-356070 Rec#: 17112 MARIA ELENA MORA LUZCANDO</t>
  </si>
  <si>
    <t>IC-4110</t>
  </si>
  <si>
    <t>Fact#: 355923 Rec#: 17111 CAROLA MISHEL ABISAAB MEDINA</t>
  </si>
  <si>
    <t>IC-4109</t>
  </si>
  <si>
    <t>Fact#: 354029-356441 Rec#: 17110 ESMERALDA MARITZA ALVARADO SEGURA</t>
  </si>
  <si>
    <t>IC-4108</t>
  </si>
  <si>
    <t>Fact#: 354291-356699 Rec#: 17109 GOMEZ HIDALGO LUIS EDUARDO</t>
  </si>
  <si>
    <t>IC-4107</t>
  </si>
  <si>
    <t>Fact#: 355690 Rec#: 17108 ALVARADO BASURTO SEGUNDO GABRIEL</t>
  </si>
  <si>
    <t>IC-4106</t>
  </si>
  <si>
    <t>Fact#: 353951-356366 Rec#: 17107 LUIS ENRIQUE COLOMBO MALTA</t>
  </si>
  <si>
    <t>IC-4105</t>
  </si>
  <si>
    <t>Fact#: 357004 Rec#: 17106 FERNANDEZ ZAMBRANO ELSA VIOLETA</t>
  </si>
  <si>
    <t>IC-4104</t>
  </si>
  <si>
    <t>Fact#: 352407-354746-357146 Rec#: 17105 MERINO GONZALEZ KELLY JESSENIA</t>
  </si>
  <si>
    <t>IC-4103</t>
  </si>
  <si>
    <t>Fact#: 352630-354975-357371 Rec#: 17104 MARTINEZ LOOR LOURDES ELIZABETH</t>
  </si>
  <si>
    <t>IC-4102</t>
  </si>
  <si>
    <t>Fact#: 356244 Rec#: 32737 ENRIQUE FEDERICO ARENAS PILATAXI</t>
  </si>
  <si>
    <t>IC-4101</t>
  </si>
  <si>
    <t>Fact#: 352628-354972 Rec#: 32736 JUMBO NARANJO LORENA DE LOURDES</t>
  </si>
  <si>
    <t>IC-4100</t>
  </si>
  <si>
    <t>Fact#: 355223 Rec#: 32735 AGUILAR TOLEDO MARCELA ALEJANDRA</t>
  </si>
  <si>
    <t>IC-4069</t>
  </si>
  <si>
    <t>Fact#: 354480-356885 Rec#: 32733 PALADINES RODRIGUEZ VICTOR EMILIO</t>
  </si>
  <si>
    <t>IC-4067</t>
  </si>
  <si>
    <t>Fact#: 351714-354048 Rec#: 32732 WENDY LORENA QUIMIS CHOEZ</t>
  </si>
  <si>
    <t>IC-4066</t>
  </si>
  <si>
    <t>Fact#: 355906 Rec#: 32731 LOURDES JANET BRITO GUILLEN</t>
  </si>
  <si>
    <t>IC-4061</t>
  </si>
  <si>
    <t>Fact#: 355030-357423 Rec#: 32730 ARMIJOS SALAZAR ANA ISABEL</t>
  </si>
  <si>
    <t>IC-4060</t>
  </si>
  <si>
    <t>Fact#: 356322 Rec#: 32729 CATHERINE NICOLE RUGEL CARRERA</t>
  </si>
  <si>
    <t>IC-4059</t>
  </si>
  <si>
    <t>Fact#: 351597-353926-356344 Rec#: 32728 EDWIN ANDRES REYES TOALA</t>
  </si>
  <si>
    <t>IC-4058</t>
  </si>
  <si>
    <t>Fact#: 323343-326108-328862-331696-334609-337547-340539-344065 Rec#: 17103 ANDREA DEL PILAR LOOR SUAREZ</t>
  </si>
  <si>
    <t>IC-4048</t>
  </si>
  <si>
    <t>Fact#: 350000-352232-354572 Rec#: 17102 CONSTANTE GARCIA VICKY POALA</t>
  </si>
  <si>
    <t>IC-4047</t>
  </si>
  <si>
    <t>VISA - MASTERCARD - PACIFICARD CANCELACION FACT DEL CLIENTE SILVA VANEGAS CESAR MARCOS, FACT # 3734 - 3932 POR DEP EN CTA #DOC 0517</t>
  </si>
  <si>
    <t>NC-11</t>
  </si>
  <si>
    <t>Fact#: 352628 Rec#: 32727 JUMBO NARANJO LORENA DE LOURDES</t>
  </si>
  <si>
    <t>IC-4057</t>
  </si>
  <si>
    <t>Fact#: 310006-312766-315440 Rec#: 17101 CORONEL REYES KARINA ELIZABETH</t>
  </si>
  <si>
    <t>IC-4033</t>
  </si>
  <si>
    <t>Fact#: 300043-302608 Rec#: 17100 CORONEL REYES KARINA ELIZABETH</t>
  </si>
  <si>
    <t>IC-4032</t>
  </si>
  <si>
    <t>Fact#: 350367-352638-354983 Rec#: 17099 LOPEZ MURILLO JOSE ANTONIO</t>
  </si>
  <si>
    <t>IC-4031</t>
  </si>
  <si>
    <t>Fact#: 351161-353491 Rec#: 32725 CHRISTIAN ARTHUR KONANZ SCHOTEL</t>
  </si>
  <si>
    <t>IC-4030</t>
  </si>
  <si>
    <t>Fact#: 355413 Rec#: 32724 DVT DEL ECUADOR S.A</t>
  </si>
  <si>
    <t>IC-4020</t>
  </si>
  <si>
    <t>AGUILAR BALSECA FANNY TERESA ABONA SGTE FACTURA, BCO PACIFICO POR TRANSFERENCIA #DOC 1641</t>
  </si>
  <si>
    <t>AT-3254</t>
  </si>
  <si>
    <t>Fact#: 348943-351133-353464 Rec#: 32723 MARIA GABRIELA TERAN SEVILLA</t>
  </si>
  <si>
    <t>IC-4015</t>
  </si>
  <si>
    <t>Fact#: 352048-354385 Rec#: 32722 PINCAY SILVA FERNANDO RAFAEL</t>
  </si>
  <si>
    <t>IC-4014</t>
  </si>
  <si>
    <t>Fact#: 353411 Rec#: 32721 GIOVANNY NARVAEZ PORTILLA</t>
  </si>
  <si>
    <t>IC-4013</t>
  </si>
  <si>
    <t>Fact#: 354519 Rec#: 32720 CEVALLOS ORVEN AMADITA</t>
  </si>
  <si>
    <t>IC-4012</t>
  </si>
  <si>
    <t>Fact#: 347030-349503-351706 Rec#: 17098 NEY AQUILES APOLINARIO RODRIGUEZ</t>
  </si>
  <si>
    <t>IC-4011</t>
  </si>
  <si>
    <t>Fact#: 327053-329821-332677-335602-338545-341537-345061 Rec#: 17097 ORELLANA VARGAS RAUL ALBINO</t>
  </si>
  <si>
    <t>IC-4010</t>
  </si>
  <si>
    <t>Fact#: 312400-315090-317779 Rec#: 17096 LUIS JOSE VELASCO GONZALEZ</t>
  </si>
  <si>
    <t>IC-4009</t>
  </si>
  <si>
    <t>Fact#: 349209-351395-353723 Rec#: 17095 FAUSTO HENRY ZAMBRANO VERA</t>
  </si>
  <si>
    <t>IC-4008</t>
  </si>
  <si>
    <t>Fact#: 341641-345165-347665 Rec#: 17094 ACOSTA SALTOS KEVIN JOSEPH</t>
  </si>
  <si>
    <t>IC-4007</t>
  </si>
  <si>
    <t>Fact#: 353438 Rec#: 32719 SERGIO ANDRES SEMMINARIO VALENZUELA</t>
  </si>
  <si>
    <t>IC-3998</t>
  </si>
  <si>
    <t>Fact#: 355577 Rec#: 32718 DATA TOOLS S.A.</t>
  </si>
  <si>
    <t>IC-3997</t>
  </si>
  <si>
    <t>Fact#: 351031-353349 Rec#: 32717 NEIRA FERNANDEZ CHRISTIAN JAVIER</t>
  </si>
  <si>
    <t>IC-3983</t>
  </si>
  <si>
    <t>Fact#: 3869 Rec#: 32716 ZAPATA FLORES GILMAR FABRICIO</t>
  </si>
  <si>
    <t>IC-3982</t>
  </si>
  <si>
    <t>Fact#: 3519-3706-3904 Rec#: 17093 IZA PUMASUNTA JOSSELYN LIZBETH</t>
  </si>
  <si>
    <t>IC-3967</t>
  </si>
  <si>
    <t>Fact#: 354055-355082 Rec#: 32715 ANGEL ROGELIO PUMA MEDINA</t>
  </si>
  <si>
    <t>IC-3976</t>
  </si>
  <si>
    <t>Fact#: 352159-354501 Rec#: 17092 MORENO OVIEDO LUIS ITALO</t>
  </si>
  <si>
    <t>IC-3966</t>
  </si>
  <si>
    <t>Fact#: 351529-353856 Rec#: 17091 SEGUNDO ELEUTERIO OROVIO COROZO</t>
  </si>
  <si>
    <t>IC-3965</t>
  </si>
  <si>
    <t>Fact#: 352640-354985 Rec#: 17090 VERA DEL PEZO DOLORES VICTORIA</t>
  </si>
  <si>
    <t>IC-3964</t>
  </si>
  <si>
    <t>Fact#: 352461-354805 Rec#: 17089 MEDINA MORA IVAN ALEXANDER</t>
  </si>
  <si>
    <t>IC-3963</t>
  </si>
  <si>
    <t>Fact#: 354382 Rec#: 17088 GUTIERREZ HERNANDEZ RICARDO ALBERTO</t>
  </si>
  <si>
    <t>IC-3962</t>
  </si>
  <si>
    <t>Fact#: 354580 Rec#: 17087 ORTEGA CHAVEZ JUANA ALEJANDRINA</t>
  </si>
  <si>
    <t>IC-3961</t>
  </si>
  <si>
    <t>Fact#: 3669-3867 Rec#: 17086 CORONEL CARRION DOLY ALBERTINA DE LOURDES</t>
  </si>
  <si>
    <t>IC-3960</t>
  </si>
  <si>
    <t>Fact#: 351887-354225 Rec#: 17085 RUIZ ZAMBRANO JUAN MANUEL</t>
  </si>
  <si>
    <t>IC-3959</t>
  </si>
  <si>
    <t>N/D PACIFICO TRANSFERENCIA CANCELACIÓN DE FACTURA#28323862 CNEL EP</t>
  </si>
  <si>
    <t>N/D PACIFICO TRANSFERENCIA CANCELACIÓN DE FACTURA#28260862 CNEL EP</t>
  </si>
  <si>
    <t>N/D PACIFICO TRANSFERENCIA CANCELACION DE FACTURA CNEL EP, PORTAL AL SO, CTV.</t>
  </si>
  <si>
    <t>N/D PACIFICO TRANSFERENCIA CANCELACION DE FACTURA#28323455 CNEL EP</t>
  </si>
  <si>
    <t>N/D PACIFICO TRANSFERENCIA CANCELACIÓN DE FACTURA#28303968 CNEL EP</t>
  </si>
  <si>
    <t>N/D PACIFICO TRANSFERENCIA CANCELACIÓN DE FACTURA#28360199 CNEL EP</t>
  </si>
  <si>
    <t>N/D PACIFICO TRANSFERENCIA REEMBOLSO A MANUEL MERELO POR MOVILIZACIÓN, DIA DE LA MUJER DIFERENCIA DE VALOR FACTURA#52 AFLOREMIO, PAGO SEGURO FACTURAS#6541 Y #7087 Y PENDRIVE</t>
  </si>
  <si>
    <t>Fact#: 355562 Rec#: 32871 CIPORT &amp; TECNAC CIPTE C.L</t>
  </si>
  <si>
    <t>IC-4878</t>
  </si>
  <si>
    <t>Fact#: 355406 Rec#: 32714 LAUDE S.A. LAUDESA ADMINISTRADORA DE FONDOS Y FIDEICOMISOS</t>
  </si>
  <si>
    <t>IC-3969</t>
  </si>
  <si>
    <t>Fact#: 354270 Rec#: 32713 LOZANO OTERO RICARDO REIMONDI LOZANO OTERO</t>
  </si>
  <si>
    <t>IC-3968</t>
  </si>
  <si>
    <t>Fact#: 350599-352892 Rec#: 17084 SOLIS CHUTO RAUL XAVIER</t>
  </si>
  <si>
    <t>IC-3958</t>
  </si>
  <si>
    <t>Fact#: 355500 Rec#: 17083 LABORATORIOS RENALABSA S A</t>
  </si>
  <si>
    <t>IC-3957</t>
  </si>
  <si>
    <t>Fact#: 334781-337721-340713-344238-348406-349524-351731-354068 Rec#: 17082 BILLY JOHN LARA FRANCO</t>
  </si>
  <si>
    <t>IC-3956</t>
  </si>
  <si>
    <t>Fact#: 339122-342117-345641-348144 Rec#: 17081 REYES QUIJIJE ALEXI EDUARDO</t>
  </si>
  <si>
    <t>IC-3955</t>
  </si>
  <si>
    <t>Fact#: 355304 Rec#: 17080 HOLGUIN ESPINOZA TOMAS</t>
  </si>
  <si>
    <t>IC-3954</t>
  </si>
  <si>
    <t>Fact#: 352539-354882 Rec#: 17079 MARIN RIVERA FREDDY OMAR</t>
  </si>
  <si>
    <t>IC-3953</t>
  </si>
  <si>
    <t>Fact#: 353891 Rec#: 17078 PEDRO JAVIER BAQUERIZO SUAREZ</t>
  </si>
  <si>
    <t>IC-3952</t>
  </si>
  <si>
    <t>Fact#: 332051-334965-337907-340898-344424 Rec#: 17077 CHESME BONILLA NATIVIDAD ELIZABETH</t>
  </si>
  <si>
    <t>IC-3951</t>
  </si>
  <si>
    <t>Fact#: 353526 Rec#: 17076 NELLY YOLANDA  SALCEDO BOWEN</t>
  </si>
  <si>
    <t>IC-3950</t>
  </si>
  <si>
    <t>Fact#: 354263 Rec#: 17075 RAMIREZ RUIZ MILTON EMILIO</t>
  </si>
  <si>
    <t>IC-3949</t>
  </si>
  <si>
    <t>Fact#: 353792 Rec#: 17074 CARLOS WELLINGTON CHOEZ VERA</t>
  </si>
  <si>
    <t>IC-3948</t>
  </si>
  <si>
    <t>Fact#: 354332 Rec#: 17073 VALLEJO MARTINEZ LEIDIZ DIANA</t>
  </si>
  <si>
    <t>IC-3947</t>
  </si>
  <si>
    <t>Fact#: 353438 Rec#: 32712 SERGIO ANDRES SEMMINARIO VALENZUELA</t>
  </si>
  <si>
    <t>IC-3941</t>
  </si>
  <si>
    <t>SILVA REA OLIVO AMADO CANCELA TELEFONO 023923080 ABONA SGTE FACTURA, PAGO WESTERN UNION</t>
  </si>
  <si>
    <t>AT-3251</t>
  </si>
  <si>
    <t>PAGO TARJ. CORP. CUOTA MES DE MAR-2021</t>
  </si>
  <si>
    <t>NDL-61</t>
  </si>
  <si>
    <t>Fact#: 353561 Rec#: 32711 VINUEZA GALLARDO CARLOS ENRIQUE</t>
  </si>
  <si>
    <t>IC-3935</t>
  </si>
  <si>
    <t>Fact#: 353444 Rec#: 32710 NORMA ELISA YEPEZ JIMENEZ</t>
  </si>
  <si>
    <t>IC-3934</t>
  </si>
  <si>
    <t>Fact#: 353476 Rec#: 32709 BENILDA JESUS ACOSTA ZAMBRANO</t>
  </si>
  <si>
    <t>IC-3933</t>
  </si>
  <si>
    <t>Fact#: 354952 Rec#: 32708 SANCHEZ MEDINA FELIX</t>
  </si>
  <si>
    <t>IC-3932</t>
  </si>
  <si>
    <t>Fact#: 322550-325307-328065-330872-333764-336707-339700-343245-346273-348723 Rec#: 17072 HIDALGO VEGA MARIUXI ELIZABETH</t>
  </si>
  <si>
    <t>IC-3931</t>
  </si>
  <si>
    <t>Fact#: 353487 Rec#: 17071 VICENTE GABRIEL VINUEZA MERINO</t>
  </si>
  <si>
    <t>IC-3930</t>
  </si>
  <si>
    <t>Fact#: 352920-355278 Rec#: 17070 PACHECO SOLEDISPA BORIS ALEXIS</t>
  </si>
  <si>
    <t>IC-3929</t>
  </si>
  <si>
    <t>Fact#: 351858-354199 Rec#: 17069 GOMEZ LOPEZ SAMUEL ELEODORO</t>
  </si>
  <si>
    <t>IC-3928</t>
  </si>
  <si>
    <t>Fact#: 351656-353987 Rec#: 17068 CARLOS RAUL CARPIO FREIRE</t>
  </si>
  <si>
    <t>IC-3927</t>
  </si>
  <si>
    <t>Fact#: 355743 Rec#: 17067 SEGURIDAD &amp; PROTECCION TECNICA SEPROTECSECURITY CIA. LTDA.</t>
  </si>
  <si>
    <t>IC-3926</t>
  </si>
  <si>
    <t>Fact#: 355698 Rec#: 17066 ALVARADO COBOS ALDO MANUEL</t>
  </si>
  <si>
    <t>IC-3925</t>
  </si>
  <si>
    <t>Fact#: 355501 Rec#: 17065 FILUS S.A</t>
  </si>
  <si>
    <t>IC-3924</t>
  </si>
  <si>
    <t>Fact#: 355502 Rec#: 17064 FILUS S.A</t>
  </si>
  <si>
    <t>IC-3923</t>
  </si>
  <si>
    <t>Fact#: 353858 Rec#: 17063 CESAR ORLANDO VALLEJO VERA</t>
  </si>
  <si>
    <t>IC-3922</t>
  </si>
  <si>
    <t>Fact#: 354515 Rec#: 17062 ROMERO VERSOZA RICARDO GERONIMO</t>
  </si>
  <si>
    <t>IC-3921</t>
  </si>
  <si>
    <t>Fact#: 354399 Rec#: 17061 NUNEZ CEDENO ANGY SABRINA</t>
  </si>
  <si>
    <t>IC-3920</t>
  </si>
  <si>
    <t>Fact#: 354329 Rec#: 32707 PAZMINO PRIETO SIXTO JAVIER</t>
  </si>
  <si>
    <t>IC-3919</t>
  </si>
  <si>
    <t>Fact#: 355482 Rec#: 32706 STEVEN MICHAEL RAMOS MEZA</t>
  </si>
  <si>
    <t>IC-3892</t>
  </si>
  <si>
    <t>Fact#: 353071 Rec#: 32705 STEVEN MICHAEL RAMOS MEZA</t>
  </si>
  <si>
    <t>IC-3891</t>
  </si>
  <si>
    <t>Fact#: 354111 Rec#: 32704 ORTIZ CARRILLO ROBERTO JAVIER</t>
  </si>
  <si>
    <t>IC-3888</t>
  </si>
  <si>
    <t>Fact#: 766 Rec#: 32703 F.V - AREA ANDINA S.A.</t>
  </si>
  <si>
    <t>IC-3887</t>
  </si>
  <si>
    <t>Fact#: 3799 Rec#: 32702 SANTIAGO JAVIER NIETO CARRERA</t>
  </si>
  <si>
    <t>IC-3886</t>
  </si>
  <si>
    <t>Fact#: 347258-349736-351955 Rec#: 32701 ECHEVERRIA REYES JOE JOFFREY</t>
  </si>
  <si>
    <t>IC-3875</t>
  </si>
  <si>
    <t>Fact#: 355739 Rec#: 32700 INDUSTRIAL JUVENALIS S.A.</t>
  </si>
  <si>
    <t>IC-3874</t>
  </si>
  <si>
    <t>Fact#: 353668 Rec#: 32699 HENRY LENY BETANCOURT VITERI</t>
  </si>
  <si>
    <t>IC-3873</t>
  </si>
  <si>
    <t>Fact#: 355747 Rec#: 32698 SERVICIO DE OFICINA COMPUTARIZADO SEROFICOM S.A.</t>
  </si>
  <si>
    <t>IC-3872</t>
  </si>
  <si>
    <t>Fact#: 354002 Rec#: 32697 DELIA JUDITH LEON LOPEZ</t>
  </si>
  <si>
    <t>IC-3871</t>
  </si>
  <si>
    <t>Fact#: 354654 Rec#: 17060 GAMEZ CUELLAR PEDRO NASARIO</t>
  </si>
  <si>
    <t>IC-3870</t>
  </si>
  <si>
    <t>Fact#: 354834 Rec#: 17059 HERRERA LOOR GUILLERMO NILBERTO</t>
  </si>
  <si>
    <t>IC-3869</t>
  </si>
  <si>
    <t>Fact#: 351605-353933 Rec#: 17058 EDISON FERNANDO MERA CASTAÑEDA</t>
  </si>
  <si>
    <t>IC-3868</t>
  </si>
  <si>
    <t>Fact#: 338218-341209-344733-348860 Rec#: 17057 CASTILLO PEREIRA GABRIEL ARCANGEL</t>
  </si>
  <si>
    <t>IC-3867</t>
  </si>
  <si>
    <t>Fact#: 353410 Rec#: 17056 EDDA GLADYS PARRALES GOMEZ</t>
  </si>
  <si>
    <t>IC-3866</t>
  </si>
  <si>
    <t>Fact#: 352201-354543 Rec#: 17055 ESTUPINAN PEREZ EDUARDO</t>
  </si>
  <si>
    <t>IC-3865</t>
  </si>
  <si>
    <t>Fact#: 353729 Rec#: 17054 PILAR MARYLIN ALCIVAR MORAN</t>
  </si>
  <si>
    <t>IC-3864</t>
  </si>
  <si>
    <t>Fact#: 351754-354092 Rec#: 17053 ROBAYO GONZALEZ ROBERTO JAVIER</t>
  </si>
  <si>
    <t>IC-3863</t>
  </si>
  <si>
    <t>Fact#: 353939 Rec#: 17052 EDUARDO CAMPOSANO ULLOA</t>
  </si>
  <si>
    <t>IC-3862</t>
  </si>
  <si>
    <t>Fact#: 4025 Rec#: 17051 INKA BURGER</t>
  </si>
  <si>
    <t>IC-3861</t>
  </si>
  <si>
    <t>Fact#: 351644-353975 Rec#: 17050 JAVIER JOHNNY VALLEJO NUÑEZ</t>
  </si>
  <si>
    <t>IC-3860</t>
  </si>
  <si>
    <t>Fact#: 319916-322682-325439-328187-331006-333921-336867-339878-343419 Rec#: 17049 NANCY ELENA MUÑOZ SUAREZ</t>
  </si>
  <si>
    <t>IC-3859</t>
  </si>
  <si>
    <t>Fact#: 352658-355004 Rec#: 17048 VERA VELA ANA MARIA</t>
  </si>
  <si>
    <t>IC-3858</t>
  </si>
  <si>
    <t>Fact#: 339267-342270-345795-348295 Rec#: 17047 OCAÑA MORALES ANGEL RODRIGO</t>
  </si>
  <si>
    <t>IC-3857</t>
  </si>
  <si>
    <t>Fact#: 354886 Rec#: 17046 MACIAS GRACIA JOHNNY FRANCISCO</t>
  </si>
  <si>
    <t>IC-3856</t>
  </si>
  <si>
    <t>Fact#: 355789 Rec#: 17045 LABORATORIOS TECNO - ALEMANES S.A. LATECNA</t>
  </si>
  <si>
    <t>IC-3855</t>
  </si>
  <si>
    <t>Fact#: 354614 Rec#: 17044 SANCHEZ QUINCHUELA INES MONICA</t>
  </si>
  <si>
    <t>IC-3854</t>
  </si>
  <si>
    <t>Fact#: 3838 Rec#: 17043 CRUZ SANTANA MARCOS BOLIVAR</t>
  </si>
  <si>
    <t>IC-3853</t>
  </si>
  <si>
    <t>Fact#: 355019 Rec#: 17042 MAZZILLI MENDOZA MELANIE MICHELLE</t>
  </si>
  <si>
    <t>IC-3852</t>
  </si>
  <si>
    <t>KEVIN BLADIMIR PONCE GREFA CANCELA TELEFONO 3908740 ABONA SGTE FACTURA</t>
  </si>
  <si>
    <t>AT-3244</t>
  </si>
  <si>
    <t>Fact#: 339736-355722 Rec#: 32695 COBREXLEG SA</t>
  </si>
  <si>
    <t>IC-5225</t>
  </si>
  <si>
    <t>Fact#: 353499 Rec#: 32696 HUGO ANTONIO SALMERON ACOSTA</t>
  </si>
  <si>
    <t>IC-3848</t>
  </si>
  <si>
    <t>Fact#: 353855 Rec#: 17041 RAMIRO RAMON TOALA GARCIA</t>
  </si>
  <si>
    <t>IC-3846</t>
  </si>
  <si>
    <t>Fact#: 3926 Rec#: 17040 ALVAREZ MOLINA PAUL ALEJANDRO</t>
  </si>
  <si>
    <t>IC-3845</t>
  </si>
  <si>
    <t>Fact#: 323939-326711-329476-332325-335245-338189-341180-344704 Rec#: 17039 MORA RODRIGUEZ BLANCA MARGARITA</t>
  </si>
  <si>
    <t>IC-3844</t>
  </si>
  <si>
    <t>Fact#: 355232 Rec#: 17038 MIRANDA TORRES JUAN ERNESTO</t>
  </si>
  <si>
    <t>IC-3843</t>
  </si>
  <si>
    <t>Fact#: 351541-353868 Rec#: 17037 MATILDE PILAR MORA QUIROZ</t>
  </si>
  <si>
    <t>IC-3842</t>
  </si>
  <si>
    <t>Fact#: 351717-354051 Rec#: 17036 LAURA MARIA NOBOA BAQUERIZO</t>
  </si>
  <si>
    <t>IC-3841</t>
  </si>
  <si>
    <t>Fact#: 352495-354840 Rec#: 17035 CABEZA RODRIGUEZ PETER FABRICIO</t>
  </si>
  <si>
    <t>IC-3840</t>
  </si>
  <si>
    <t>Fact#: 3857 Rec#: 17034 CRUZ JOSE AMABLE</t>
  </si>
  <si>
    <t>IC-3839</t>
  </si>
  <si>
    <t>Fact#: 355757 Rec#: 17033 LANDIVAR VELIZ CARLOS ALEX</t>
  </si>
  <si>
    <t>IC-3838</t>
  </si>
  <si>
    <t>Fact#: 351904-354242 Rec#: 17032 BAÑOS BARRAGAN FLOR AMERICA</t>
  </si>
  <si>
    <t>IC-3837</t>
  </si>
  <si>
    <t>Fact#: 354992 Rec#: 17031 JIMENEZ OCHOA LUIS ENRIQUE</t>
  </si>
  <si>
    <t>IC-3836</t>
  </si>
  <si>
    <t>Fact#: 352305-354645 Rec#: 17030 MORALES MARCILLO YESENIA MONICA</t>
  </si>
  <si>
    <t>IC-3835</t>
  </si>
  <si>
    <t>Fact#: 354556 Rec#: 17029 BORJA MESIAS SEGUNDO ALFREDO</t>
  </si>
  <si>
    <t>IC-3834</t>
  </si>
  <si>
    <t>Fact#: 354637 Rec#: 17028 FLORES GORDILLO LUIS EDUARDO</t>
  </si>
  <si>
    <t>IC-3833</t>
  </si>
  <si>
    <t>Fact#: 351678-354010 Rec#: 17027 ALEXANDRA JACKELINE SANCHEZ ZAMBRANO</t>
  </si>
  <si>
    <t>IC-3832</t>
  </si>
  <si>
    <t>Fact#: 352702-355051 Rec#: 17026 TOMALA CEDENO ANATOLIA ESTHER</t>
  </si>
  <si>
    <t>IC-3831</t>
  </si>
  <si>
    <t>Fact#: 348848 Rec#: 17025 MORILLO GRIBORIO JUAN PABLO</t>
  </si>
  <si>
    <t>IC-3830</t>
  </si>
  <si>
    <t>Fact#: 353786 Rec#: 17024 LENIN ANTONIO SARABIA ORELLANA</t>
  </si>
  <si>
    <t>IC-3829</t>
  </si>
  <si>
    <t>Fact#: 351830-354170 Rec#: 17023 MURILLO MIRANDA GUILLERMO XAVIER</t>
  </si>
  <si>
    <t>IC-3828</t>
  </si>
  <si>
    <t>Fact#: 352940-355294 Rec#: 32694 VILLAMAR SALAZAR CESAR ANTONIO</t>
  </si>
  <si>
    <t>IC-3817</t>
  </si>
  <si>
    <t>Fact#: 355224 Rec#: 32693 CAMPOSANO VACA GLENDA MARJORIE</t>
  </si>
  <si>
    <t>IC-3816</t>
  </si>
  <si>
    <t>N/D PACIFICO TRANSFERENCIA ANTICIPO A FACTURA POR HONORARIOS PROFESIONALES MES DE MARZO 2021 A PABLO BAQUERIZO DAVILA</t>
  </si>
  <si>
    <t>N/D PACIFICO TRANSFERENCIA PAGO DE DECIMO CUARTO SUELDO PERIODO MARZO/2020 A FEB/2021</t>
  </si>
  <si>
    <t>N/D PACIFICO TRANSFERENCIA PAGO DE FONDOS DE RESERVA MES DE FEBRERO 2021</t>
  </si>
  <si>
    <t>N/D PACIFICO TRANSFERENCIA ROLES DE PAGO 1ERA QUINCENA MES DE MARZO 2021</t>
  </si>
  <si>
    <t>NDL-17</t>
  </si>
  <si>
    <t>Fact#: 355719-355720 Rec#: 32691 TOPFOOD CIA. LTDA.</t>
  </si>
  <si>
    <t>IC-5594</t>
  </si>
  <si>
    <t>Fact#: 354345 Rec#: 17022 ROCAFUERTE FIGUEROA DILGLA MARIANELA</t>
  </si>
  <si>
    <t>IC-3806</t>
  </si>
  <si>
    <t>Fact#: 767 Rec#: 32692 F.V - AREA ANDINA S.A.</t>
  </si>
  <si>
    <t>IC-3800</t>
  </si>
  <si>
    <t>Fact#: 348590-350818 Rec#: 32690 ETYECU S A</t>
  </si>
  <si>
    <t>IC-3798</t>
  </si>
  <si>
    <t>Fact#: 354968 Rec#: 32689 CASTRO ESPINALES LUCELINA PRIMITIVA</t>
  </si>
  <si>
    <t>IC-3797</t>
  </si>
  <si>
    <t>Fact#: 352527-354871 Rec#: 32688 VELEZ MACIAS  KATHERINE ANGELINE</t>
  </si>
  <si>
    <t>IC-3796</t>
  </si>
  <si>
    <t>Fact#: 354443 Rec#: 32687 VALERO CEPEDA IVONNE MARIA</t>
  </si>
  <si>
    <t>IC-3795</t>
  </si>
  <si>
    <t>Fact#: 353820 Rec#: 32686 MARIA FERNANDA GONZALEZ MITE</t>
  </si>
  <si>
    <t>IC-3794</t>
  </si>
  <si>
    <t>Fact#: 353474 Rec#: 32685 GLORIA ISABEL MITE LEON</t>
  </si>
  <si>
    <t>IC-3793</t>
  </si>
  <si>
    <t>Fact#: 353103-355516 Rec#: 32684 CHRISTIAN JAVIER MIDEROS ROMERO</t>
  </si>
  <si>
    <t>IC-3792</t>
  </si>
  <si>
    <t>Fact#: 352191-354534 Rec#: 32683 MERA ESPINOZA LEONEL ANTONIO</t>
  </si>
  <si>
    <t>IC-3791</t>
  </si>
  <si>
    <t>Fact#: 350068-352311-354651 Rec#: 17021 YAGUAREMA GUEVARA RUTH ALEXANDRA</t>
  </si>
  <si>
    <t>IC-3790</t>
  </si>
  <si>
    <t>Fact#: 351218-353549 Rec#: 17020 ENCALADA SANCHEZ NIEVES ELIZABETH</t>
  </si>
  <si>
    <t>IC-3789</t>
  </si>
  <si>
    <t>Fact#: 353584 Rec#: 17019 LOPEZ LOPEZ WASHINGTON FERMIN</t>
  </si>
  <si>
    <t>IC-3788</t>
  </si>
  <si>
    <t>Fact#: 320772-323522-326291-329052-331890-334804-337744-340736-344260 Rec#: 17018 VACA LOPEZ DAVID MANUEL</t>
  </si>
  <si>
    <t>IC-3787</t>
  </si>
  <si>
    <t>Fact#: 354258 Rec#: 17017 CAZAR ERAZO RODRIGO ARTURO</t>
  </si>
  <si>
    <t>IC-3786</t>
  </si>
  <si>
    <t>Fact#: 353870 Rec#: 17016 TEODOMIRO MAYO</t>
  </si>
  <si>
    <t>IC-3785</t>
  </si>
  <si>
    <t>Fact#: 354328 Rec#: 17015 VELEZ CASTRO HARRY VICENTE</t>
  </si>
  <si>
    <t>IC-3784</t>
  </si>
  <si>
    <t>Fact#: 355013 Rec#: 17014 TRUJILL0 ELJURI ROBERTO FARID</t>
  </si>
  <si>
    <t>IC-3783</t>
  </si>
  <si>
    <t>Fact#: 355596 Rec#: 17013 PACHECO CACERES DENISE ERIKA</t>
  </si>
  <si>
    <t>IC-3782</t>
  </si>
  <si>
    <t>Fact#: 3880 Rec#: 17012 ZABALA BARRIONUEVO RITA CECILIA</t>
  </si>
  <si>
    <t>IC-3781</t>
  </si>
  <si>
    <t>Fact#: 349518-351723-354060 Rec#: 17011 PRISCILA NORALMA DELA AVENDANO</t>
  </si>
  <si>
    <t>IC-3780</t>
  </si>
  <si>
    <t>Fact#: 352016-354351 Rec#: 17010 ZHICAY CARRILLO FRANKLIN GEOVANNY</t>
  </si>
  <si>
    <t>IC-3779</t>
  </si>
  <si>
    <t>Fact#: 352100-354440 Rec#: 17009 ALVARADO HOLGUIN HENRRY EDUARDO</t>
  </si>
  <si>
    <t>IC-3778</t>
  </si>
  <si>
    <t>Fact#: 352589-354935 Rec#: 17008 GALLEGOS VERA ALEX AUGUSTO</t>
  </si>
  <si>
    <t>IC-3777</t>
  </si>
  <si>
    <t>Fact#: 351065-353396 Rec#: 17007 CARMEN CECILIA SORIA FLORENCIA</t>
  </si>
  <si>
    <t>IC-3776</t>
  </si>
  <si>
    <t>Fact#: 355612 Rec#: 32679 PAYLESS SHOESOURCE ECUADOR CIA. LTDA.</t>
  </si>
  <si>
    <t>IC-3748</t>
  </si>
  <si>
    <t>SIMON EMILIO BRIONES LOOR CANCELA TELEFONO 3960274 ABONA SGTE FACTURA, BCO PACIFICO POR VENTANILLA</t>
  </si>
  <si>
    <t>AT-3242</t>
  </si>
  <si>
    <t>Fact#: 354568 Rec#: 17006 BORBOR VILLON ALEX ALEJANDRO</t>
  </si>
  <si>
    <t>IC-3747</t>
  </si>
  <si>
    <t>Fact#: 352430-354771 Rec#: 17005 VITE CALDERON PEDRO PABLO</t>
  </si>
  <si>
    <t>IC-3746</t>
  </si>
  <si>
    <t>N/D PACIFICO CANCELACIÓN DE FACTURA#73614607 OTECEL PLAN CORP.</t>
  </si>
  <si>
    <t>Fact#: 350365-352636-354981 Rec#: 32681 STURLA GALLEGOS FELIPE NICOLAS</t>
  </si>
  <si>
    <t>IC-3750</t>
  </si>
  <si>
    <t>Fact#: 353394 Rec#: 32680 KATHERINE MALENA CHILUIZA GARCIA</t>
  </si>
  <si>
    <t>IC-3749</t>
  </si>
  <si>
    <t>Fact#: 354885 Rec#: 17004 SANTANA MORENO SAUL AUGUSTO</t>
  </si>
  <si>
    <t>IC-3726</t>
  </si>
  <si>
    <t>Fact#: 338464-341456-344980 Rec#: 17003 MACAS CHAUCA CARLOS ALBERTO</t>
  </si>
  <si>
    <t>IC-3725</t>
  </si>
  <si>
    <t>Fact#: 352355-354697 Rec#: 17002 ALVAREZ BORRERO JUAN CARLOS</t>
  </si>
  <si>
    <t>IC-3724</t>
  </si>
  <si>
    <t>Fact#: 354547 Rec#: 17001 PANCHANA GONZALEZ GLADYS HAIDEE</t>
  </si>
  <si>
    <t>IC-3723</t>
  </si>
  <si>
    <t>Fact#: 351917-354255 Rec#: 17000 MOLINA ALCIVAR CESAR RAUL</t>
  </si>
  <si>
    <t>IC-3722</t>
  </si>
  <si>
    <t>Fact#: 352625-354969 Rec#: 16999 HENRIQUEZ PAZMINO EVELIN MARGARITA</t>
  </si>
  <si>
    <t>IC-3721</t>
  </si>
  <si>
    <t>Fact#: 352020-354355 Rec#: 16998 ZAMORA AVILA ANGELA MARIA</t>
  </si>
  <si>
    <t>IC-3720</t>
  </si>
  <si>
    <t>Fact#: 352259-354598 Rec#: 16997 FERNANDEZ ZAMBRANO ELSA VIOLETA</t>
  </si>
  <si>
    <t>IC-3719</t>
  </si>
  <si>
    <t>Fact#: 354779 Rec#: 16996 SOLEDISPA ACEBO MILTON ANTONIO</t>
  </si>
  <si>
    <t>IC-3718</t>
  </si>
  <si>
    <t>Fact#: 354858 Rec#: 16995 AGUAYO SOLORZANO JOEL GEOVANNY</t>
  </si>
  <si>
    <t>IC-3717</t>
  </si>
  <si>
    <t>Fact#: 354188 Rec#: 16994 SANCHEZ CARRIEL NARCISA DE JESUS</t>
  </si>
  <si>
    <t>IC-3716</t>
  </si>
  <si>
    <t>Fact#: 350356-352626-354970 Rec#: 16993 LEON VILLALVA JUAN CARLOS</t>
  </si>
  <si>
    <t>IC-3715</t>
  </si>
  <si>
    <t>Fact#: 355657 Rec#: 32678 CAMPOS VELEZ HENRRY GONZALO</t>
  </si>
  <si>
    <t>IC-3730</t>
  </si>
  <si>
    <t>Fact#: 354535 Rec#: 32677 VELIZ CASTRO RICARDO XAVIER</t>
  </si>
  <si>
    <t>IC-3729</t>
  </si>
  <si>
    <t>Fact#: 355067 Rec#: 32676 FLORES ORTEGA MERCEDES ROCIO</t>
  </si>
  <si>
    <t>IC-3728</t>
  </si>
  <si>
    <t>Fact#: 353789 Rec#: 32675 ALFREDO GEOVANNY SANCHEZ BENAVIDES</t>
  </si>
  <si>
    <t>IC-3727</t>
  </si>
  <si>
    <t>Fact#: 354940 Rec#: 16992 FERRIN ANDRADE ERICKA MARIUXI</t>
  </si>
  <si>
    <t>IC-3714</t>
  </si>
  <si>
    <t>Fact#: 355079 Rec#: 16991 VILLAFUERTE PEREZ PETRA MARIA</t>
  </si>
  <si>
    <t>IC-3713</t>
  </si>
  <si>
    <t>Fact#: 294869-297349 Rec#: 16990 ESPIN PICO NANCY CRISTINA</t>
  </si>
  <si>
    <t>IC-3712</t>
  </si>
  <si>
    <t>Fact#: 352027-354361 Rec#: 16989 SIMISTERRA MICOLTA RUBEN DARIO</t>
  </si>
  <si>
    <t>IC-3711</t>
  </si>
  <si>
    <t>Fact#: 351111-353441 Rec#: 16988 LINO MARTIN  BRITO BRITO</t>
  </si>
  <si>
    <t>IC-3710</t>
  </si>
  <si>
    <t>Fact#: 353520 Rec#: 16987 HAYDEE GANDIOSA  FALUGIANI MORA</t>
  </si>
  <si>
    <t>IC-3709</t>
  </si>
  <si>
    <t>Fact#: 355121 Rec#: 16986 CALDERIO HECHAVARRIA DAIRON FREDDY</t>
  </si>
  <si>
    <t>IC-3708</t>
  </si>
  <si>
    <t>Fact#: 354717 Rec#: 16985 GOMEZ VERA NATALY ELIZABETH</t>
  </si>
  <si>
    <t>IC-3707</t>
  </si>
  <si>
    <t>Fact#: 352071-354410 Rec#: 16984 INTRIAGO TORRES NARCISA JANETH</t>
  </si>
  <si>
    <t>IC-3706</t>
  </si>
  <si>
    <t>Fact#: 352282-354621 Rec#: 16983 HERNANDEZ MARIA ISABEL</t>
  </si>
  <si>
    <t>IC-3705</t>
  </si>
  <si>
    <t>Fact#: 3890 Rec#: 16982 GUTIERREZ ALVAREZ TERESA EUGENIA</t>
  </si>
  <si>
    <t>IC-3704</t>
  </si>
  <si>
    <t>Fact#: 354182 Rec#: 16981 CARRILLO ANCHUNDIA FLOR MARIA</t>
  </si>
  <si>
    <t>IC-3703</t>
  </si>
  <si>
    <t>Fact#: 351418-353744 Rec#: 16980 HOLGER FREDDY CAMPOVERDE CARBAJO</t>
  </si>
  <si>
    <t>IC-3702</t>
  </si>
  <si>
    <t>Fact#: 355272 Rec#: 16979 PAREDES LOPEZ MARIA PIEDAD</t>
  </si>
  <si>
    <t>IC-3701</t>
  </si>
  <si>
    <t>Fact#: 346740-349200-351385 Rec#: 16978 RAUL ARTURO LEON ORTIZ</t>
  </si>
  <si>
    <t>IC-3700</t>
  </si>
  <si>
    <t>Fact#: 354593 Rec#: 16977 ROSERO MERCADO ELSA KARINA</t>
  </si>
  <si>
    <t>IC-3699</t>
  </si>
  <si>
    <t>Fact#: 353873 Rec#: 16976 JAVIER FEDERICO VILLON ANASTACIO</t>
  </si>
  <si>
    <t>IC-3698</t>
  </si>
  <si>
    <t>Fact#: 349511-351715-354049 Rec#: 16975 GABRIEL CLEMENTE MEJIA MATA</t>
  </si>
  <si>
    <t>IC-3697</t>
  </si>
  <si>
    <t>Fact#: 354395 Rec#: 16974 CASTILLO PAZMINO ANTHONI AARON</t>
  </si>
  <si>
    <t>IC-3696</t>
  </si>
  <si>
    <t>Fact#: 355016 Rec#: 16973 CEDENO ANGULO JAIRO RENE</t>
  </si>
  <si>
    <t>IC-3695</t>
  </si>
  <si>
    <t>Fact#: 351456-353784 Rec#: 16972 CARLOS ENRIQUE TAPIA TAPIA</t>
  </si>
  <si>
    <t>IC-3694</t>
  </si>
  <si>
    <t>Fact#: 355491 Rec#: 32674 OPENGROUP S.A.</t>
  </si>
  <si>
    <t>IC-3683</t>
  </si>
  <si>
    <t>Fact#: 355401 Rec#: 32673 LG ELECTRONICS PANAMA S.A</t>
  </si>
  <si>
    <t>IC-3682</t>
  </si>
  <si>
    <t>N/D PACIFICO TRANSFERENCIA CANCELACIÓN DE FACTURA#4520397 CNEL EP</t>
  </si>
  <si>
    <t>N/D PACIFICO TRANSFERENCIA CANCELACION DE FACTURA#168250772 CNT EP</t>
  </si>
  <si>
    <t>N/D PACIFICO TRANSFERENCIA PAGO PLLAS. IESS NORMALES MES DE FEBRERO 2021 A PABLO BAQUERIZO DAVILA</t>
  </si>
  <si>
    <t>N/D PACIFICO TRANSFERENCIA PAGO PLLAS. IESS NORMALES MES DE FEBRERO 2021, COMP#140307878</t>
  </si>
  <si>
    <t>N/D PACIFICO TRANSFERENCIA PAGO PLLAS. IESS FONDOS DE RESERVA MES DE FEBRERO 2021, COMP#20841298</t>
  </si>
  <si>
    <t>N/D PACIFICO TRANSFERENCIA PAGO PLLAS. IESS PRESTAMO QUIROGRAFARIO MES DE FEBRERO 2021, COMP#33502795</t>
  </si>
  <si>
    <t>N/D PACIFICO TRANSFERENCIA PAGO PLLAS. IESS PRESTAMO HIPOTECARIO MES DE FEBRERO 2021, COMP#11091008</t>
  </si>
  <si>
    <t>N/D PACIFICO TRANSFERENCIA PAGO PLLAS. IESS AJUSTE MES DE FEBRERO 2021, COMP#140308868</t>
  </si>
  <si>
    <t>N/D PACIFICO TRANSFERENCIA REEMBOLSO A ANDREA PEÑA POR COMPRA DE 38 ETIQUETAS SEGÚN FACTURA#1297 Milestone Technologies</t>
  </si>
  <si>
    <t>NDL-8</t>
  </si>
  <si>
    <t>Fact#: 351411-353737 Rec#: 32672 MARIA ELENA QUISHPILLO PAGUAY</t>
  </si>
  <si>
    <t>IC-3670</t>
  </si>
  <si>
    <t>Fact#: 348579-350807 Rec#: 32671 NEDERAGRO S.A.</t>
  </si>
  <si>
    <t>IC-3668</t>
  </si>
  <si>
    <t>Fact#: 354327 Rec#: 32670 PERALTA CASTILLO ELSA DEL ROCIO</t>
  </si>
  <si>
    <t>IC-3667</t>
  </si>
  <si>
    <t>Fact#: 354112 Rec#: 32669 SALAZAR JAIME CECILIA NARCISA</t>
  </si>
  <si>
    <t>IC-3666</t>
  </si>
  <si>
    <t>Fact#: 351574-353901 Rec#: 32668 CRISTIAN ALAN PARRALES TUMBACO</t>
  </si>
  <si>
    <t>IC-3665</t>
  </si>
  <si>
    <t>Fact#: 351575-353902 Rec#: 32667 CRISTIAN ALAN PARRALES TUMBACO</t>
  </si>
  <si>
    <t>IC-3664</t>
  </si>
  <si>
    <t>Fact#: 351849-354190 Rec#: 32666 DAGER PESANTES OMAR ALEJANDRO</t>
  </si>
  <si>
    <t>IC-3663</t>
  </si>
  <si>
    <t>Fact#: 354647 Rec#: 16971 ROVELLO VALENCIA JOSE ROMAN</t>
  </si>
  <si>
    <t>IC-3662</t>
  </si>
  <si>
    <t>Fact#: 352864-355227 Rec#: 16970 RODRIGUEZ PALMA NELSON IVAN</t>
  </si>
  <si>
    <t>IC-3661</t>
  </si>
  <si>
    <t>Fact#: 353913 Rec#: 16969 SILVIA FILOMENA MOLINA BARONA</t>
  </si>
  <si>
    <t>IC-3660</t>
  </si>
  <si>
    <t>Fact#: 354784 Rec#: 16968 FREIRE ANDRADE PAOLA MARIA</t>
  </si>
  <si>
    <t>IC-3659</t>
  </si>
  <si>
    <t>Fact#: 351920-354257 Rec#: 16967 ELIZALDE MAZZINI PAULINA GABRIELA</t>
  </si>
  <si>
    <t>IC-3658</t>
  </si>
  <si>
    <t>Fact#: 354733 Rec#: 16966 CORTEZ CANTOS  PEDRO PABLO</t>
  </si>
  <si>
    <t>IC-3657</t>
  </si>
  <si>
    <t>Fact#: 351152-353481 Rec#: 16965 MARCOS ROBERTO CALDERON VELASQUEZ</t>
  </si>
  <si>
    <t>IC-3656</t>
  </si>
  <si>
    <t>Fact#: 3476-3663-3861 Rec#: 16964 VELEZ CHAVARRIA FRANCISCA MARIA</t>
  </si>
  <si>
    <t>IC-3655</t>
  </si>
  <si>
    <t>Fact#: 350235-352500-354845 Rec#: 16963 GONZALEZ SINCHE EDWIN VICENTE</t>
  </si>
  <si>
    <t>IC-3654</t>
  </si>
  <si>
    <t>Fact#: 354280 Rec#: 16962 YANEZ ARROYO LUIS ALBERTO</t>
  </si>
  <si>
    <t>IC-3653</t>
  </si>
  <si>
    <t>Fact#: 3477-3664-3862 Rec#: 16961 CARRANZA PINARGOTE CATHERYNE ELIZABETH</t>
  </si>
  <si>
    <t>IC-3652</t>
  </si>
  <si>
    <t>Fact#: 321036-323794-326563-329328-332171-335087-338031-341021-344546 Rec#: 32665 TOVAR HERNANDEZ CESAR ALBERTO</t>
  </si>
  <si>
    <t>IC-3650</t>
  </si>
  <si>
    <t>Fact#: 351965-354301 Rec#: 32664 PAZ SANCHEZ ROXANA MICHELLE</t>
  </si>
  <si>
    <t>IC-3636</t>
  </si>
  <si>
    <t>Fact#: 353118-355534 Rec#: 32663 JORGE ARTURO ZANABRIA VILLAMAR</t>
  </si>
  <si>
    <t>IC-3635</t>
  </si>
  <si>
    <t>Fact#: 353986 Rec#: 32662 XAVIER ALFREDO ZANABRIA VILLAMAR</t>
  </si>
  <si>
    <t>IC-3634</t>
  </si>
  <si>
    <t>Fact#: 353070-355481 Rec#: 32661 ANEMASA S.A.</t>
  </si>
  <si>
    <t>IC-3633</t>
  </si>
  <si>
    <t>Fact#: 354401 Rec#: 32660 DUARTE DEMERA FRANCISCO JAVIER</t>
  </si>
  <si>
    <t>IC-3632</t>
  </si>
  <si>
    <t>Fact#: 353067-355477 Rec#: 32659 AUTOMERCADO S.A.</t>
  </si>
  <si>
    <t>IC-3631</t>
  </si>
  <si>
    <t>Fact#: 353068-355478 Rec#: 32658 AUTOMERCADO S.A.</t>
  </si>
  <si>
    <t>IC-3630</t>
  </si>
  <si>
    <t>Fact#: 354989 Rec#: 32657 NAVARRETE CEDENO RUTH ELIZABETH</t>
  </si>
  <si>
    <t>IC-3629</t>
  </si>
  <si>
    <t>Fact#: 352058-354396 Rec#: 16960 CORTEZ AVILES PEDRO ROGELIO</t>
  </si>
  <si>
    <t>IC-3628</t>
  </si>
  <si>
    <t>Fact#: 352019-354354 Rec#: 16959 PARRALES GONZALEZ NIXA JASMIN</t>
  </si>
  <si>
    <t>IC-3627</t>
  </si>
  <si>
    <t>Fact#: 352717-355068 Rec#: 16958 MEZA PIN YESSICA PAOLA</t>
  </si>
  <si>
    <t>IC-3626</t>
  </si>
  <si>
    <t>Fact#: 350116-352362-354704 Rec#: 16957 MARCILLO COBOS DAVID FERNANDO</t>
  </si>
  <si>
    <t>IC-3625</t>
  </si>
  <si>
    <t>Fact#: 349500-351703-354037 Rec#: 16956 MARJORIE LUISA SCOTLAND TUTIVEN</t>
  </si>
  <si>
    <t>IC-3624</t>
  </si>
  <si>
    <t>Fact#: 351883-354221 Rec#: 16955 LUQUE RIVAS MARIA ROSA</t>
  </si>
  <si>
    <t>IC-3623</t>
  </si>
  <si>
    <t>Fact#: 353718 Rec#: 16954 GINGER LIZBETH GOMEZ CALDERON</t>
  </si>
  <si>
    <t>IC-3622</t>
  </si>
  <si>
    <t>Fact#: 354755 Rec#: 16953 GUAMANQUISPE FLORES ESPERANZA ANTONIETA</t>
  </si>
  <si>
    <t>IC-3621</t>
  </si>
  <si>
    <t>Fact#: 353160-355581 Rec#: 16952 TECNOLOGIAS DE BUSINESS S.A  TECBUSINESS</t>
  </si>
  <si>
    <t>IC-3620</t>
  </si>
  <si>
    <t>Fact#: 355736 Rec#: 16951 FERNANDEZ CEVALLOS S.A FERCEVSA</t>
  </si>
  <si>
    <t>IC-3619</t>
  </si>
  <si>
    <t>Fact#: 355737 Rec#: 16950 FERNANDEZ CEVALLOS S.A FERCEVSA</t>
  </si>
  <si>
    <t>IC-3618</t>
  </si>
  <si>
    <t>Fact#: 354363 Rec#: 16949 MEDINA BORJA LEONARDO JAVIER</t>
  </si>
  <si>
    <t>IC-3617</t>
  </si>
  <si>
    <t>AVILA ORTIZ GEOVANNY FABRICIO ABONA SGTE FACTURA, PAGO WESTERN UNION</t>
  </si>
  <si>
    <t>AT-3265</t>
  </si>
  <si>
    <t>N/D PACIFICO TRANSFERENCIA CANCELACIÓN DE FACTURAS#168250768, #168250769, #168250770, #168250771 CNT EP</t>
  </si>
  <si>
    <t>NDL-32</t>
  </si>
  <si>
    <t>Fact#: 351950-354287 Rec#: 32654 DURAN POLIT MARIA DANIELLA</t>
  </si>
  <si>
    <t>IC-3586</t>
  </si>
  <si>
    <t>Fact#: 3827 Rec#: 32653 GUATEMAL COLIMBA JUAN BAUTISTA</t>
  </si>
  <si>
    <t>IC-3585</t>
  </si>
  <si>
    <t>Fact#: 352990-355400 Rec#: 32652 DORCIEN S.A</t>
  </si>
  <si>
    <t>IC-3584</t>
  </si>
  <si>
    <t>Fact#: 353086-355499 Rec#: 32651 ELECTROMOOM S.A.</t>
  </si>
  <si>
    <t>IC-3583</t>
  </si>
  <si>
    <t>Fact#: 353484 Rec#: 32650 FERNANDO GABRIEL AVILES USCOCOVICH</t>
  </si>
  <si>
    <t>IC-3582</t>
  </si>
  <si>
    <t>Fact#: 354683 Rec#: 16948 CABELLO CHIRIGUAYA DAVID ELIAS</t>
  </si>
  <si>
    <t>IC-3581</t>
  </si>
  <si>
    <t>Fact#: 353238-355665 Rec#: 16947 MORANTE VILLARREAL ROBERTO OMAR</t>
  </si>
  <si>
    <t>IC-3580</t>
  </si>
  <si>
    <t>Fact#: 352321-354661 Rec#: 16946 MARIN CESAR EDUARDO</t>
  </si>
  <si>
    <t>IC-3579</t>
  </si>
  <si>
    <t>Fact#: 351533-353860 Rec#: 16945 CECILIA ISABEL PORTILLA ESPINOZA</t>
  </si>
  <si>
    <t>IC-3578</t>
  </si>
  <si>
    <t>Fact#: 3925 Rec#: 16944 MINDA POZO EDVIN ERNESTO</t>
  </si>
  <si>
    <t>IC-3577</t>
  </si>
  <si>
    <t>Fact#: 351446-353772 Rec#: 16943 MARIA ELIZABETH SANTOS MACIAS</t>
  </si>
  <si>
    <t>IC-3576</t>
  </si>
  <si>
    <t>Fact#: 352161-354503 Rec#: 16942 BERMELLO PONCE SALBADOR ATILIO</t>
  </si>
  <si>
    <t>IC-3575</t>
  </si>
  <si>
    <t>Fact#: 351445-353771 Rec#: 16941 ULISES MARTIN VARGAS FIGUEROA</t>
  </si>
  <si>
    <t>IC-3574</t>
  </si>
  <si>
    <t>Fact#: 351504-353831 Rec#: 16940 JOHANNA MARICELA CARRANZA ANCHUNDIA</t>
  </si>
  <si>
    <t>IC-3573</t>
  </si>
  <si>
    <t>Fact#: 354375 Rec#: 16939 RIVADENEIRA SACON GRACE ALEXANDRA</t>
  </si>
  <si>
    <t>IC-3572</t>
  </si>
  <si>
    <t>Fact#: 352458-354802 Rec#: 16938 BUSTAMANTE CHUQUIMARCA SANDRA ELIZABETH</t>
  </si>
  <si>
    <t>IC-3571</t>
  </si>
  <si>
    <t>Fact#: 352087-354427 Rec#: 16937 AGUINO ARTEAGA MARIA DE LOURDES</t>
  </si>
  <si>
    <t>IC-3570</t>
  </si>
  <si>
    <t>Fact#: 349911-352137-354479 Rec#: 16936 MORILLO GRIBORIO JUAN PABLO</t>
  </si>
  <si>
    <t>IC-3569</t>
  </si>
  <si>
    <t>Fact#: 352569-354912 Rec#: 16935 LOPEZ MALDONADO CARLOS ROLANDO</t>
  </si>
  <si>
    <t>IC-3568</t>
  </si>
  <si>
    <t>Fact#: 353892 Rec#: 32649 FERNANDO XAVIER DROUET CEDEÑO</t>
  </si>
  <si>
    <t>IC-3567</t>
  </si>
  <si>
    <t>Fact#: 352919-355277 Rec#: 32648 TIGUA QUIMIZ DENNYS XAVIER</t>
  </si>
  <si>
    <t>IC-3565</t>
  </si>
  <si>
    <t>Fact#: 349402-351600-353928 Rec#: 32647 CARMEN ELIZABETH BELTRAN GARCES</t>
  </si>
  <si>
    <t>IC-3564</t>
  </si>
  <si>
    <t>Fact#: 355642-355659-355660-355661 Rec#: 32646 RUIZ ROMAN ROMMEL ELIAS</t>
  </si>
  <si>
    <t>IC-3563</t>
  </si>
  <si>
    <t>Fact#: 355538 Rec#: 32645 CONSTRU-YA S.A.</t>
  </si>
  <si>
    <t>IC-3560</t>
  </si>
  <si>
    <t>CALLE DURAN DIEGO VINICIO ABONA SGTE FACTURA, BCO PACIFICO POR DEP EN CTA #DOC 0519015839</t>
  </si>
  <si>
    <t>AT-3239</t>
  </si>
  <si>
    <t>Fact#: 349992-352223-354563 Rec#: 32643 ECHEVERRIA MATA ALVARO DANIEL</t>
  </si>
  <si>
    <t>IC-3482</t>
  </si>
  <si>
    <t>Fact#: 347274-349751-351970 Rec#: 32642 AGUILAR CARDENAS EDWIN MARCELO</t>
  </si>
  <si>
    <t>IC-3481</t>
  </si>
  <si>
    <t>Fact#: 349697-351916-354254 Rec#: 32641 SUQUILANDA VERA MICHAEL ANTONIO</t>
  </si>
  <si>
    <t>IC-3480</t>
  </si>
  <si>
    <t>Fact#: 355775 Rec#: 32640 ADMINASES S A</t>
  </si>
  <si>
    <t>IC-3479</t>
  </si>
  <si>
    <t>Fact#: 353389 Rec#: 32639 STEFFIE GALLESE DE DUNN</t>
  </si>
  <si>
    <t>IC-3478</t>
  </si>
  <si>
    <t>Fact#: 355738 Rec#: 32638 MÜLLER CARDENAS MICHAEL</t>
  </si>
  <si>
    <t>IC-3477</t>
  </si>
  <si>
    <t>Fact#: 351968-354304 Rec#: 32637 ARIAS SALAZAR KATHERINE JUSETH</t>
  </si>
  <si>
    <t>IC-3476</t>
  </si>
  <si>
    <t>Fact#: 353430 Rec#: 32636 LUIS EDUARDO BAQUERIZO BRAND</t>
  </si>
  <si>
    <t>IC-3475</t>
  </si>
  <si>
    <t>Fact#: 352913-355271 Rec#: 32635 SOLEDISPA CHIPRE SANDRA GISELA</t>
  </si>
  <si>
    <t>IC-3474</t>
  </si>
  <si>
    <t>Fact#: 353615 Rec#: 32634 GRACIELA GUADALUPE MEREJILDO VERA</t>
  </si>
  <si>
    <t>IC-3473</t>
  </si>
  <si>
    <t>Fact#: 351365-353695 Rec#: 32633 MARCOS GABRIEL ECHEVERRIA GUTIERREZ</t>
  </si>
  <si>
    <t>IC-3472</t>
  </si>
  <si>
    <t>Fact#: 351194-353525 Rec#: 32632 VICENTE  IMAICELA ROSILLO</t>
  </si>
  <si>
    <t>IC-3471</t>
  </si>
  <si>
    <t>Fact#: 351129-353461 Rec#: 32631 LAURO DAVID TORRES CARRILLO</t>
  </si>
  <si>
    <t>IC-3470</t>
  </si>
  <si>
    <t>Fact#: 354660 Rec#: 16934 PARRALES CABRERA TEOFILO CELESTINO</t>
  </si>
  <si>
    <t>IC-3469</t>
  </si>
  <si>
    <t>Fact#: 351925-354260 Rec#: 16933 GONZALEZ MARTINEZ NINFA KARINA</t>
  </si>
  <si>
    <t>IC-3468</t>
  </si>
  <si>
    <t>Fact#: 354256 Rec#: 16932 ARROBA VALENCIA  JULIO ZENON</t>
  </si>
  <si>
    <t>IC-3467</t>
  </si>
  <si>
    <t>Fact#: 351433-353759 Rec#: 16931 TERESA LEONOR SALAZAR PLUAS</t>
  </si>
  <si>
    <t>IC-3466</t>
  </si>
  <si>
    <t>Fact#: 355680 Rec#: 16930 REX PLASTICS S.A.</t>
  </si>
  <si>
    <t>IC-3465</t>
  </si>
  <si>
    <t>Fact#: 352204-354545 Rec#: 16929 QUIMI LOPEZ FROILAN TITO</t>
  </si>
  <si>
    <t>IC-3464</t>
  </si>
  <si>
    <t>Fact#: 352570-354913 Rec#: 16928 GUZMAN PONGUILLO MAYRA AZUCENA</t>
  </si>
  <si>
    <t>IC-3463</t>
  </si>
  <si>
    <t>Fact#: 352757-355108 Rec#: 16927 ALAVA CORNEJO JOSE ISRAEL</t>
  </si>
  <si>
    <t>IC-3462</t>
  </si>
  <si>
    <t>Fact#: 355061 Rec#: 16926 PILLIGUA ANCHUNDIA SEGUNDO BAUDILLO</t>
  </si>
  <si>
    <t>IC-3461</t>
  </si>
  <si>
    <t>Fact#: 354105 Rec#: 16925 TAMAYO CARABALLOSO LISANDRA MERCEDES</t>
  </si>
  <si>
    <t>IC-3460</t>
  </si>
  <si>
    <t>Fact#: 355243 Rec#: 16924 ANDRADE RIVERA RAFAEL ALBERTO</t>
  </si>
  <si>
    <t>IC-3459</t>
  </si>
  <si>
    <t>Fact#: 354141 Rec#: 16923 VASQUEZ AYALA MARIA DE LOURDES</t>
  </si>
  <si>
    <t>IC-3458</t>
  </si>
  <si>
    <t>Fact#: 3775-3983 Rec#: 16922 AGUILAR ECHEVERRIA LUIS FERNANDO</t>
  </si>
  <si>
    <t>IC-3457</t>
  </si>
  <si>
    <t>Fact#: 355786 Rec#: 16921 LUZURIAGA CAMPOVERDE MILTON JAIRO</t>
  </si>
  <si>
    <t>IC-3456</t>
  </si>
  <si>
    <t>Fact#: 355785 Rec#: 16920 LUZURIAGA CAMPOVERDE MILTON JAIRO</t>
  </si>
  <si>
    <t>IC-3455</t>
  </si>
  <si>
    <t>Fact#: 352112-354452 Rec#: 16919 MINA MONTANO JUVER RUBEN</t>
  </si>
  <si>
    <t>IC-3454</t>
  </si>
  <si>
    <t>Fact#: 355425 Rec#: 32630 SOLUCIONES SEGURAS S.A</t>
  </si>
  <si>
    <t>IC-3440</t>
  </si>
  <si>
    <t>Fact#: 355473 Rec#: 32629 WANHAI LINES ECUADOR S.A.</t>
  </si>
  <si>
    <t>IC-3439</t>
  </si>
  <si>
    <t>Fact#: 339580-343124 Rec#: 32626 ROSERO CRUZ MARIA AUXILIADORA</t>
  </si>
  <si>
    <t>IC-3427</t>
  </si>
  <si>
    <t>Fact#: 352337-354680 Rec#: 16918 PIZA POZUELO FERNANDO</t>
  </si>
  <si>
    <t>IC-3424</t>
  </si>
  <si>
    <t>Fact#: 351357-353687 Rec#: 16917 EVELYN DAYANA LINO DELGADO</t>
  </si>
  <si>
    <t>IC-3423</t>
  </si>
  <si>
    <t>Fact#: 353818 Rec#: 16916 JAVIER ENRIQUE ARTEAGA MENENDEZ</t>
  </si>
  <si>
    <t>IC-3402</t>
  </si>
  <si>
    <t>Fact#: 351449-353775 Rec#: 16915 JERRY JEFFREY GARCIA HUAYAMAVE</t>
  </si>
  <si>
    <t>IC-3401</t>
  </si>
  <si>
    <t>Fact#: 351657-353988 Rec#: 16914 ALEX RICARDO POLIT LUNA</t>
  </si>
  <si>
    <t>IC-3400</t>
  </si>
  <si>
    <t>Fact#: 352061-354400 Rec#: 16913 BUENAVENTURA RODRIGUEZ MARIA DEL CARMEN</t>
  </si>
  <si>
    <t>IC-3399</t>
  </si>
  <si>
    <t>Fact#: 355255 Rec#: 16912 HIDROVO BARREIRO JOSE MIGUEL RUBEN</t>
  </si>
  <si>
    <t>IC-3398</t>
  </si>
  <si>
    <t>Fact#: 352304-354644 Rec#: 16911 BALSECA CALVA GRACIELA RAQUEL</t>
  </si>
  <si>
    <t>IC-3397</t>
  </si>
  <si>
    <t>Fact#: 352884-355244 Rec#: 32628 ALZAMORA BATALLA BLANCA LEONOR</t>
  </si>
  <si>
    <t>IC-3429</t>
  </si>
  <si>
    <t>Fact#: 3975 Rec#: 32627 CABEZAS GUERRA MARIA DEL CARMEN</t>
  </si>
  <si>
    <t>IC-3428</t>
  </si>
  <si>
    <t>Fact#: 354464 Rec#: 16910 MOREIRA VELEZ MANUEL ISIDRO</t>
  </si>
  <si>
    <t>IC-3396</t>
  </si>
  <si>
    <t>Fact#: 353558 Rec#: 16909 ARMANDO ROBERTO  YAGUAL BRITO</t>
  </si>
  <si>
    <t>IC-3395</t>
  </si>
  <si>
    <t>Fact#: 353694 Rec#: 16908 XIMENA DE LOURDES VASQUEZ HINOJOSA</t>
  </si>
  <si>
    <t>IC-3394</t>
  </si>
  <si>
    <t>Fact#: 351792-354130 Rec#: 16907 SUAREZ PALMA JOSE LUIS</t>
  </si>
  <si>
    <t>IC-3393</t>
  </si>
  <si>
    <t>Fact#: 354175 Rec#: 16906 MERCHAN  PEREZ FABIAN BERNARDINO</t>
  </si>
  <si>
    <t>IC-3392</t>
  </si>
  <si>
    <t>Fact#: 351090-353421 Rec#: 16905 DELIA AMPARO SALMERON ACOSTA</t>
  </si>
  <si>
    <t>IC-3391</t>
  </si>
  <si>
    <t>Fact#: 352264-354603 Rec#: 16904 CUEVA SAREZ JENNIFER STEFANIA</t>
  </si>
  <si>
    <t>IC-3390</t>
  </si>
  <si>
    <t>Fact#: 355111 Rec#: 16903 SORIA LAMAN HARRY SUN</t>
  </si>
  <si>
    <t>IC-3389</t>
  </si>
  <si>
    <t>Fact#: 354085 Rec#: 16902 YAGUAL GOMEZ JOHAN ALEJANDRO</t>
  </si>
  <si>
    <t>IC-3388</t>
  </si>
  <si>
    <t>Fact#: 353280-355710 Rec#: 16901 TRSC ENTERPRISES S.A</t>
  </si>
  <si>
    <t>IC-3387</t>
  </si>
  <si>
    <t>Fact#: 353374 Rec#: 32656 OTECEL</t>
  </si>
  <si>
    <t>IC-3594</t>
  </si>
  <si>
    <t>Fact#: 355772 Rec#: 32644 REPROLIMIT CIA.LTDA</t>
  </si>
  <si>
    <t>IC-3483</t>
  </si>
  <si>
    <t>Fact#: 353379 Rec#: 32625 Corporación Nacional de Telecomunicaciones-CNT EP</t>
  </si>
  <si>
    <t>IC-3415</t>
  </si>
  <si>
    <t>Fact#: 355744 Rec#: 32624 EMPRESA PUBLICA MUNICIPAL PARA LA GESTIÓN DE LA INNOVACIÓN  Y LA COMPETITIVIDAD, EP</t>
  </si>
  <si>
    <t>IC-3414</t>
  </si>
  <si>
    <t>Fact#: 354299 Rec#: 32623 SOXO QUICHIMBO IVONNE ALEXANDRA</t>
  </si>
  <si>
    <t>IC-3410</t>
  </si>
  <si>
    <t>Fact#: 354193 Rec#: 32622 VARGAS TORRES ZENIA</t>
  </si>
  <si>
    <t>IC-3409</t>
  </si>
  <si>
    <t>Fact#: 353208-355633 Rec#: 32621 SERVICIO &amp; MANTENIMIENTO INDUSTRIAL MANSEINSAJAB S.A</t>
  </si>
  <si>
    <t>IC-3408</t>
  </si>
  <si>
    <t>Fact#: 354434 Rec#: 32620 REIMBERG BADUY PETER PAUL</t>
  </si>
  <si>
    <t>IC-3407</t>
  </si>
  <si>
    <t>Fact#: 355388 Rec#: 32619 ASOC. PRO. NEW YORK 12 DE SEPTIEMBRE</t>
  </si>
  <si>
    <t>IC-3406</t>
  </si>
  <si>
    <t>Fact#: 355381 Rec#: 32618 ASOC. PRO. NEW YORK 12 DE SEPTIEMBRE</t>
  </si>
  <si>
    <t>IC-3405</t>
  </si>
  <si>
    <t>Fact#: 355005 Rec#: 32617 MARTINEZ PUGA XAVIER ENRRIQUE</t>
  </si>
  <si>
    <t>IC-3404</t>
  </si>
  <si>
    <t>Fact#: 353714 Rec#: 32616 MIRIAM ANTONIETA MARIDUEÑA VALENZUELA</t>
  </si>
  <si>
    <t>IC-3403</t>
  </si>
  <si>
    <t>Fact#: 355714 Rec#: 16900 BRODERIN S.A</t>
  </si>
  <si>
    <t>IC-3386</t>
  </si>
  <si>
    <t>Fact#: 354296 Rec#: 16899 VASQUEZ DORA JUAN JOSE</t>
  </si>
  <si>
    <t>IC-3385</t>
  </si>
  <si>
    <t>Fact#: 354432 Rec#: 16898 YUMBLA MENDIETA MONICA ELIZABETH</t>
  </si>
  <si>
    <t>IC-3384</t>
  </si>
  <si>
    <t>Fact#: 354495 Rec#: 16897 JIMA BRAVO  JOSE FLORENCIO</t>
  </si>
  <si>
    <t>IC-3383</t>
  </si>
  <si>
    <t>Fact#: 341501-354624 Rec#: 16896 RAMOS PACHAY JOSE MANUEL</t>
  </si>
  <si>
    <t>IC-3382</t>
  </si>
  <si>
    <t>Fact#: 352227-354567 Rec#: 16895 BENITEZ SIGUENZA CECILIA DEL CARMEN</t>
  </si>
  <si>
    <t>IC-3381</t>
  </si>
  <si>
    <t>Fact#: 352308-354648 Rec#: 16894 VERA VELOZ LISSETTE IRENE</t>
  </si>
  <si>
    <t>IC-3380</t>
  </si>
  <si>
    <t>Fact#: 353408 Rec#: 16893 LIDIA JUDITH OJEDA RUIZ</t>
  </si>
  <si>
    <t>IC-3379</t>
  </si>
  <si>
    <t>Fact#: 3846 Rec#: 16892 SILVA REA OLIVO AMADO</t>
  </si>
  <si>
    <t>IC-3378</t>
  </si>
  <si>
    <t>Fact#: 354331 Rec#: 16891 PILAY QUINDE ALEXI ANDRES</t>
  </si>
  <si>
    <t>IC-3377</t>
  </si>
  <si>
    <t>Fact#: 351406-353732 Rec#: 16890 SARA YAZMIN MOLINA ASENCIO</t>
  </si>
  <si>
    <t>IC-3376</t>
  </si>
  <si>
    <t>Fact#: 354910 Rec#: 16889 SANCHEZ PEREZ FRANCISCO ROBERTO</t>
  </si>
  <si>
    <t>IC-3375</t>
  </si>
  <si>
    <t>Fact#: 354420 Rec#: 16888 MAYEZA REGALADO JIMMY HARRY</t>
  </si>
  <si>
    <t>IC-3374</t>
  </si>
  <si>
    <t>Fact#: 352681-355027 Rec#: 16887 HOLGUIN VAQUE PEDRO PABLO</t>
  </si>
  <si>
    <t>IC-3373</t>
  </si>
  <si>
    <t>Fact#: 355606 Rec#: 16886 R.C.N CONSTRUCIONES S.A</t>
  </si>
  <si>
    <t>IC-3372</t>
  </si>
  <si>
    <t>Fact#: 355607 Rec#: 16885 R.C.N CONSTRUCIONES S.A</t>
  </si>
  <si>
    <t>IC-3371</t>
  </si>
  <si>
    <t>Fact#: 352357-354699 Rec#: 16884 MARQUEZ SELLAN NICOLAS AGAPITO</t>
  </si>
  <si>
    <t>IC-3370</t>
  </si>
  <si>
    <t>Fact#: 352667-355011 Rec#: 16883 CABEZAS QUINONEZ LEONELA KATHERINE</t>
  </si>
  <si>
    <t>IC-3369</t>
  </si>
  <si>
    <t>Fact#: 3885 Rec#: 16882 ESPIN BIFARINI LOURDES TAMARA</t>
  </si>
  <si>
    <t>IC-3368</t>
  </si>
  <si>
    <t>Fact#: 354153 Rec#: 16881 AGUILAR AVILES ANDREA CAROLINA</t>
  </si>
  <si>
    <t>IC-3367</t>
  </si>
  <si>
    <t>Fact#: 354959 Rec#: 16880 MACHACILLA QUINCHE MARIO UBALDO</t>
  </si>
  <si>
    <t>IC-3366</t>
  </si>
  <si>
    <t>Fact#: 351166-353496 Rec#: 16879 MARCOS ALFREDO CHANG HI FONG</t>
  </si>
  <si>
    <t>IC-3365</t>
  </si>
  <si>
    <t>Fact#: 352496-354841 Rec#: 16878 ARBOLEDA CORTEZ CRUZ</t>
  </si>
  <si>
    <t>IC-3364</t>
  </si>
  <si>
    <t>Fact#: 351414-353740 Rec#: 16877 KEVIN BLADIMIR PONCE GREFA</t>
  </si>
  <si>
    <t>IC-3363</t>
  </si>
  <si>
    <t>Fact#: 354278 Rec#: 16876 XIAOBAO WENG</t>
  </si>
  <si>
    <t>IC-3362</t>
  </si>
  <si>
    <t>Fact#: 350191-352451-354795 Rec#: 16875 VERA DOMINGUEZ JOSE MARCELO</t>
  </si>
  <si>
    <t>IC-3361</t>
  </si>
  <si>
    <t>Fact#: 351707-354041 Rec#: 16874 PEDRO ROBERTO MERELLO LOPEZ</t>
  </si>
  <si>
    <t>IC-3360</t>
  </si>
  <si>
    <t>Fact#: 354348 Rec#: 16873 ROMAN ALVARADO LILIAN ISIDORA</t>
  </si>
  <si>
    <t>IC-3359</t>
  </si>
  <si>
    <t>Fact#: 352066-354405 Rec#: 16872 ESCOBAR HERRERA EDISON EDUARDO</t>
  </si>
  <si>
    <t>IC-3358</t>
  </si>
  <si>
    <t>Fact#: 351044 Rec#: 32615 CONSORCIO ECUATORIANO DE TELECOMUNICACIONES S.A. CONECEL</t>
  </si>
  <si>
    <t>IC-3346</t>
  </si>
  <si>
    <t>Fact#: 354059 Rec#: 32614 DANIELA MELISSA MORAN RUGEL</t>
  </si>
  <si>
    <t>IC-3336</t>
  </si>
  <si>
    <t>AMERICAN EXPRESS CANCELACION DEBITO TARJETAS GUAYAQUIL- PAGO DE FACT 353666- 353994- 354128- 355624- 355627- 354390- 354649- 354749- 354857- 355541- 354906- 354976- 354908- 354705- 354853- 355740- 355114- 355166- 355148- 355200- 355192-355064 355214</t>
  </si>
  <si>
    <t>VISA - MASTERCARD - PACIFICARD CANCELACION DEBITO TARJETAS- PAGO DE FACT 351310- 353639- 353023- 355434- 351347- 353677- 351591- 353920- 352399-354739- 352761- 355112- 352748- 355098- 355135- 3755- 3953- 355234- 355512- 355513- 355522</t>
  </si>
  <si>
    <t>Fact#: 354909 Rec#: 32770 GABINO MIRANDA DAVID EDUARDO</t>
  </si>
  <si>
    <t>IC-4254</t>
  </si>
  <si>
    <t>Fact#: 353375 Rec#: 32726 Corporación Nacional de Telecomunicaciones-CNT EP</t>
  </si>
  <si>
    <t>IC-4046</t>
  </si>
  <si>
    <t>Fact#: 352585-354930 Rec#: 32613 LARA CHERE FREDY GONZALO</t>
  </si>
  <si>
    <t>IC-3315</t>
  </si>
  <si>
    <t>Fact#: 351825-354165 Rec#: 32612 BAQUERO PILOSO OTTO XAVIER</t>
  </si>
  <si>
    <t>IC-3314</t>
  </si>
  <si>
    <t>Fact#: 354597 Rec#: 32611 ANDRADE AMOROZO AUGUSTO GUIDO</t>
  </si>
  <si>
    <t>IC-3313</t>
  </si>
  <si>
    <t>Fact#: 353587 Rec#: 32610 HUGO RENE LUNA</t>
  </si>
  <si>
    <t>IC-3312</t>
  </si>
  <si>
    <t>Fact#: 3896 Rec#: 16871 GUERRERO CASTRO ROSA ELVIRA</t>
  </si>
  <si>
    <t>IC-3304</t>
  </si>
  <si>
    <t>Fact#: 354619 Rec#: 16870 CABRERA JIMENES FAUSTO IBAN</t>
  </si>
  <si>
    <t>IC-3303</t>
  </si>
  <si>
    <t>Fact#: 351778-354115 Rec#: 16869 MORA GUERRERO HILDA ANTONIETA</t>
  </si>
  <si>
    <t>IC-3302</t>
  </si>
  <si>
    <t>Fact#: 351801-354140 Rec#: 16868 CARRIEL DELGADO SIRLYS JADIRA</t>
  </si>
  <si>
    <t>IC-3301</t>
  </si>
  <si>
    <t>Fact#: 354441 Rec#: 16867 GUERRERO CRESPIN JULIO ENRIQUE</t>
  </si>
  <si>
    <t>IC-3300</t>
  </si>
  <si>
    <t>Fact#: 354486 Rec#: 16866 SALAZAR TELLO NICOLAS EDUARDO</t>
  </si>
  <si>
    <t>IC-3299</t>
  </si>
  <si>
    <t>Fact#: 351519-353847 Rec#: 16865 MICHAEL MAURICIO MORLA MERO</t>
  </si>
  <si>
    <t>IC-3298</t>
  </si>
  <si>
    <t>Fact#: 354403 Rec#: 16864 AGUIRRE HURTADO KATHERINE ELIZABETH</t>
  </si>
  <si>
    <t>IC-3297</t>
  </si>
  <si>
    <t>Fact#: 339637-343182-346210 Rec#: 16863 BLOISE CORTAZAR LUIGI BRUNO</t>
  </si>
  <si>
    <t>IC-3296</t>
  </si>
  <si>
    <t>Fact#: 351905-354243 Rec#: 16862 ANANGONO COTTO ALEXANDRA MARIBEL</t>
  </si>
  <si>
    <t>IC-3295</t>
  </si>
  <si>
    <t>Fact#: 354808 Rec#: 16861 ARROYO MOURA RENE PATRICIO</t>
  </si>
  <si>
    <t>IC-3294</t>
  </si>
  <si>
    <t>Fact#: 3835 Rec#: 16860 CADENA CHONTASI OLGA MARIA</t>
  </si>
  <si>
    <t>IC-3293</t>
  </si>
  <si>
    <t>Fact#: 351840-354181 Rec#: 16859 QUIÑONEZ VILLOTA KATTY ELIANA</t>
  </si>
  <si>
    <t>IC-3292</t>
  </si>
  <si>
    <t>Fact#: 351650-353981 Rec#: 16858 JACKELINE LUCIA LOOR ORTEGA</t>
  </si>
  <si>
    <t>IC-3291</t>
  </si>
  <si>
    <t>Fact#: 353220-355645 Rec#: 16857 VIOSCULPT ECUADOR S.A.</t>
  </si>
  <si>
    <t>IC-3290</t>
  </si>
  <si>
    <t>Fact#: 353518 Rec#: 16856 LAURA BEATRIZ  ENCALADA ESPINOZA</t>
  </si>
  <si>
    <t>IC-3289</t>
  </si>
  <si>
    <t>Fact#: 354735 Rec#: 16855 MORA SANCHEZ DIANA LISSETH</t>
  </si>
  <si>
    <t>IC-3288</t>
  </si>
  <si>
    <t>Fact#: 352689-355035 Rec#: 16854 LANDA SANCHEZ JAZMIN ALEXANDRA</t>
  </si>
  <si>
    <t>IC-3287</t>
  </si>
  <si>
    <t>Fact#: 354879 Rec#: 16853 FRANCO BARRAGAN MARLON JULIO</t>
  </si>
  <si>
    <t>IC-3286</t>
  </si>
  <si>
    <t>Fact#: 353013-355423 Rec#: 16852 IGLESIA DE JESUCRISTO SUD</t>
  </si>
  <si>
    <t>IC-3285</t>
  </si>
  <si>
    <t>Fact#: 352961-355317 Rec#: 16851 OCHOA RUIZ JORGE LUIS</t>
  </si>
  <si>
    <t>IC-3284</t>
  </si>
  <si>
    <t>Fact#: 354558 Rec#: 16850 ORELLANA CALDERON JUAN CARLOS</t>
  </si>
  <si>
    <t>IC-3283</t>
  </si>
  <si>
    <t>Fact#: 3648-3845 Rec#: 16849 ZAMBRANO OLMEDO VERONICA PATRICIA</t>
  </si>
  <si>
    <t>IC-3282</t>
  </si>
  <si>
    <t>Fact#: 350021-352255-354594 Rec#: 16848 CALONGE GUERRERO JAIR</t>
  </si>
  <si>
    <t>IC-3281</t>
  </si>
  <si>
    <t>Fact#: 355703 Rec#: 16847 SPORTMEDIC.S.A</t>
  </si>
  <si>
    <t>IC-3280</t>
  </si>
  <si>
    <t>Fact#: 353713 Rec#: 16846 CINDY LORENA BAJAÑA BELTRAN</t>
  </si>
  <si>
    <t>IC-3279</t>
  </si>
  <si>
    <t>Fact#: 353449 Rec#: 16845 MORAIMA SEMINARIO TOLEDO</t>
  </si>
  <si>
    <t>IC-3278</t>
  </si>
  <si>
    <t>Fact#: 349311-351501-353828 Rec#: 16844 CHRISTIAN RODIAN GONZALEZ ZAMBRANO</t>
  </si>
  <si>
    <t>IC-3277</t>
  </si>
  <si>
    <t>Fact#: 351910-354247 Rec#: 16843 SALEM ONETO MARIA AUXILIADORA</t>
  </si>
  <si>
    <t>IC-3276</t>
  </si>
  <si>
    <t>Fact#: 352427-354768 Rec#: 16842 LUCIN DE LA A ANA GERTRUDIS</t>
  </si>
  <si>
    <t>IC-3275</t>
  </si>
  <si>
    <t>Fact#: 354529 Rec#: 16841 CRUZ MONTANO CLAUDIA JOHANNA</t>
  </si>
  <si>
    <t>IC-3274</t>
  </si>
  <si>
    <t>Fact#: 352655-355001 Rec#: 16840 ENRIQUEZ LOMBEIDA ROSA ISABEL</t>
  </si>
  <si>
    <t>IC-3273</t>
  </si>
  <si>
    <t>Fact#: 354953 Rec#: 16839 ARAUJO AGUIRRE JUAN JOSE</t>
  </si>
  <si>
    <t>IC-3272</t>
  </si>
  <si>
    <t>Fact#: 355574 Rec#: 32609 SINERGIA MARIN SANCHEZ S.A. SINERMASA</t>
  </si>
  <si>
    <t>IC-3197</t>
  </si>
  <si>
    <t>Fact#: 354307 Rec#: 32734 LOGROÑO REYES VICENTE JAVIER</t>
  </si>
  <si>
    <t>IC-4068</t>
  </si>
  <si>
    <t>Fact#: 349203-351389-353717 Rec#: 32608 EDISON GEOVANNY MEDINA SANGOLUISA</t>
  </si>
  <si>
    <t>IC-3080</t>
  </si>
  <si>
    <t>Fact#: 355146 Rec#: 32607 ESCALANTE BUSTAMANTE MARIA GABRIELA</t>
  </si>
  <si>
    <t>IC-3079</t>
  </si>
  <si>
    <t>Fact#: 353462 Rec#: 32606 ALVARO CORNEJO RODRIGUEZ</t>
  </si>
  <si>
    <t>IC-3078</t>
  </si>
  <si>
    <t>Fact#: 353317-355752 Rec#: 32605 JAUREGUI RICO FERNANDO</t>
  </si>
  <si>
    <t>IC-3077</t>
  </si>
  <si>
    <t>Fact#: 353298-355731 Rec#: 32604 PAN ZI</t>
  </si>
  <si>
    <t>IC-3076</t>
  </si>
  <si>
    <t>Fact#: 353297-355730 Rec#: 32603 PAN ZI</t>
  </si>
  <si>
    <t>IC-3075</t>
  </si>
  <si>
    <t>Fact#: 351476-353805 Rec#: 32602 CAROLINA ALICIA EGAS NUÑEZ</t>
  </si>
  <si>
    <t>IC-3074</t>
  </si>
  <si>
    <t>Fact#: 354124 Rec#: 32601 RUIZ VELEZ LIBIA KARINA</t>
  </si>
  <si>
    <t>IC-3073</t>
  </si>
  <si>
    <t>Fact#: 355598 Rec#: 32600 DELGADO VINTIMILLA CARLOS FERNANDO</t>
  </si>
  <si>
    <t>IC-3072</t>
  </si>
  <si>
    <t>Fact#: 355103 Rec#: 32599 ANDRADE FLORENCIA  EMILIO JOSE</t>
  </si>
  <si>
    <t>IC-3071</t>
  </si>
  <si>
    <t>Fact#: 353090-355503 Rec#: 32598 WILMER JONAS MEJIA LEON</t>
  </si>
  <si>
    <t>IC-3070</t>
  </si>
  <si>
    <t>Fact#: 352672-355018 Rec#: 32597 CADENA CHONG SEGUNDO NAPOLEON</t>
  </si>
  <si>
    <t>IC-3069</t>
  </si>
  <si>
    <t>Fact#: 354357 Rec#: 32596 ESPANA BAJANA STEFANIA ELIZABETH</t>
  </si>
  <si>
    <t>IC-3068</t>
  </si>
  <si>
    <t>Fact#: 351700-354034 Rec#: 16838 JUVIKA JOHANNA CABUYALES HUACON</t>
  </si>
  <si>
    <t>IC-3067</t>
  </si>
  <si>
    <t>Fact#: 355110 Rec#: 16837 GONZALEZ BARRERA ANABEL NATALI</t>
  </si>
  <si>
    <t>IC-3066</t>
  </si>
  <si>
    <t>Fact#: 352421-354762 Rec#: 16836 BERMEO ANDRADE RITA AZUCENA</t>
  </si>
  <si>
    <t>IC-3065</t>
  </si>
  <si>
    <t>Fact#: 353359 Rec#: 16835 GREENCORP SUPPLIES AND GRESURESA S.A</t>
  </si>
  <si>
    <t>IC-3064</t>
  </si>
  <si>
    <t>Fact#: 354643 Rec#: 16834 JURADO VELEZ JONNY EUGENIO</t>
  </si>
  <si>
    <t>IC-3063</t>
  </si>
  <si>
    <t>Fact#: 351694-354028 Rec#: 16833 ELIDA DEL CARMEN MOREIRA VELEZ</t>
  </si>
  <si>
    <t>IC-3062</t>
  </si>
  <si>
    <t>Fact#: 354773 Rec#: 16832 ALZAMORA ALVARADO HECTOR JAVIER</t>
  </si>
  <si>
    <t>IC-3061</t>
  </si>
  <si>
    <t>Fact#: 353153 Rec#: 16831 SANCHEZ TIMM RAFAEL ANDRES</t>
  </si>
  <si>
    <t>IC-3060</t>
  </si>
  <si>
    <t>Fact#: 352096-354436 Rec#: 16830 CHOLOTA OQUENDO JORDAN GONZALO</t>
  </si>
  <si>
    <t>IC-3059</t>
  </si>
  <si>
    <t>Fact#: 352285-354625 Rec#: 16829 RAMOS PACHAY JOSE MANUEL</t>
  </si>
  <si>
    <t>IC-3058</t>
  </si>
  <si>
    <t>Fact#: 353747 Rec#: 16828 ANDREA CANAHUATI CHAIN</t>
  </si>
  <si>
    <t>IC-3057</t>
  </si>
  <si>
    <t>Fact#: 354158 Rec#: 16827 PINO MATAMOROS GALO EFRAIN</t>
  </si>
  <si>
    <t>IC-3056</t>
  </si>
  <si>
    <t>Fact#: 352584-354929 Rec#: 16826 MORAN MOSQUERA JORGE RAMON</t>
  </si>
  <si>
    <t>IC-3055</t>
  </si>
  <si>
    <t>Fact#: 3655-3852 Rec#: 16825 TIO ALVAREZ ADRIAN</t>
  </si>
  <si>
    <t>IC-3054</t>
  </si>
  <si>
    <t>Fact#: 351434-353760 Rec#: 16824 MOISES SIGIFREDO OBANDO MONTENEGRO</t>
  </si>
  <si>
    <t>IC-3053</t>
  </si>
  <si>
    <t>Fact#: 353609 Rec#: 16823 BELLA FRANCISCA FARIAS BANEGAS</t>
  </si>
  <si>
    <t>IC-3052</t>
  </si>
  <si>
    <t>Fact#: 352982 Rec#: 16822 ASOCIACION DE PROPIETARIOS VALLE ALTO ETAPA PARIS</t>
  </si>
  <si>
    <t>IC-3051</t>
  </si>
  <si>
    <t>Fact#: 321577-324332-327110-329879-332736-335661-338604-341596-345120-347620 Rec#: 16821 TACURY CALDERON CARLOS ALBERTO</t>
  </si>
  <si>
    <t>IC-3050</t>
  </si>
  <si>
    <t>Fact#: 3882 Rec#: 16820 SALINAS GONZALEZ JAIME PATRICIO</t>
  </si>
  <si>
    <t>IC-3049</t>
  </si>
  <si>
    <t>Fact#: 353563 Rec#: 16819 NELIS MARIA PINARGOTE YEPEZ</t>
  </si>
  <si>
    <t>IC-3048</t>
  </si>
  <si>
    <t>Fact#: 351837-354177 Rec#: 16818 SALTOS RODRIGUEZ ANDREA EDITH</t>
  </si>
  <si>
    <t>IC-3047</t>
  </si>
  <si>
    <t>Fact#: 350454-352738-355088 Rec#: 16817 VALLEJO MEDRANDA YURI MAURICIO</t>
  </si>
  <si>
    <t>IC-3046</t>
  </si>
  <si>
    <t>Fact#: 354251 Rec#: 16816 CASTRO DORADO MARJORIE LUCIA</t>
  </si>
  <si>
    <t>IC-3045</t>
  </si>
  <si>
    <t>Fact#: 351998-354333 Rec#: 16815 RUIZ SOLANO KELVIL ORLANDO</t>
  </si>
  <si>
    <t>IC-3044</t>
  </si>
  <si>
    <t>Fact#: 351615-353943 Rec#: 16814 RUTH ANGELICA VERDEZOTO GAIBOR</t>
  </si>
  <si>
    <t>IC-3043</t>
  </si>
  <si>
    <t>Fact#: 352200-354542 Rec#: 16813 ANZULES LEMA JUAN GABRIEL</t>
  </si>
  <si>
    <t>IC-3042</t>
  </si>
  <si>
    <t>Fact#: 353555 Rec#: 16812 RIOS ORELLANA INGRID DE LA CRUZ</t>
  </si>
  <si>
    <t>IC-3041</t>
  </si>
  <si>
    <t>Fact#: 353030 Rec#: 32595 JORGE RODRIGUEZ Y DUQUE</t>
  </si>
  <si>
    <t>IC-3037</t>
  </si>
  <si>
    <t>Fact#: 352742-355092 Rec#: 32594 CAGUANA VELESACA NORMA ALEXANDRA</t>
  </si>
  <si>
    <t>IC-3032</t>
  </si>
  <si>
    <t>Fact#: 350518-352816-355182 Rec#: 32593 REYES HERRERA SILVIA LORENA</t>
  </si>
  <si>
    <t>IC-3028</t>
  </si>
  <si>
    <t>Fact#: 354777 Rec#: 32592 ARANA BARROS AMBAR GEOVANA</t>
  </si>
  <si>
    <t>IC-3027</t>
  </si>
  <si>
    <t>Fact#: 355466-355468 Rec#: 32590 JUAYATABC TELEVISION S.A.</t>
  </si>
  <si>
    <t>IC-3015</t>
  </si>
  <si>
    <t>Fact#: 314426-328095-330901-333793-336737-339731-343274-346302-348752 Rec#: 32589 LABMAC S.A.</t>
  </si>
  <si>
    <t>IC-3014</t>
  </si>
  <si>
    <t>Fact#: 355672 Rec#: 32591 MARRIOTT S.A</t>
  </si>
  <si>
    <t>IC-3025</t>
  </si>
  <si>
    <t>Fact#: 353047-353048-355457-355458 Rec#: 32588 REFRIGERACIÓN INDUSTRIAL CORNEJO REFRICOR-EC CIA.</t>
  </si>
  <si>
    <t>IC-3013</t>
  </si>
  <si>
    <t>Fact#: 354852 Rec#: 16811 CERCADO MENDOZA MARIA AUXILIADORA</t>
  </si>
  <si>
    <t>IC-2996</t>
  </si>
  <si>
    <t>Fact#: 353643 Rec#: 16810 CESAR AUGUSTO BAQUERIZO AROSEMENA</t>
  </si>
  <si>
    <t>IC-2995</t>
  </si>
  <si>
    <t>Fact#: 351982-354317 Rec#: 16809 MENDEZ VILLON CARMEN MARISOL</t>
  </si>
  <si>
    <t>IC-2994</t>
  </si>
  <si>
    <t>Fact#: 351797-354135 Rec#: 16808 MANTILLA ABAD DARWIN ALEX</t>
  </si>
  <si>
    <t>IC-2993</t>
  </si>
  <si>
    <t>Fact#: 354040 Rec#: 16807 OSCAR LEONEL MONTERO HINOJOSA</t>
  </si>
  <si>
    <t>IC-2992</t>
  </si>
  <si>
    <t>Fact#: 354282 Rec#: 16806 GOMEZ PENAFIEL BLANCA VICTORIA</t>
  </si>
  <si>
    <t>IC-2991</t>
  </si>
  <si>
    <t>Fact#: 351985-354319 Rec#: 16805 BURGOS MERCHAN UVENCIO ELICIO</t>
  </si>
  <si>
    <t>IC-2990</t>
  </si>
  <si>
    <t>Fact#: 354391 Rec#: 16804 ORTEGA CONFORME  JANET AURORA</t>
  </si>
  <si>
    <t>IC-2989</t>
  </si>
  <si>
    <t>Fact#: 351793-354131 Rec#: 16803 SUAREZ MAGALLANES JULIO ALFONSO</t>
  </si>
  <si>
    <t>IC-2988</t>
  </si>
  <si>
    <t>Fact#: 354730 Rec#: 16802 CHUCA CHANCAY ANDREA BETZABETH</t>
  </si>
  <si>
    <t>IC-2987</t>
  </si>
  <si>
    <t>Fact#: 355091 Rec#: 16801 LAINEZ FRANCO MILDRED BETSABE</t>
  </si>
  <si>
    <t>IC-2986</t>
  </si>
  <si>
    <t>Fact#: 350968-353295 Rec#: 16800 ORELLANA ALVAREZ FRANKLIN NAPOLEON</t>
  </si>
  <si>
    <t>IC-2985</t>
  </si>
  <si>
    <t>Fact#: 353712 Rec#: 16799 MARIA DEL ROSARIO GUZMAN MASPONS</t>
  </si>
  <si>
    <t>IC-2984</t>
  </si>
  <si>
    <t>Fact#: 353267 Rec#: 16798 RENFID S.A.</t>
  </si>
  <si>
    <t>IC-2982</t>
  </si>
  <si>
    <t>Fact#: 354720 Rec#: 16797 LUCAS VALAREZO CRISTINA EVELIN</t>
  </si>
  <si>
    <t>IC-2981</t>
  </si>
  <si>
    <t>Fact#: 340738-344262-347063 Rec#: 16796 VASQUEZ GOMEZ FREDDY DOLORES</t>
  </si>
  <si>
    <t>IC-2980</t>
  </si>
  <si>
    <t>Fact#: 353271 Rec#: 16795 ALVARADO COBOS ALDO MANUEL</t>
  </si>
  <si>
    <t>IC-2979</t>
  </si>
  <si>
    <t>Fact#: 343889-346825-349290 Rec#: 16794 PAOLA MARIA AURELIA BARBA BAILON</t>
  </si>
  <si>
    <t>IC-2978</t>
  </si>
  <si>
    <t>Fact#: 354496 Rec#: 16793 FERNANDEZ PACHECO DIANA ISABEL</t>
  </si>
  <si>
    <t>IC-2977</t>
  </si>
  <si>
    <t>Fact#: 355215 Rec#: 16792 SANCHEZ MENDOZA ANA ADELA</t>
  </si>
  <si>
    <t>IC-2976</t>
  </si>
  <si>
    <t>Fact#: 353321 Rec#: 16791 LANDIVAR VELIZ CARLOS ALEX</t>
  </si>
  <si>
    <t>IC-2975</t>
  </si>
  <si>
    <t>Fact#: 321270-324028-326802-329567-332419-335340-338282-341274-344798 Rec#: 16790 FIGUEROA RODRIGUEZ JUANA BARTOLA</t>
  </si>
  <si>
    <t>IC-2974</t>
  </si>
  <si>
    <t>Fact#: 332464-335385-338327-341319-344844 Rec#: 16789 ALCIVAR MACIAS ROLANDO ANTONIO</t>
  </si>
  <si>
    <t>IC-2973</t>
  </si>
  <si>
    <t>Fact#: 354023 Rec#: 16788 BEATRIZ MARIA DEL CARMEN PACHECO BALLESTEROS</t>
  </si>
  <si>
    <t>IC-2971</t>
  </si>
  <si>
    <t>Fact#: 354039 Rec#: 16787 NARCISA MIRELLA ANDRADE SALTOS</t>
  </si>
  <si>
    <t>IC-2970</t>
  </si>
  <si>
    <t>Fact#: 353626 Rec#: 16786 MARIA PIEDAD MONTALVAN CAMPOVERDE</t>
  </si>
  <si>
    <t>IC-2969</t>
  </si>
  <si>
    <t>Fact#: 352239-354578 Rec#: 16785 MORENO GOMEZ DUQUE ALFREDO</t>
  </si>
  <si>
    <t>IC-2968</t>
  </si>
  <si>
    <t>Fact#: 352231-354571 Rec#: 16784 MORENO GOMEZ DUQUE ALFREDO</t>
  </si>
  <si>
    <t>IC-2967</t>
  </si>
  <si>
    <t>Fact#: 354978 Rec#: 16783 CABRERA SOLORZANO NELSON CATITO</t>
  </si>
  <si>
    <t>IC-2966</t>
  </si>
  <si>
    <t>Fact#: 354901 Rec#: 16782 TAPIA RODRIGUEZ MARIOLI MARITZA</t>
  </si>
  <si>
    <t>IC-2965</t>
  </si>
  <si>
    <t>Fact#: 352480-354825 Rec#: 16781 BURBANO VARGAS LUIS ALEJANDRO</t>
  </si>
  <si>
    <t>IC-2964</t>
  </si>
  <si>
    <t>Fact#: 349292-351479-353807 Rec#: 32587 HUGO ALEXANDER ELIAS MENDEZ</t>
  </si>
  <si>
    <t>IC-2963</t>
  </si>
  <si>
    <t>Fact#: 355395 Rec#: 32586 AUTOMEKANO CIA. LTDA</t>
  </si>
  <si>
    <t>IC-2962</t>
  </si>
  <si>
    <t>Fact#: 355599 Rec#: 32585 RITOMI S.A.</t>
  </si>
  <si>
    <t>IC-2961</t>
  </si>
  <si>
    <t>Fact#: 355547 Rec#: 32584 RITOMI S.A.</t>
  </si>
  <si>
    <t>IC-2960</t>
  </si>
  <si>
    <t>Fact#: 355389 Rec#: 32583 ASOC. DE PROPIETARIOS URB. TERRASOL</t>
  </si>
  <si>
    <t>IC-2959</t>
  </si>
  <si>
    <t>Fact#: 355384 Rec#: 32582 EFFICACITAS CONSULTORA CIA.LTDA.</t>
  </si>
  <si>
    <t>IC-2958</t>
  </si>
  <si>
    <t>Fact#: 355386 Rec#: 32581 EFFICACITAS CONSULTORA CIA.LTDA.</t>
  </si>
  <si>
    <t>IC-2957</t>
  </si>
  <si>
    <t>Fact#: 355385 Rec#: 32580 EFFICACITAS CONSULTORA CIA.LTDA.</t>
  </si>
  <si>
    <t>IC-2956</t>
  </si>
  <si>
    <t>Fact#: 355484 Rec#: 32579 DUPROCSA S.A.</t>
  </si>
  <si>
    <t>IC-2955</t>
  </si>
  <si>
    <t>Fact#: 355475 Rec#: 32578 BELLUSCIO S.A.</t>
  </si>
  <si>
    <t>IC-2954</t>
  </si>
  <si>
    <t>Fact#: 355580 Rec#: 32577 INDUVERIKA S.A.</t>
  </si>
  <si>
    <t>IC-2953</t>
  </si>
  <si>
    <t>Fact#: 353404 Rec#: 32576 GISELLE MARIELA CLEMENTE VERA</t>
  </si>
  <si>
    <t>IC-2952</t>
  </si>
  <si>
    <t>Fact#: 354943 Rec#: 32575 JOSE FRANCISCO  FERNANDEZ   ESPINOZA</t>
  </si>
  <si>
    <t>IC-2951</t>
  </si>
  <si>
    <t>Fact#: 353572 Rec#: 32574 TERESA DE LA CRUZ TOSCANO BRITO</t>
  </si>
  <si>
    <t>IC-2950</t>
  </si>
  <si>
    <t>Fact#: 353557 Rec#: 32573 MANRIQUEZ SALAZAR MARIA PAZ</t>
  </si>
  <si>
    <t>IC-2949</t>
  </si>
  <si>
    <t>Fact#: 353985 Rec#: 32572 RICARDO PABLO FALCONI DUEÑAS</t>
  </si>
  <si>
    <t>IC-2948</t>
  </si>
  <si>
    <t>Fact#: 354551 Rec#: 32571 CANDO REYES JOSE MAURICIO</t>
  </si>
  <si>
    <t>IC-2947</t>
  </si>
  <si>
    <t>Fact#: 353505 Rec#: 32570 FRANKLIN JOAQUIN  DOMINGUEZ VARGAS</t>
  </si>
  <si>
    <t>IC-2946</t>
  </si>
  <si>
    <t>Fact#: 353554 Rec#: 32569 CARLOS ALBERTO RENDON PALMA</t>
  </si>
  <si>
    <t>IC-2945</t>
  </si>
  <si>
    <t>Fact#: 353385 Rec#: 32568 EVA MARIA VINUEZA OCAÑA</t>
  </si>
  <si>
    <t>IC-2944</t>
  </si>
  <si>
    <t>Fact#: 351057-353388 Rec#: 32567 MARIA ROSA DUNN YCAZA</t>
  </si>
  <si>
    <t>IC-2943</t>
  </si>
  <si>
    <t>Fact#: 353774 Rec#: 32566 ANTONIO IGNACIO ARTEAGA FERAUD</t>
  </si>
  <si>
    <t>IC-2942</t>
  </si>
  <si>
    <t>Fact#: 353393 Rec#: 32565 ROBERTO MUZZIO NARANJO</t>
  </si>
  <si>
    <t>IC-2941</t>
  </si>
  <si>
    <t>Fact#: 354788 Rec#: 32564 ZULVY BEDON LAGOS</t>
  </si>
  <si>
    <t>IC-2940</t>
  </si>
  <si>
    <t>Fact#: 353448 Rec#: 32563 JENNY CEDEÑO CAAMAÑO</t>
  </si>
  <si>
    <t>IC-2939</t>
  </si>
  <si>
    <t>Fact#: 353447 Rec#: 32562 MONICA CRIOLLO SALAZAR</t>
  </si>
  <si>
    <t>IC-2938</t>
  </si>
  <si>
    <t>Fact#: 354540 Rec#: 32561 PERALTA BENITEZ ROBERTO ELIAS</t>
  </si>
  <si>
    <t>IC-2937</t>
  </si>
  <si>
    <t>Fact#: 353502 Rec#: 32560 FAUSTO EDUARDO  CARBO RIVERA</t>
  </si>
  <si>
    <t>IC-2936</t>
  </si>
  <si>
    <t>Fact#: 353545 Rec#: 32559 ANA LUCRECIA  CABRERA GARCIA</t>
  </si>
  <si>
    <t>IC-2935</t>
  </si>
  <si>
    <t>Fact#: 353406 Rec#: 32558 JAIRO ALBERTO GOMEZ COELLO</t>
  </si>
  <si>
    <t>IC-2934</t>
  </si>
  <si>
    <t>Fact#: 353482 Rec#: 32557 PAULA JESUS SALAZAR MACIAS</t>
  </si>
  <si>
    <t>IC-2933</t>
  </si>
  <si>
    <t>Fact#: 354183 Rec#: 32556 GILBERT SILVA CECILIA MARIA</t>
  </si>
  <si>
    <t>IC-2932</t>
  </si>
  <si>
    <t>Fact#: 353641 Rec#: 32555 LUIS EDUARDO SANCHEZ TIMM</t>
  </si>
  <si>
    <t>IC-2931</t>
  </si>
  <si>
    <t>Fact#: 353830 Rec#: 32554 CARLOS BENJAMIN ROSALES PINO</t>
  </si>
  <si>
    <t>IC-2930</t>
  </si>
  <si>
    <t>Fact#: 353556 Rec#: 32553 UVIDIA SALTOS  CARLOS BOLIVAR</t>
  </si>
  <si>
    <t>IC-2929</t>
  </si>
  <si>
    <t>Fact#: 353719 Rec#: 32552 GUILLERMO ELOY SERRANO GOMEZ</t>
  </si>
  <si>
    <t>IC-2928</t>
  </si>
  <si>
    <t>Fact#: 353453 Rec#: 32551 JOSE JOAQUIN OLMEDO CASTELLO</t>
  </si>
  <si>
    <t>IC-2927</t>
  </si>
  <si>
    <t>Fact#: 353706 Rec#: 32550 JUAN XAVIER BENEDETI RIPALDA</t>
  </si>
  <si>
    <t>IC-2926</t>
  </si>
  <si>
    <t>Fact#: 353416 Rec#: 32549 ISABEL ROSARIO QUINDE SORIANO</t>
  </si>
  <si>
    <t>IC-2925</t>
  </si>
  <si>
    <t>Fact#: 353936 Rec#: 32548 CARLOS ADALBERTO SALAVARRIA PALMA</t>
  </si>
  <si>
    <t>IC-2924</t>
  </si>
  <si>
    <t>Fact#: 355037 Rec#: 32547 NIEVES RODRIGUEZ JORGE ELIECER</t>
  </si>
  <si>
    <t>IC-2923</t>
  </si>
  <si>
    <t>Fact#: 353631 Rec#: 32546 GISELLA MARIA YUNES ANDRADE</t>
  </si>
  <si>
    <t>IC-2922</t>
  </si>
  <si>
    <t>Fact#: 354652 Rec#: 32545 SUSANA HERMELINDA ANALUISA HARO</t>
  </si>
  <si>
    <t>IC-2921</t>
  </si>
  <si>
    <t>Fact#: 354600 Rec#: 32544 VINUEZA GARCIA EDISON EDUARDO</t>
  </si>
  <si>
    <t>IC-2920</t>
  </si>
  <si>
    <t>Fact#: 354847 Rec#: 32543 MONTES BRIONES JEFFERSON ANTONIO</t>
  </si>
  <si>
    <t>IC-2919</t>
  </si>
  <si>
    <t>Fact#: 351350-353680 Rec#: 32542 MANUEL ISAIAS TAPIA LOPEZ</t>
  </si>
  <si>
    <t>IC-2918</t>
  </si>
  <si>
    <t>Fact#: 351167-353497 Rec#: 32541 MARIA DOLORES COBOS MARMOLEJO</t>
  </si>
  <si>
    <t>IC-2917</t>
  </si>
  <si>
    <t>Fact#: 353400 Rec#: 32540 SIMON EMILIO BRIONES LOOR</t>
  </si>
  <si>
    <t>IC-2916</t>
  </si>
  <si>
    <t>ROMMEL ANTONIO ZAMORA TRIGUERO CANCELA TELEFONO 3900174 ABONA SGTE FACTURA, PAGO WESTERN UNION</t>
  </si>
  <si>
    <t>Fact#: 355213 Rec#: 32539 DE SANTIS NEIRA JUAN JAIME CRISTIAN</t>
  </si>
  <si>
    <t>IC-2880</t>
  </si>
  <si>
    <t>Fact#: 322066-324806-327580-330376-333257-336198-339144-342139-345663-348166 Rec#: 32537 JAIME ALBERTO  RINCON GOMEZ</t>
  </si>
  <si>
    <t>IC-2859</t>
  </si>
  <si>
    <t>Fact#: 338802-341796-345319-347820 Rec#: 32536 VASQUEZ RESABALA CARLOS JESUS</t>
  </si>
  <si>
    <t>IC-2858</t>
  </si>
  <si>
    <t>Fact#: 353948 Rec#: 32535 RICARDO ARMANDO COLOMA MOLINA</t>
  </si>
  <si>
    <t>IC-2857</t>
  </si>
  <si>
    <t>Fact#: 355349 Rec#: 32534 CORAIZACA RODRIGUEZ ROBINSON UBALDO</t>
  </si>
  <si>
    <t>IC-2856</t>
  </si>
  <si>
    <t>Fact#: 355246 Rec#: 32533 INZHIVOTKINA YANA</t>
  </si>
  <si>
    <t>IC-2855</t>
  </si>
  <si>
    <t>Fact#: 353642 Rec#: 32532 JAIME RICARDO ZUÑIGA RODRIGUEZ</t>
  </si>
  <si>
    <t>IC-2854</t>
  </si>
  <si>
    <t>Fact#: 351089-353420 Rec#: 32531 FATIMA LEONOR AGUILAR MURILLO</t>
  </si>
  <si>
    <t>IC-2853</t>
  </si>
  <si>
    <t>Fact#: 355017 Rec#: 32530 SALTOS MATA FILADELFO VLADIMIR</t>
  </si>
  <si>
    <t>IC-2852</t>
  </si>
  <si>
    <t>Fact#: 353656 Rec#: 32529 JENNY NATALIA MARTINEZ BAQUE</t>
  </si>
  <si>
    <t>IC-2851</t>
  </si>
  <si>
    <t>Fact#: 353305 Rec#: 32528 MÜLLER CARDENAS MICHAEL</t>
  </si>
  <si>
    <t>IC-2850</t>
  </si>
  <si>
    <t>Fact#: 354602 Rec#: 32527 HERNANDEZ GOMEZ EDDY MAXIMO</t>
  </si>
  <si>
    <t>IC-2849</t>
  </si>
  <si>
    <t>Fact#: 354294 Rec#: 32526 DUENAS RUIZ TERESA EDITH</t>
  </si>
  <si>
    <t>IC-2848</t>
  </si>
  <si>
    <t>Fact#: 354138 Rec#: 32525 LOPEZ PALACIOS DANNY CHRISTIAN</t>
  </si>
  <si>
    <t>IC-2847</t>
  </si>
  <si>
    <t>Fact#: 354549 Rec#: 32524 VILLON SORIANO DIOSELINA SOLEDAD</t>
  </si>
  <si>
    <t>IC-2846</t>
  </si>
  <si>
    <t>Fact#: 353339 Rec#: 32523 ADMINASES S A</t>
  </si>
  <si>
    <t>IC-2845</t>
  </si>
  <si>
    <t>Fact#: 351983-354318 Rec#: 16780 VALERO ZABALA  JULIA ELIZABETH</t>
  </si>
  <si>
    <t>IC-2844</t>
  </si>
  <si>
    <t>Fact#: 353324 Rec#: 16779 ASISTENCA TECNICA INDUSTRIAL ATEIND S.A.</t>
  </si>
  <si>
    <t>IC-2843</t>
  </si>
  <si>
    <t>Fact#: 354714 Rec#: 16778 CHANCAY SOLEDISPA VICTOR MANUEL</t>
  </si>
  <si>
    <t>IC-2842</t>
  </si>
  <si>
    <t>Fact#: 352764-355115 Rec#: 16777 CASTRO YEPEZ CARMEN CAROLINA</t>
  </si>
  <si>
    <t>IC-2841</t>
  </si>
  <si>
    <t>Fact#: 352238-354577 Rec#: 16776 ORTEGA ARGUELLO GISELLA LORENA</t>
  </si>
  <si>
    <t>IC-2840</t>
  </si>
  <si>
    <t>Fact#: 353494 Rec#: 16775 CAROLA MISHEL ABISAAB MEDINA</t>
  </si>
  <si>
    <t>IC-2839</t>
  </si>
  <si>
    <t>Fact#: 354011 Rec#: 16774 LUIS BENIGNO ROMERO ABAD</t>
  </si>
  <si>
    <t>IC-2838</t>
  </si>
  <si>
    <t>Fact#: 352799-355163 Rec#: 16773 SEGOVIA DOMINGUEZ KARLA FIORELLA</t>
  </si>
  <si>
    <t>IC-2837</t>
  </si>
  <si>
    <t>Fact#: 355007 Rec#: 16772 LETTY DEL CISNE DAVILA ROMO</t>
  </si>
  <si>
    <t>IC-2836</t>
  </si>
  <si>
    <t>Fact#: 353861 Rec#: 16771 ERIKA SUGEY ANCHUNDIA ALVARADO</t>
  </si>
  <si>
    <t>IC-2835</t>
  </si>
  <si>
    <t>Fact#: 353652 Rec#: 16770 LISETTE JOHANNA MEZA VEGA</t>
  </si>
  <si>
    <t>IC-2834</t>
  </si>
  <si>
    <t>Fact#: 352319-354659 Rec#: 16769 INFANTE MINDIOLA JULIA MARLENE</t>
  </si>
  <si>
    <t>IC-2833</t>
  </si>
  <si>
    <t>Fact#: 354471 Rec#: 16768 YUNEZ PARRA JOSE MIGUEL</t>
  </si>
  <si>
    <t>IC-2832</t>
  </si>
  <si>
    <t>Fact#: 354474 Rec#: 16767 YUNEZ PARRA JOSE MIGUEL</t>
  </si>
  <si>
    <t>IC-2831</t>
  </si>
  <si>
    <t>Fact#: 349730-351949-354286 Rec#: 16766 REINOSO VASCONEZ RONALD HUMBERTO</t>
  </si>
  <si>
    <t>IC-2830</t>
  </si>
  <si>
    <t>Fact#: 346830-349295-351483 Rec#: 16765 LORENA LISSET NUÑEZ RODRIGUEZ</t>
  </si>
  <si>
    <t>IC-2829</t>
  </si>
  <si>
    <t>Fact#: 352248-354587 Rec#: 16764 JIMBO ANDRADE KEVIN ISAAC</t>
  </si>
  <si>
    <t>IC-2828</t>
  </si>
  <si>
    <t>Fact#: 354259 Rec#: 16763 FLORES MARTINEZ RAQUEL VERONICA</t>
  </si>
  <si>
    <t>IC-2827</t>
  </si>
  <si>
    <t>Fact#: 354865 Rec#: 16762 MERINO MORAN LUIS MIGUEL</t>
  </si>
  <si>
    <t>IC-2826</t>
  </si>
  <si>
    <t>Fact#: 353798 Rec#: 16761 DIEGO FRANCISCO PONCE MENDOZA</t>
  </si>
  <si>
    <t>IC-2825</t>
  </si>
  <si>
    <t>Fact#: 355089 Rec#: 16760 GANCINO TOAPANTA NAPOLEON ISRAEL</t>
  </si>
  <si>
    <t>IC-2824</t>
  </si>
  <si>
    <t>Fact#: 354478 Rec#: 16759 VELASTEGUI COELLAR MICHAEL PATRICIO</t>
  </si>
  <si>
    <t>IC-2823</t>
  </si>
  <si>
    <t>Fact#: 350261-352528-354872 Rec#: 16758 SANCHEZ ALVARADO JACINTA ROSARIO</t>
  </si>
  <si>
    <t>IC-2822</t>
  </si>
  <si>
    <t>Fact#: 355363 Rec#: 16757 GARCIA RUIZ ALEX ISRAEL</t>
  </si>
  <si>
    <t>IC-2821</t>
  </si>
  <si>
    <t>Fact#: 355247 Rec#: 16756 MENDOZA VELEZ CARLOS DAMIAN</t>
  </si>
  <si>
    <t>IC-2820</t>
  </si>
  <si>
    <t>Fact#: 355238 Rec#: 32518 MURILLO BARAHONA LISSETTE ESTEFANIA</t>
  </si>
  <si>
    <t>IC-2812</t>
  </si>
  <si>
    <t>Mar/2021</t>
  </si>
  <si>
    <t>SALDO SEGÚN ESTADO DE CUENTA AL 31 DE MARZO DEL 2021</t>
  </si>
  <si>
    <t>SALDO SEGÚN LIBRO BANCOS AL 31 DE MARZO DEL 2021</t>
  </si>
  <si>
    <t>at-3265</t>
  </si>
  <si>
    <t>REC-3783-ACA1-225827</t>
  </si>
  <si>
    <t>19:48:26</t>
  </si>
  <si>
    <t>Fact#: 357176-359639 Rec#: 33036 ARANA BARROS AMBAR GEOVANA</t>
  </si>
  <si>
    <t>IC-5963</t>
  </si>
  <si>
    <t>Fact#: 359893 Rec#: 17712 LINDAO CEDENO KATHERIN LIZBETH</t>
  </si>
  <si>
    <t>IC-5960</t>
  </si>
  <si>
    <t>Fact#: 356803-359275 Rec#: 17711 NUNEZ CEDENO ANGY SABRINA</t>
  </si>
  <si>
    <t>IC-5959</t>
  </si>
  <si>
    <t>Fact#: 355118-357511-359979 Rec#: 17710 AVILES ECHEVER GUSTAVO MICHAEL</t>
  </si>
  <si>
    <t>IC-5958</t>
  </si>
  <si>
    <t>Fact#: 358632 Rec#: 17709 ADRIANA ALEXANDRA CHIQUITO MOLINA</t>
  </si>
  <si>
    <t>IC-5957</t>
  </si>
  <si>
    <t>Fact#: 357173-359636 Rec#: 17708 SAQUICELA SORIA MARCELO ALEJANDRO</t>
  </si>
  <si>
    <t>IC-5956</t>
  </si>
  <si>
    <t>Fact#: 359241 Rec#: 17707 MEDINA BORJA LEONARDO JAVIER</t>
  </si>
  <si>
    <t>IC-5955</t>
  </si>
  <si>
    <t>Fact#: 358960 Rec#: 17706 MERO MANTUANO DARWIN IVAN</t>
  </si>
  <si>
    <t>IC-5954</t>
  </si>
  <si>
    <t>Fact#: 359566 Rec#: 17705 SANCHEZ AGUILAR SORAYA PATRICIA</t>
  </si>
  <si>
    <t>IC-5953</t>
  </si>
  <si>
    <t>Fact#: 359771 Rec#: 17704 VILLAMAR CARRANZA MARISOL DEL PILAR</t>
  </si>
  <si>
    <t>IC-5952</t>
  </si>
  <si>
    <t>Fact#: 359579 Rec#: 17703 CHANCAY SOLEDISPA VICTOR MANUEL</t>
  </si>
  <si>
    <t>IC-5951</t>
  </si>
  <si>
    <t>Fact#: 349609-351821-354160 Rec#: 17702 FLORES MORALES  JORGE ALFREDO</t>
  </si>
  <si>
    <t>IC-5950</t>
  </si>
  <si>
    <t>Fact#: 356539-359014 Rec#: 17701 SUAREZ PALMA JOSE LUIS</t>
  </si>
  <si>
    <t>IC-5949</t>
  </si>
  <si>
    <t>Fact#: 4335 Rec#: 17700 ASTUDILLO PIURI DOLORES LUZMILA</t>
  </si>
  <si>
    <t>IC-5944</t>
  </si>
  <si>
    <t>Fact#: 359890 Rec#: 17699 PRECIADO SALVATIERRA PATRICIA PAOLA</t>
  </si>
  <si>
    <t>IC-5943</t>
  </si>
  <si>
    <t>Fact#: 359972 Rec#: 17698 SORIA LAMAN HARRY SUN</t>
  </si>
  <si>
    <t>IC-5942</t>
  </si>
  <si>
    <t>Fact#: 358822 Rec#: 17697 EDWIN ANDRES REYES TOALA</t>
  </si>
  <si>
    <t>IC-5941</t>
  </si>
  <si>
    <t>Fact#: 359466 Rec#: 17696 ROSERO MERCADO ELSA KARINA</t>
  </si>
  <si>
    <t>IC-5940</t>
  </si>
  <si>
    <t>Fact#: 4311 Rec#: 17695 JARAMILLO MONTANO JESSICA XIMENA</t>
  </si>
  <si>
    <t>IC-5939</t>
  </si>
  <si>
    <t>Fact#: 348053-350351-352620 Rec#: 17694 CHOEZ ANCHUNDIA WILTER ANTONIO</t>
  </si>
  <si>
    <t>IC-5938</t>
  </si>
  <si>
    <t>Fact#: 357258-359723 Rec#: 17693 AGUAYO SOLORZANO JOEL GEOVANNY</t>
  </si>
  <si>
    <t>IC-5937</t>
  </si>
  <si>
    <t>Fact#: 358970 Rec#: 17692 VASQUEZ GOMEZ FREDDY DOLORES</t>
  </si>
  <si>
    <t>IC-5936</t>
  </si>
  <si>
    <t>Fact#: 359732 Rec#: 17691 MERINO MORAN LUIS MIGUEL</t>
  </si>
  <si>
    <t>IC-5935</t>
  </si>
  <si>
    <t>Fact#: 359146 Rec#: 17690 DE LA O CHACON JOSEPH CHRISTIAN</t>
  </si>
  <si>
    <t>IC-5934</t>
  </si>
  <si>
    <t>Fact#: 360191 Rec#: 17689 VERA GUZMAN MARIA DOLORES</t>
  </si>
  <si>
    <t>IC-5933</t>
  </si>
  <si>
    <t>Fact#: 359585 Rec#: 17688 LUCAS VALAREZO CRISTINA EVELIN</t>
  </si>
  <si>
    <t>IC-5932</t>
  </si>
  <si>
    <t>Fact#: 360279 Rec#: 17687 MEZA ANDRADE PAUL EDUARDO</t>
  </si>
  <si>
    <t>IC-5931</t>
  </si>
  <si>
    <t>Fact#: 359782 Rec#: 17686 BELLO MENDEZ JOSELINE ZORAIDA</t>
  </si>
  <si>
    <t>IC-5930</t>
  </si>
  <si>
    <t>Fact#: 358485 Rec#: 17685 ALVARADO PIGUAVE CAROLIN JANET</t>
  </si>
  <si>
    <t>IC-5929</t>
  </si>
  <si>
    <t>Fact#: 359420 Rec#: 17684 SAMPEDRO BASURTO MARIA JULIANA</t>
  </si>
  <si>
    <t>IC-5928</t>
  </si>
  <si>
    <t>Fact#: 357240-359705 Rec#: 17683 CABEZA RODRIGUEZ PETER FABRICIO</t>
  </si>
  <si>
    <t>IC-5927</t>
  </si>
  <si>
    <t>Fact#: 357235-359700 Rec#: 17682 PAREDES TORRES ANGELA DEL ROSARIO</t>
  </si>
  <si>
    <t>IC-5926</t>
  </si>
  <si>
    <t>GASTO BANCARIO PACIFICO #4091120-203-30748-30877-39818-39884-49577-49662-60430-60502-69532-69605-4200587-00665-09722-09778-18610-18710-27550-27662-38291-38406-67194-67282-75636-75690-93049-93087-02454-02532-29647-29734-41564-41625-52938-53033-63187-63280</t>
  </si>
  <si>
    <t>DR-1613</t>
  </si>
  <si>
    <t>N/D PACIFICO TRANSF. CANCELACION DE FACTURA#439 A PABLO BAQUERIZO MES DE ABRIL 2021</t>
  </si>
  <si>
    <t>N/D PACIFICO TRANSF. ROLES DE PAGO 2DA QUINCENA MES DE ABRIL 2021</t>
  </si>
  <si>
    <t>NDL-52</t>
  </si>
  <si>
    <t>N/D PACIFICO CANCELACIÓN DE FACTURA#1274 VALERIANO CHÓEZ JOSÉ LUIS</t>
  </si>
  <si>
    <t>Fact#: 351045-353373 Rec#: 33038 EMPRESA PUBLICA MUNICIPAL DE TELECOMUNICACIONES, AGUA POTABLE, ALCANTARILLADO Y SANEAMIENTO DE CUENCA. ETAPA EP.</t>
  </si>
  <si>
    <t>IC-5971</t>
  </si>
  <si>
    <t>Fact#: 359216 Rec#: 17681 ORTIZ ACOSTA HERNAN GONZALO</t>
  </si>
  <si>
    <t>IC-5925</t>
  </si>
  <si>
    <t>Fact#: 358914 Rec#: 17680 CESAR VICENTE ALDAZABAL ALZAMORA</t>
  </si>
  <si>
    <t>IC-5924</t>
  </si>
  <si>
    <t>Fact#: 356804-359276 Rec#: 17679 BUENAVENTURA RODRIGUEZ MARIA DEL CARMEN</t>
  </si>
  <si>
    <t>IC-5923</t>
  </si>
  <si>
    <t>Fact#: 358724 Rec#: 33035 MARIA FERNANDA GONZALEZ MITE</t>
  </si>
  <si>
    <t>IC-5922</t>
  </si>
  <si>
    <t>Fact#: 358800 Rec#: 33034 CATHERINE NICOLE RUGEL CARRERA</t>
  </si>
  <si>
    <t>IC-5921</t>
  </si>
  <si>
    <t>Fact#: 358835 Rec#: 33033 GALLEGOS ABARCA FILOMENA RUTH</t>
  </si>
  <si>
    <t>IC-5920</t>
  </si>
  <si>
    <t>Fact#: 358833 Rec#: 17678 EDUARDO CAMPOSANO ULLOA</t>
  </si>
  <si>
    <t>IC-5919</t>
  </si>
  <si>
    <t>Fact#: 359448 Rec#: 17677 ORTEGA ARGUELLO GISELLA LORENA</t>
  </si>
  <si>
    <t>IC-5918</t>
  </si>
  <si>
    <t>Fact#: 356525-359000 Rec#: 17676 MORA GUERRERO HILDA ANTONIETA</t>
  </si>
  <si>
    <t>IC-5917</t>
  </si>
  <si>
    <t>Fact#: 354393-356798-359269 Rec#: 17675 VERA GONZALEZ JOSE ANTONIO</t>
  </si>
  <si>
    <t>IC-5916</t>
  </si>
  <si>
    <t>Fact#: 357030-359496 Rec#: 17674 RAMOS PACHAY JOSE MANUEL</t>
  </si>
  <si>
    <t>IC-5915</t>
  </si>
  <si>
    <t>Fact#: 355533-357997 Rec#: 17673 LUIS OSWALDO HERRERA HERRERA</t>
  </si>
  <si>
    <t>IC-5914</t>
  </si>
  <si>
    <t>Fact#: 349401-351599-353927 Rec#: 33032 JENNIFER STEFANIA MACANCELA AVENDAÑO</t>
  </si>
  <si>
    <t>IC-5913</t>
  </si>
  <si>
    <t>Fact#: 321327-324081-326855-329620-332471-335392-338334-341326-344850 Rec#: 17672 PEREIRA CACERES KETTY DEL ROCIO</t>
  </si>
  <si>
    <t>IC-5912</t>
  </si>
  <si>
    <t>Fact#: 360341 Rec#: 17671 CHAVEZ MORA RITA TERESA</t>
  </si>
  <si>
    <t>IC-5911</t>
  </si>
  <si>
    <t>Fact#: 354866-357266-359733 Rec#: 17670 RIVERA PINTO RAMONA ELIZABETH</t>
  </si>
  <si>
    <t>IC-5910</t>
  </si>
  <si>
    <t>Fact#: 321908-324665-327451-330223-333084-336009-338955-341951-345474-347977 Rec#: 17669 ITURBURU SALVADOR JORGE DAVID</t>
  </si>
  <si>
    <t>IC-5909</t>
  </si>
  <si>
    <t>Fact#: 359283 Rec#: 17668 VILLEGAS BASTIDAS JOSE ALFREDO</t>
  </si>
  <si>
    <t>IC-5908</t>
  </si>
  <si>
    <t>Fact#: 357597-360071 Rec#: 17667 CASTRO GALARZA RUTH CECILIA</t>
  </si>
  <si>
    <t>IC-5907</t>
  </si>
  <si>
    <t>Fact#: 357467-359934 Rec#: 17666 LEMOS CASTILLO PEDRO FELIX</t>
  </si>
  <si>
    <t>IC-5906</t>
  </si>
  <si>
    <t>Fact#: 356214-358696 Rec#: 17665 CARLOS WELLINGTON CHOEZ VERA</t>
  </si>
  <si>
    <t>IC-5905</t>
  </si>
  <si>
    <t>Fact#: 356595-359066 Rec#: 17664 HOLGUIN SUAREZ NELSON AMADOR</t>
  </si>
  <si>
    <t>IC-5904</t>
  </si>
  <si>
    <t>Fact#: 358779 Rec#: 17663 HOLGER ALFREDO TOMALA DE LA ROSA</t>
  </si>
  <si>
    <t>IC-5903</t>
  </si>
  <si>
    <t>Fact#: 355046-357439-359907 Rec#: 17662 MITE LOPEZ JESSICA ALEXANDRA</t>
  </si>
  <si>
    <t>IC-5902</t>
  </si>
  <si>
    <t>Fact#: 358690 Rec#: 17661 LENIN ANTONIO SARABIA ORELLANA</t>
  </si>
  <si>
    <t>IC-5901</t>
  </si>
  <si>
    <t>Fact#: 358082 Rec#: 33031 ROSERO CRUZ MARIA AUXILIADORA</t>
  </si>
  <si>
    <t>IC-5894</t>
  </si>
  <si>
    <t>Fact#: 360238 Rec#: 33030 ZAMBRANO ROMAN OLGA MATILDE</t>
  </si>
  <si>
    <t>IC-5890</t>
  </si>
  <si>
    <t>Fact#: 358310 Rec#: 33029 KATHERINE MALENA CHILUIZA GARCIA</t>
  </si>
  <si>
    <t>IC-5889</t>
  </si>
  <si>
    <t>Fact#: 355810 Rec#: 33028 CONSORCIO ECUATORIANO DE TELECOMUNICACIONES S.A. CONECEL</t>
  </si>
  <si>
    <t>IC-5888</t>
  </si>
  <si>
    <t>Fact#: 356159-358642 Rec#: 33027 MARIA ELENA QUISHPILLO PAGUAY</t>
  </si>
  <si>
    <t>IC-5876</t>
  </si>
  <si>
    <t>Fact#: 359335 Rec#: 17660 MOREIRA VELEZ MANUEL ISIDRO</t>
  </si>
  <si>
    <t>IC-5875</t>
  </si>
  <si>
    <t>Fact#: 360270 Rec#: 17659 CONTRERAS RODRIGUEZ EUBENIA MARIETA</t>
  </si>
  <si>
    <t>IC-5874</t>
  </si>
  <si>
    <t>Fact#: 356281-358759 Rec#: 17658 CECILIA ISABEL PORTILLA ESPINOZA</t>
  </si>
  <si>
    <t>IC-5873</t>
  </si>
  <si>
    <t>Fact#: 359051 Rec#: 17657 DEL VALLE MONTECE SELENA MARIBEL</t>
  </si>
  <si>
    <t>IC-5872</t>
  </si>
  <si>
    <t>Fact#: 358019 Rec#: 17656 NEDERAGRO S.A.</t>
  </si>
  <si>
    <t>IC-5871</t>
  </si>
  <si>
    <t>Fact#: 359358 Rec#: 17655 ROMMEL ANTONIO ZAMORA TRIGUERO</t>
  </si>
  <si>
    <t>IC-5870</t>
  </si>
  <si>
    <t>Fact#: 359330 Rec#: 17654 CAMPOVERDE AREVALO WILLIAM HERNAN</t>
  </si>
  <si>
    <t>IC-5869</t>
  </si>
  <si>
    <t>Fact#: 356579-359053 Rec#: 17653 MURILLO MIRANDA GUILLERMO XAVIER</t>
  </si>
  <si>
    <t>IC-5868</t>
  </si>
  <si>
    <t>Fact#: 358531 Rec#: 17652 MARIA PIEDAD MONTALVAN CAMPOVERDE</t>
  </si>
  <si>
    <t>IC-5867</t>
  </si>
  <si>
    <t>Fact#: 353992-356406-358881 Rec#: 17651 MARITZA MABEL USHIÑA GIRALDO</t>
  </si>
  <si>
    <t>IC-5866</t>
  </si>
  <si>
    <t>Fact#: 360336 Rec#: 17650 QUIMIS CHIQUITO LUPE DIONICIO</t>
  </si>
  <si>
    <t>IC-5865</t>
  </si>
  <si>
    <t>Fact#: 356632-359101 Rec#: 17649 RUIZ ZAMBRANO JUAN MANUEL</t>
  </si>
  <si>
    <t>IC-5864</t>
  </si>
  <si>
    <t>Fact#: 353922-356340-358818 Rec#: 17648 MARCO VINICIO GONZALEZ LEDESMA</t>
  </si>
  <si>
    <t>IC-5863</t>
  </si>
  <si>
    <t>Fact#: 353921-356339-358817 Rec#: 17647 MARGARITA MAGALI VILLAMAR AGUAYO</t>
  </si>
  <si>
    <t>IC-5862</t>
  </si>
  <si>
    <t>Fact#: 356986-359451 Rec#: 17646 ORTEGA CHAVEZ JUANA ALEJANDRINA</t>
  </si>
  <si>
    <t>IC-5861</t>
  </si>
  <si>
    <t>Fact#: 351510-353838-356260 Rec#: 17645 WILINTON ALEXANDER GUZMAN MUÑETON</t>
  </si>
  <si>
    <t>IC-5860</t>
  </si>
  <si>
    <t>Fact#: 357802-360272 Rec#: 17644 APONTE GONZALEZ MARJORIE VANESSA</t>
  </si>
  <si>
    <t>IC-5859</t>
  </si>
  <si>
    <t>Fact#: 356978-359442 Rec#: 17643 MORENO GOMEZ DUQUE ALFREDO</t>
  </si>
  <si>
    <t>IC-5858</t>
  </si>
  <si>
    <t>Fact#: 356984-359449 Rec#: 17642 MORENO GOMEZ DUQUE ALFREDO</t>
  </si>
  <si>
    <t>IC-5857</t>
  </si>
  <si>
    <t>Fact#: 358882 Rec#: 17641 NEISI LORENA CHONG MELGAR</t>
  </si>
  <si>
    <t>IC-5856</t>
  </si>
  <si>
    <t>Fact#: 359107 Rec#: 17640 TOMALA SANCAN JORGE LUIS</t>
  </si>
  <si>
    <t>IC-5855</t>
  </si>
  <si>
    <t>Fact#: 358957 Rec#: 17639 TOMALA SANCAN JORGE LUIS</t>
  </si>
  <si>
    <t>IC-5854</t>
  </si>
  <si>
    <t>Fact#: 354058-356469-358946 Rec#: 17638 ALEXANDRE FABIAN MARTINEZ CARRION</t>
  </si>
  <si>
    <t>IC-5853</t>
  </si>
  <si>
    <t>Fact#: 358856 Rec#: 17637 GALO ENRIQUE ESTUPIÑAN VERA</t>
  </si>
  <si>
    <t>IC-5852</t>
  </si>
  <si>
    <t>Fact#: 356724-359199 Rec#: 17636 VALERO ZABALA  JULIA ELIZABETH</t>
  </si>
  <si>
    <t>IC-5851</t>
  </si>
  <si>
    <t>Fact#: 357326-359796 Rec#: 33026 LARA CHERE FREDY GONZALO</t>
  </si>
  <si>
    <t>IC-5850</t>
  </si>
  <si>
    <t>Fact#: 359214 Rec#: 33025 GONZALEZ SANCHEZ CESAR IVAN</t>
  </si>
  <si>
    <t>IC-5849</t>
  </si>
  <si>
    <t>Fact#: 359726 Rec#: 33024 ROMERO ROMERO JANETT VICTORIA</t>
  </si>
  <si>
    <t>IC-5837</t>
  </si>
  <si>
    <t xml:space="preserve">Fact#: 347349-349828-352047 Rec#: 17612 MONTOYA RENDON GUSTAVO ADOLFO </t>
  </si>
  <si>
    <t>IC-5808</t>
  </si>
  <si>
    <t>N/D PACIFICO ANTICIPO A FACTURA#1274 VALERIANO CHÓEZ JOSÉ LUIS</t>
  </si>
  <si>
    <t>N/D PACIFICO CANCELACION DE FACTURA#139 BAQUE BAQUE BYRON PAUL Y FACTURA#112 ESTUPIÑAN ANDRADE FRANCISCO JAVIER</t>
  </si>
  <si>
    <t>VISA - MASTERCARD - PACIFICARD CANCELACION DE PAGO POR PAYMENTS DEL CLIENTE RIERA ORDONEZ MIGUEL ANGEL FACT 4135, 4353</t>
  </si>
  <si>
    <t>NC-16</t>
  </si>
  <si>
    <t>Fact#: 356124-358607 Rec#: 33023 GASTON ALLAND CORTEZ ESPINOZA</t>
  </si>
  <si>
    <t>IC-5832</t>
  </si>
  <si>
    <t>Fact#: 357705-360175 Rec#: 17635 OCHOA RUIZ JORGE LUIS</t>
  </si>
  <si>
    <t>IC-5831</t>
  </si>
  <si>
    <t>Fact#: 357472-359938 Rec#: 17634 VILLAFUERTE PEREZ PETRA MARIA</t>
  </si>
  <si>
    <t>IC-5830</t>
  </si>
  <si>
    <t>Fact#: 359026 Rec#: 17633 VASQUEZ AYALA MARIA DE LOURDES</t>
  </si>
  <si>
    <t>IC-5829</t>
  </si>
  <si>
    <t>Fact#: 360198 Rec#: 17632 CUESTA CORTEZ ANTONIO JOSE</t>
  </si>
  <si>
    <t>IC-5828</t>
  </si>
  <si>
    <t>Fact#: 353507-355935-358416 Rec#: 17631 GREI DOLORES  DELGADO FARIA</t>
  </si>
  <si>
    <t>IC-5827</t>
  </si>
  <si>
    <t>Fact#: 359766 Rec#: 17630 MENDIETA VILLALVA ROSA MARIA</t>
  </si>
  <si>
    <t>IC-5826</t>
  </si>
  <si>
    <t>Fact#: 356115-358598 Rec#: 17629 XIMENA DE LOURDES VASQUEZ HINOJOSA</t>
  </si>
  <si>
    <t>IC-5825</t>
  </si>
  <si>
    <t>Fact#: 359416 Rec#: 17628 VALENCIA MEDINA JOSE RICARDO</t>
  </si>
  <si>
    <t>IC-5824</t>
  </si>
  <si>
    <t>Fact#: 4039-4257 Rec#: 17627 SANCHEZ RIOS FERNANDO ALEXIS</t>
  </si>
  <si>
    <t>IC-5823</t>
  </si>
  <si>
    <t>Fact#: 357444-359912 Rec#: 17626 TOMALA CEDENO ANATOLIA ESTHER</t>
  </si>
  <si>
    <t>IC-5822</t>
  </si>
  <si>
    <t>Fact#: 359556 Rec#: 17625 SOLANO DE LA TORRE EFRAIN ALFREDO</t>
  </si>
  <si>
    <t>IC-5821</t>
  </si>
  <si>
    <t>Fact#: 360324 Rec#: 17624 TRIVINO ANDRADE JUAN SEBASTIAN</t>
  </si>
  <si>
    <t>IC-5820</t>
  </si>
  <si>
    <t>Fact#: 358404 Rec#: 17623 CAROLA MISHEL ABISAAB MEDINA</t>
  </si>
  <si>
    <t>IC-5819</t>
  </si>
  <si>
    <t>Fact#: 354874-357272-359740 Rec#: 17622 BACA GARAYCOA HILDA SHELLMA</t>
  </si>
  <si>
    <t>IC-5818</t>
  </si>
  <si>
    <t>Fact#: 359367 Rec#: 17621 FERNANDEZ PACHECO DIANA ISABEL</t>
  </si>
  <si>
    <t>IC-5817</t>
  </si>
  <si>
    <t>Fact#: 358973 Rec#: 17620 GONZALEZ MELLA CRISTIAN ALEJANDRO</t>
  </si>
  <si>
    <t>IC-5816</t>
  </si>
  <si>
    <t>Fact#: 356668-359139 Rec#: 17619 FLORES MARTINEZ RAQUEL VERONICA</t>
  </si>
  <si>
    <t>IC-5815</t>
  </si>
  <si>
    <t>Fact#: 359017 Rec#: 17618 MORALES CASTRO SAMUEL</t>
  </si>
  <si>
    <t>IC-5814</t>
  </si>
  <si>
    <t>Fact#: 358552 Rec#: 17617 MARIA ELENA MORA LUZCANDO</t>
  </si>
  <si>
    <t>IC-5813</t>
  </si>
  <si>
    <t>Fact#: 359791 Rec#: 17616 LEON GARCIA MARCELA VERONICA</t>
  </si>
  <si>
    <t>IC-5812</t>
  </si>
  <si>
    <t>Fact#: 353848-356269-358750 Rec#: 17615 CORA MARGARITA ROCIO GALLARDO CRUSELLAS</t>
  </si>
  <si>
    <t>IC-5811</t>
  </si>
  <si>
    <t>Fact#: 359097 Rec#: 17614 LUQUE RIVAS MARIA ROSA</t>
  </si>
  <si>
    <t>IC-5810</t>
  </si>
  <si>
    <t>Fact#: 356680-359152 Rec#: 17613 GONZALEZ RENDON MARCOS DANIEL</t>
  </si>
  <si>
    <t>IC-5809</t>
  </si>
  <si>
    <t>Fact#: 354757-357157-359620 Rec#: 17611 VILLAVICENCIO TIGRE DARWIN YAZMANY</t>
  </si>
  <si>
    <t>IC-5807</t>
  </si>
  <si>
    <t>Fact#: 324494-327275-330045-332905-335829-338774-341768-345291-347792 Rec#: 17610 SANCHEZ CASTELLANO GLADYS MARICELA</t>
  </si>
  <si>
    <t>IC-5805</t>
  </si>
  <si>
    <t>Fact#: 353910-356329-358806 Rec#: 17609 EDDY ALBERTO BUSTOS PEÑAHERRERA</t>
  </si>
  <si>
    <t>IC-5804</t>
  </si>
  <si>
    <t>Fact#: 355335-357724-360192 Rec#: 17608 TORRES VILLA GENESIS ELENA</t>
  </si>
  <si>
    <t>IC-5803</t>
  </si>
  <si>
    <t>Fact#: 359986 Rec#: 17607 SILVA ESPINOZA CARLOTA ELIZABETH</t>
  </si>
  <si>
    <t>IC-5802</t>
  </si>
  <si>
    <t>Fact#: 348674-350909-353366-355658 Rec#: 33022 ADUANOVACORP S.A.</t>
  </si>
  <si>
    <t>IC-5796</t>
  </si>
  <si>
    <t>Fact#: 356694-359165 Rec#: 33021 DURAN POLIT MARIA DANIELLA</t>
  </si>
  <si>
    <t>IC-5795</t>
  </si>
  <si>
    <t>Fact#: 360348 Rec#: 33020 AVEIGA PAINI CARLOS ENRIQUE</t>
  </si>
  <si>
    <t>IC-5794</t>
  </si>
  <si>
    <t>Fact#: 358981 Rec#: 33019 MINO DOYLET YOLANDA ABIGAIL</t>
  </si>
  <si>
    <t>IC-5793</t>
  </si>
  <si>
    <t>Fact#: 359289 Rec#: 33018 MANRIQUE OSORIO XAVIER ENRIQUE</t>
  </si>
  <si>
    <t>IC-5792</t>
  </si>
  <si>
    <t>Fact#: 359179 Rec#: 33017 SOXO QUICHIMBO IVONNE ALEXANDRA</t>
  </si>
  <si>
    <t>IC-5791</t>
  </si>
  <si>
    <t>Fact#: 359674 Rec#: 33016 BUSTAMANTE TORRES CAMILO EDUARDO</t>
  </si>
  <si>
    <t>IC-5790</t>
  </si>
  <si>
    <t>Fact#: 358562 Rec#: 33015 JENNY NATALIA MARTINEZ BAQUE</t>
  </si>
  <si>
    <t>IC-5789</t>
  </si>
  <si>
    <t>Fact#: 358311 Rec#: 33014 LOURDES DEL ROCIO CHAVEZ VELEZ</t>
  </si>
  <si>
    <t>IC-5788</t>
  </si>
  <si>
    <t>Fact#: 358099 Rec#: 33013 ASISTMED ASISTENCIA A MEDICOS S.A.</t>
  </si>
  <si>
    <t>IC-5787</t>
  </si>
  <si>
    <t>Fact#: 359783 Rec#: 33011 ESPINOSA ESPINOZA HUGO STANLEY</t>
  </si>
  <si>
    <t>IC-5765</t>
  </si>
  <si>
    <t>Fact#: 357631-360106 Rec#: 33012 ESCOBAR ECHEVERRIA LUIS ALEJANDRO</t>
  </si>
  <si>
    <t>IC-5767</t>
  </si>
  <si>
    <t>Fact#: 357919-358010 Rec#: 33010 MEGADATOS S.A.</t>
  </si>
  <si>
    <t>IC-5762</t>
  </si>
  <si>
    <t>Fact#: 353863-356284-358762 Rec#: 33009 WILSON ISMAEL MIRANDA POZO</t>
  </si>
  <si>
    <t>IC-5761</t>
  </si>
  <si>
    <t>Fact#: 358577 Rec#: 33008 ZHU ZHIPENG</t>
  </si>
  <si>
    <t>IC-5760</t>
  </si>
  <si>
    <t>Fact#: 359187 Rec#: 33007 WAN CHEN ZULEIKA</t>
  </si>
  <si>
    <t>IC-5759</t>
  </si>
  <si>
    <t>Fact#: 359468 Rec#: 33006 GUERRERO RENDON VICTORIA EDITA</t>
  </si>
  <si>
    <t>IC-5758</t>
  </si>
  <si>
    <t>Fact#: 359023 Rec#: 33005 LOPEZ PALACIOS DANNY CHRISTIAN</t>
  </si>
  <si>
    <t>IC-5757</t>
  </si>
  <si>
    <t>Fact#: 357397-359866 Rec#: 33004 MARTINEZ PUGA XAVIER ENRRIQUE</t>
  </si>
  <si>
    <t>IC-5756</t>
  </si>
  <si>
    <t>Fact#: 359933 Rec#: 33003 DUQUE ESTEVEZ MIRKA</t>
  </si>
  <si>
    <t>IC-5755</t>
  </si>
  <si>
    <t>Fact#: 356503-358978 Rec#: 17606 NIETO BARQUET OSCAR AHMED</t>
  </si>
  <si>
    <t>IC-5754</t>
  </si>
  <si>
    <t>Fact#: 359341 Rec#: 17605 YUNEZ PARRA JOSE MIGUEL</t>
  </si>
  <si>
    <t>IC-5753</t>
  </si>
  <si>
    <t>Fact#: 359343 Rec#: 17604 YUNEZ PARRA JOSE MIGUEL</t>
  </si>
  <si>
    <t>IC-5752</t>
  </si>
  <si>
    <t>Fact#: 359295 Rec#: 17603 MAYEZA REGALADO JIMMY HARRY</t>
  </si>
  <si>
    <t>IC-5751</t>
  </si>
  <si>
    <t>Fact#: 354483-356887-359353 Rec#: 17602 MARTINEZ DAVILA YINET</t>
  </si>
  <si>
    <t>IC-5750</t>
  </si>
  <si>
    <t>Fact#: 356291-358768 Rec#: 17601 TEODOMIRO MAYO</t>
  </si>
  <si>
    <t>IC-5749</t>
  </si>
  <si>
    <t>Fact#: 353875-356296-358773 Rec#: 17600 MAGDALENA CONCEPCION FRANCO CORREA</t>
  </si>
  <si>
    <t>IC-5748</t>
  </si>
  <si>
    <t>Fact#: 358453 Rec#: 17599 ANGELA MARIA ANA  FERAUD MANSSUR</t>
  </si>
  <si>
    <t>IC-5747</t>
  </si>
  <si>
    <t>Fact#: 359290 Rec#: 17598 CASTILLO PEREIRA GABRIEL ARCANGEL</t>
  </si>
  <si>
    <t>IC-5746</t>
  </si>
  <si>
    <t>Fact#: 349409-351607-353935 Rec#: 17597 MAYRA MARIELA MORAN MOREIRA</t>
  </si>
  <si>
    <t>IC-5745</t>
  </si>
  <si>
    <t>Fact#: 359598 Rec#: 17596 MORA SANCHEZ DIANA LISSETH</t>
  </si>
  <si>
    <t>IC-5744</t>
  </si>
  <si>
    <t>Fact#: 353387-355818-358303 Rec#: 17595 SONNIA VANESSA AVILA ESPINOZA</t>
  </si>
  <si>
    <t>IC-5743</t>
  </si>
  <si>
    <t>Fact#: 357354-359823 Rec#: 17594 MACHACILLA QUINCHE MARIO UBALDO</t>
  </si>
  <si>
    <t>IC-5723</t>
  </si>
  <si>
    <t>Fact#: 4292 Rec#: 17593 TIO ALVAREZ ADRIAN</t>
  </si>
  <si>
    <t>IC-5722</t>
  </si>
  <si>
    <t>Fact#: 359508 Rec#: 17592 FLORES GORDILLO LUIS EDUARDO</t>
  </si>
  <si>
    <t>IC-5721</t>
  </si>
  <si>
    <t>Fact#: 356895-359361 Rec#: 17591 MUNOZ CASTRO JULEXI ALEXANDRA</t>
  </si>
  <si>
    <t>IC-5720</t>
  </si>
  <si>
    <t>Fact#: 357484-359952 Rec#: 17590 LAINEZ FRANCO MILDRED BETSABE</t>
  </si>
  <si>
    <t>IC-5719</t>
  </si>
  <si>
    <t>Fact#: 357664-360140 Rec#: 17589 PAREDES LOPEZ MARIA PIEDAD</t>
  </si>
  <si>
    <t>IC-5718</t>
  </si>
  <si>
    <t>Fact#: 357031-359497 Rec#: 17588 RAMOS PACHAY JOSE MANUEL</t>
  </si>
  <si>
    <t>IC-5717</t>
  </si>
  <si>
    <t>Fact#: 360363 Rec#: 17587 YAGUAL GONZALEZ OSWALDO ALCIDES</t>
  </si>
  <si>
    <t>IC-5716</t>
  </si>
  <si>
    <t>Fact#: 356689-359160 Rec#: 17586 GOMEZ PENAFIEL BLANCA VICTORIA</t>
  </si>
  <si>
    <t>IC-5715</t>
  </si>
  <si>
    <t>Fact#: 358698 Rec#: 17585 LUIS GALO IDROBO ACEBO</t>
  </si>
  <si>
    <t>IC-5714</t>
  </si>
  <si>
    <t>Fact#: 358423 Rec#: 17584 OSCAR HUMBERTO  BRITO GUILLEN</t>
  </si>
  <si>
    <t>IC-5713</t>
  </si>
  <si>
    <t>Fact#: 359547 Rec#: 17583 PIZA POZUELO FERNANDO</t>
  </si>
  <si>
    <t>IC-5712</t>
  </si>
  <si>
    <t>Fact#: 359454 Rec#: 17582 ROBALINO VALENCIA  SPARTA SUSANA</t>
  </si>
  <si>
    <t>IC-5711</t>
  </si>
  <si>
    <t>Fact#: 358927 Rec#: 17581 MAYI CECIBEL VILLACRES GUZMAN</t>
  </si>
  <si>
    <t>IC-5710</t>
  </si>
  <si>
    <t>Fact#: 4409 Rec#: 33002 LARA AGUILAR SILVIO DANILO</t>
  </si>
  <si>
    <t>IC-5668</t>
  </si>
  <si>
    <t>Fact#: 358457 Rec#: 33001 SILVIA XIMENA CHAVEZ CABRERA</t>
  </si>
  <si>
    <t>IC-5664</t>
  </si>
  <si>
    <t>Fact#: 358076 Rec#: 32999 PAYLESS SHOESOURCE ECUADOR CIA. LTDA.</t>
  </si>
  <si>
    <t>IC-5645</t>
  </si>
  <si>
    <t>Fact#: 357879 Rec#: 32998 DVT DEL ECUADOR S.A</t>
  </si>
  <si>
    <t>IC-5643</t>
  </si>
  <si>
    <t>Fact#: 360075 Rec#: 33000 TAMMY CARMEN CAAMAÑO CORNEJO</t>
  </si>
  <si>
    <t>IC-5657</t>
  </si>
  <si>
    <t>Fact#: 356198-358680 Rec#: 32997 FEDERICO GUILLERMO VARAS CHIQUITO</t>
  </si>
  <si>
    <t>IC-5630</t>
  </si>
  <si>
    <t>Fact#: 358314 Rec#: 32996 SIMON EMILIO BRIONES LOOR</t>
  </si>
  <si>
    <t>IC-5629</t>
  </si>
  <si>
    <t>Fact#: 354022-356435-358911 Rec#: 32995 ANDRES GONZALO CELI PEREZ</t>
  </si>
  <si>
    <t>IC-5628</t>
  </si>
  <si>
    <t>Fact#: 357939 Rec#: 32994 YARECUADOR CIA. LTDA</t>
  </si>
  <si>
    <t>IC-5625</t>
  </si>
  <si>
    <t>Fact#: 358726 Rec#: 32993 ENRIQUE FEDERICO ARENAS PILATAXI</t>
  </si>
  <si>
    <t>IC-5624</t>
  </si>
  <si>
    <t>Fact#: 357609 Rec#: 32992 DE SANTIS NEIRA JUAN JAIME CRISTIAN</t>
  </si>
  <si>
    <t>IC-5609</t>
  </si>
  <si>
    <t>N/D PACIFICO TRANSF. PAGO PLLAS. IESS NORMALES MES DE MARZO 2021 A PABLO BAQUERIZO</t>
  </si>
  <si>
    <t>Fact#: 772 Rec#: 32990 F.V - AREA ANDINA S.A.</t>
  </si>
  <si>
    <t>IC-5590</t>
  </si>
  <si>
    <t>Fact#: 355989 Rec#: 32989 VINUEZA GALLARDO CARLOS ENRIQUE</t>
  </si>
  <si>
    <t>IC-5587</t>
  </si>
  <si>
    <t>Fact#: 355874 Rec#: 32988 NORMA ELISA YEPEZ JIMENEZ</t>
  </si>
  <si>
    <t>IC-5586</t>
  </si>
  <si>
    <t>Fact#: 355853 Rec#: 32987 VICTOR ANTONIO AGUSTO ALVARADO</t>
  </si>
  <si>
    <t>IC-5585</t>
  </si>
  <si>
    <t>Fact#: 355846 Rec#: 32986 RAFAEL VICENTE ERAZO FALQUEZ</t>
  </si>
  <si>
    <t>IC-5584</t>
  </si>
  <si>
    <t>Fact#: 349722-351942-354277 Rec#: 17580 CASTILLO RIVERA RUTH NOEMI</t>
  </si>
  <si>
    <t>IC-5583</t>
  </si>
  <si>
    <t>Fact#: 349301-351490-353817 Rec#: 17579 GIOVANNY FRANCISCO TOLOZANO YEPEZ</t>
  </si>
  <si>
    <t>IC-5582</t>
  </si>
  <si>
    <t>Fact#: 355365 Rec#: 32985 VELIZ SANTILLAN GENESIS JOHANNA</t>
  </si>
  <si>
    <t>IC-5564</t>
  </si>
  <si>
    <t>Fact#: 356466-357475 Rec#: 32984 ANGEL ROGELIO PUMA MEDINA</t>
  </si>
  <si>
    <t>IC-5563</t>
  </si>
  <si>
    <t>Fact#: 351126-353458-355889 Rec#: 32983 FREDDY MAURICIO SARANGO MARTINEZ</t>
  </si>
  <si>
    <t>IC-5561</t>
  </si>
  <si>
    <t>Fact#: 357424 Rec#: 32982 JAIME ALBERTO  RINCON GOMEZ</t>
  </si>
  <si>
    <t>IC-5560</t>
  </si>
  <si>
    <t>Fact#: 358201 Rec#: 32981 INDUSTRIAL JUVENALIS S.A.</t>
  </si>
  <si>
    <t>IC-5559</t>
  </si>
  <si>
    <t>Fact#: 357192 Rec#: 32980 ARCENTALES DOMINGUEZ JOSE LEONIDAS</t>
  </si>
  <si>
    <t>IC-5558</t>
  </si>
  <si>
    <t>Fact#: 357348 Rec#: 32979 SANCHEZ MEDINA FELIX</t>
  </si>
  <si>
    <t>IC-5557</t>
  </si>
  <si>
    <t>Fact#: 355903 Rec#: 32978 GLORIA ISABEL MITE LEON</t>
  </si>
  <si>
    <t>IC-5556</t>
  </si>
  <si>
    <t>Fact#: 355891 Rec#: 32977 LAURO DAVID TORRES CARRILLO</t>
  </si>
  <si>
    <t>IC-5555</t>
  </si>
  <si>
    <t>Fact#: 357204 Rec#: 17578 MEDINA MORA IVAN ALEXANDER</t>
  </si>
  <si>
    <t>IC-5553</t>
  </si>
  <si>
    <t>Fact#: 353937-356352 Rec#: 17577 CESAR WILSON LARA NARVAEZ</t>
  </si>
  <si>
    <t>IC-5552</t>
  </si>
  <si>
    <t>Fact#: 353978-356392 Rec#: 17576 VILMA NINFA MORA MORA</t>
  </si>
  <si>
    <t>IC-5551</t>
  </si>
  <si>
    <t>Fact#: 356181 Rec#: 17575 TERESA LEONOR SALAZAR PLUAS</t>
  </si>
  <si>
    <t>IC-5549</t>
  </si>
  <si>
    <t>Fact#: 357282 Rec#: 17574 MACIAS GRACIA JOHNNY FRANCISCO</t>
  </si>
  <si>
    <t>IC-5548</t>
  </si>
  <si>
    <t>Fact#: 4056 Rec#: 17573 CRUZ SANTANA MARCOS BOLIVAR</t>
  </si>
  <si>
    <t>IC-5546</t>
  </si>
  <si>
    <t>Fact#: 349571-351780-354117 Rec#: 17572 VERA VELASQUEZ MARIA AUXILIADORA</t>
  </si>
  <si>
    <t>IC-5545</t>
  </si>
  <si>
    <t>Fact#: 355364-357747 Rec#: 17571 VELIZ SANTILLAN GENESIS JOHANNA</t>
  </si>
  <si>
    <t>IC-5544</t>
  </si>
  <si>
    <t>Fact#: 356423 Rec#: 17570 ALEXANDRA JACKELINE SANCHEZ ZAMBRANO</t>
  </si>
  <si>
    <t>IC-5543</t>
  </si>
  <si>
    <t>Fact#: 357050 Rec#: 17569 ROVELLO VALENCIA JOSE ROMAN</t>
  </si>
  <si>
    <t>IC-5542</t>
  </si>
  <si>
    <t>Fact#: 355353-357737 Rec#: 17568 MORANTE AVILA CESAR HIPOLITO</t>
  </si>
  <si>
    <t>IC-5541</t>
  </si>
  <si>
    <t>Fact#: 357020 Rec#: 17567 SANCHEZ QUINCHUELA INES MONICA</t>
  </si>
  <si>
    <t>IC-5540</t>
  </si>
  <si>
    <t>Fact#: 356921 Rec#: 17566 ROMERO VERSOZA RICARDO GERONIMO</t>
  </si>
  <si>
    <t>IC-5539</t>
  </si>
  <si>
    <t>Fact#: 357027 Rec#: 17565 HERNANDEZ MARIA ISABEL</t>
  </si>
  <si>
    <t>IC-5527</t>
  </si>
  <si>
    <t>Fact#: 357290 Rec#: 17564 MORENO TELLO CELI DURINDANA</t>
  </si>
  <si>
    <t>IC-5526</t>
  </si>
  <si>
    <t>Fact#: 352105-354444-356848 Rec#: 32976 GRANADOS MUTIS JUAN PABLO</t>
  </si>
  <si>
    <t>IC-5519</t>
  </si>
  <si>
    <t>CABRERA SOLORZANO NELSON CATITO CANCELA TELEFONO 3908107 ABONA SGTE FACTURA, PAGO WESTERN UNION</t>
  </si>
  <si>
    <t>AT-3267</t>
  </si>
  <si>
    <t>DAYANNA ANABELL BAQUERIZO AQUINO CANCELA TELEFONO 3930025 ABONA SGTE FACTURA, PAGO WESTERN UNION</t>
  </si>
  <si>
    <t>AT-3266</t>
  </si>
  <si>
    <t>Fact#: 350501-352801 Rec#: 32975 FERNANDEZ RONQUILLO JORGE ENRIQUE MARCELO</t>
  </si>
  <si>
    <t>IC-5503</t>
  </si>
  <si>
    <t>Fact#: 355928 Rec#: 32974 HUGO ANTONIO SALMERON ACOSTA</t>
  </si>
  <si>
    <t>IC-5502</t>
  </si>
  <si>
    <t>Fact#: 354642 Rec#: 32973 CEVALLOS ZAVALA BOLIVAR ANTONIO</t>
  </si>
  <si>
    <t>IC-5501</t>
  </si>
  <si>
    <t>Fact#: 355892 Rec#: 32972 ALVARO CORNEJO RODRIGUEZ</t>
  </si>
  <si>
    <t>IC-5500</t>
  </si>
  <si>
    <t>Fact#: 356679 Rec#: 32971 LOZANO OTERO RICARDO REIMONDI LOZANO OTERO</t>
  </si>
  <si>
    <t>IC-5499</t>
  </si>
  <si>
    <t>Fact#: 358071 Rec#: 32970 R.C.N CONSTRUCIONES S.A</t>
  </si>
  <si>
    <t>IC-5498</t>
  </si>
  <si>
    <t>Fact#: 358070 Rec#: 32969 R.C.N CONSTRUCIONES S.A</t>
  </si>
  <si>
    <t>IC-5497</t>
  </si>
  <si>
    <t>Fact#: 358209 Rec#: 32968 SERVICIO DE OFICINA COMPUTARIZADO SEROFICOM S.A.</t>
  </si>
  <si>
    <t>IC-5496</t>
  </si>
  <si>
    <t>Fact#: 352315-354655-357058 Rec#: 17563 MARTINEZ ABAD DOUGLAS GUILLERMO</t>
  </si>
  <si>
    <t>IC-5495</t>
  </si>
  <si>
    <t>Fact#: 354161-356571 Rec#: 17562 REINA SALAZAR JOSE DIEGO</t>
  </si>
  <si>
    <t>IC-5494</t>
  </si>
  <si>
    <t>Fact#: 354157-356568 Rec#: 17561 REINA SALAZAR JOSE DIEGO</t>
  </si>
  <si>
    <t>IC-5493</t>
  </si>
  <si>
    <t>Fact#: 354373-356778 Rec#: 17560 JIMENEZ MARCHAN CARLOS ALEJANDRO</t>
  </si>
  <si>
    <t>IC-5492</t>
  </si>
  <si>
    <t>Fact#: 353753-356175 Rec#: 17559 ANGELICA KATTY CALDERON BARRIOS</t>
  </si>
  <si>
    <t>IC-5491</t>
  </si>
  <si>
    <t>Fact#: 352954-355310-357699 Rec#: 17558 SARMIENTO LOOR GABRIELA DEL ROCIO</t>
  </si>
  <si>
    <t>IC-5490</t>
  </si>
  <si>
    <t>Fact#: 355582-358047 Rec#: 17557 COOPERATIVA DE AHORRO Y CREDITO MUSHUK YUYAY-CHIMBORAZO LTDA</t>
  </si>
  <si>
    <t>IC-5489</t>
  </si>
  <si>
    <t>Fact#: 356279 Rec#: 17556 CESAR ORLANDO VALLEJO VERA</t>
  </si>
  <si>
    <t>IC-5488</t>
  </si>
  <si>
    <t>Fact#: 357558 Rec#: 17555 SEGOVIA DOMINGUEZ KARLA FIORELLA</t>
  </si>
  <si>
    <t>IC-5487</t>
  </si>
  <si>
    <t>Fact#: 350255-352520-354864 Rec#: 17554 PEREZ ASENCIO LUCIANO ALBERTO</t>
  </si>
  <si>
    <t>IC-5486</t>
  </si>
  <si>
    <t>Fact#: 324515-327296-330066-332926-335850-338795-341789-345312-347813 Rec#: 17553 PENAFIEL VALLE MELISSA DEL ROCIO</t>
  </si>
  <si>
    <t>IC-5485</t>
  </si>
  <si>
    <t>Fact#: 358271 Rec#: 17552 GREENCORP SUPPLIES AND GRESURESA S.A</t>
  </si>
  <si>
    <t>IC-5484</t>
  </si>
  <si>
    <t>Fact#: 357800 Rec#: 17551 CONTRERAS RODRIGUEZ EUBENIA MARIETA</t>
  </si>
  <si>
    <t>IC-5483</t>
  </si>
  <si>
    <t>Fact#: 354073-356483 Rec#: 17550 MERO MANTUANO DARWIN IVAN</t>
  </si>
  <si>
    <t>IC-5482</t>
  </si>
  <si>
    <t>Fact#: 356736 Rec#: 17549 VALLEJO MARTINEZ LEIDIZ DIANA</t>
  </si>
  <si>
    <t>IC-5481</t>
  </si>
  <si>
    <t>Fact#: 353660-356084 Rec#: 32967 JAVIER SANTIAGO GUZHÑAY ANDRADE</t>
  </si>
  <si>
    <t>IC-5479</t>
  </si>
  <si>
    <t>Fact#: 357635 Rec#: 32966 MURILLO BARAHONA LISSETTE ESTEFANIA</t>
  </si>
  <si>
    <t>IC-5460</t>
  </si>
  <si>
    <t>Fact#: 354071-356481 Rec#: 17548 MONCADA MORA WENDY GINA</t>
  </si>
  <si>
    <t>IC-5447</t>
  </si>
  <si>
    <t>Fact#: 355069-357461 Rec#: 17547 TUMBACO VERA JOSE LUIS</t>
  </si>
  <si>
    <t>IC-5446</t>
  </si>
  <si>
    <t>Fact#: 353761-356183 Rec#: 17546 CARLA MARIA GARCIA ANDRADE</t>
  </si>
  <si>
    <t>IC-5445</t>
  </si>
  <si>
    <t>Fact#: 357453 Rec#: 17545 PILLIGUA ANCHUNDIA SEGUNDO BAUDILLO</t>
  </si>
  <si>
    <t>IC-5444</t>
  </si>
  <si>
    <t>Fact#: 353607-356032 Rec#: 17544 NESTOR AGUSTIN SIMANCAS PINTA</t>
  </si>
  <si>
    <t>IC-5443</t>
  </si>
  <si>
    <t>N/D PACIFICO CANCELACION DE FACTURA#29104282 CNEL EP</t>
  </si>
  <si>
    <t>NDL-7</t>
  </si>
  <si>
    <t>Fact#: 352929-355286-357676 Rec#: 32991 CABRERA ZALAMEA BLANCA ESMERALDA</t>
  </si>
  <si>
    <t>IC-5606</t>
  </si>
  <si>
    <t>Fact#: 353722-356145 Rec#: 32964 MAYRA ROCIO MULLO SAGÑAY</t>
  </si>
  <si>
    <t>IC-5457</t>
  </si>
  <si>
    <t>Fact#: 357281 Rec#: 17543 SANTANA MORENO SAUL AUGUSTO</t>
  </si>
  <si>
    <t>IC-5442</t>
  </si>
  <si>
    <t>Fact#: 354168-356577 Rec#: 17542 CABEZA BENITEZ MONSERRATE FATIMA</t>
  </si>
  <si>
    <t>IC-5441</t>
  </si>
  <si>
    <t>Fact#: 354899-357293 Rec#: 17541 VILLACIS LOPEZ ATALA ELENA</t>
  </si>
  <si>
    <t>IC-5440</t>
  </si>
  <si>
    <t>Fact#: 357823 Rec#: 17540 COELLO ACOSTA JUSTINA SUSANA</t>
  </si>
  <si>
    <t>IC-5439</t>
  </si>
  <si>
    <t>Fact#: 352932-355289 Rec#: 17539 ROSARIO GRANDA SANDRA KARINA</t>
  </si>
  <si>
    <t>IC-5438</t>
  </si>
  <si>
    <t>Fact#: 355329-357718 Rec#: 17538 LINO VILLEGAS ANGEL ALFONSO</t>
  </si>
  <si>
    <t>IC-5437</t>
  </si>
  <si>
    <t>Fact#: 354904-357298 Rec#: 17537 MUNOZ PROANO HUGO</t>
  </si>
  <si>
    <t>IC-5436</t>
  </si>
  <si>
    <t>Fact#: 356760 Rec#: 17536 ZAMORA AVILA ANGELA MARIA</t>
  </si>
  <si>
    <t>IC-5435</t>
  </si>
  <si>
    <t>Fact#: 4100 Rec#: 17535 ZABALA BARRIONUEVO RITA CECILIA</t>
  </si>
  <si>
    <t>IC-5434</t>
  </si>
  <si>
    <t>Fact#: 356952 Rec#: 17534 QUIMI LOPEZ FROILAN TITO</t>
  </si>
  <si>
    <t>IC-5433</t>
  </si>
  <si>
    <t>N/D POR COMISIONES DE WESTERN UNION POR RECAUDACION DEL 09/04/2021 AL 15/04/2021</t>
  </si>
  <si>
    <t>Fact#: 355868 Rec#: 32965 SERGIO ANDRES SEMMINARIO VALENZUELA</t>
  </si>
  <si>
    <t>IC-5458</t>
  </si>
  <si>
    <t>Fact#: 356591 Rec#: 17533 CARRILLO ANCHUNDIA FLOR MARIA</t>
  </si>
  <si>
    <t>IC-5432</t>
  </si>
  <si>
    <t>Fact#: 357940 Rec#: 32962 WANHAI LINES ECUADOR S.A.</t>
  </si>
  <si>
    <t>IC-5424</t>
  </si>
  <si>
    <t>Fact#: 357866 Rec#: 32961 LG ELECTRONICS PANAMA S.A</t>
  </si>
  <si>
    <t>IC-5423</t>
  </si>
  <si>
    <t>Fact#: 358042 Rec#: 32960 DATA TOOLS S.A.</t>
  </si>
  <si>
    <t>IC-5422</t>
  </si>
  <si>
    <t>Fact#: 357252 Rec#: 17532 CERCADO MENDOZA MARIA AUXILIADORA</t>
  </si>
  <si>
    <t>IC-5421</t>
  </si>
  <si>
    <t>Fact#: 4076 Rec#: 17531 CRUZ JOSE AMABLE</t>
  </si>
  <si>
    <t>IC-5420</t>
  </si>
  <si>
    <t>Fact#: 356768 Rec#: 17530 MEDINA BORJA LEONARDO JAVIER</t>
  </si>
  <si>
    <t>IC-5419</t>
  </si>
  <si>
    <t>Fact#: 355841 Rec#: 17529 EDDA GLADYS PARRALES GOMEZ</t>
  </si>
  <si>
    <t>IC-5418</t>
  </si>
  <si>
    <t>Fact#: 357428 Rec#: 17528 LANDA SANCHEZ JAZMIN ALEXANDRA</t>
  </si>
  <si>
    <t>IC-5417</t>
  </si>
  <si>
    <t>Fact#: 353777-356199 Rec#: 17527 PACO OLMEDO ORNA AYMACANA</t>
  </si>
  <si>
    <t>IC-5416</t>
  </si>
  <si>
    <t>Fact#: 356667 Rec#: 17526 CAZAR ERAZO RODRIGO ARTURO</t>
  </si>
  <si>
    <t>IC-5415</t>
  </si>
  <si>
    <t>Fact#: 356471 Rec#: 17525 PRISCILA NORALMA DELA AVENDANO</t>
  </si>
  <si>
    <t>IC-5414</t>
  </si>
  <si>
    <t>Fact#: 321482-324233-327009-329777-332633-335557-338499-341491-345015 Rec#: 17524 GRESELY RODRIGUEZ JONATHAN FRANCISCO</t>
  </si>
  <si>
    <t>IC-5413</t>
  </si>
  <si>
    <t>Fact#: 352398-354738-357137 Rec#: 17523 ALVAREZ CASTILLO AURORA DEL CISNE</t>
  </si>
  <si>
    <t>IC-5412</t>
  </si>
  <si>
    <t>Fact#: 351009-353337-355773 Rec#: 17522 RUIZ CARRION MARIA DANIELA</t>
  </si>
  <si>
    <t>IC-5411</t>
  </si>
  <si>
    <t>Fact#: 353862-356283 Rec#: 17521 NUBE MARLENE GONZALEZ CASTILLO</t>
  </si>
  <si>
    <t>IC-5410</t>
  </si>
  <si>
    <t>Fact#: 357630 Rec#: 17520 MIRANDA TORRES JUAN ERNESTO</t>
  </si>
  <si>
    <t>IC-5409</t>
  </si>
  <si>
    <t>Fact#: 358151 Rec#: 17519 ALVARADO BASURTO SEGUNDO GABRIEL</t>
  </si>
  <si>
    <t>IC-5408</t>
  </si>
  <si>
    <t>Fact#: 354194-356602 Rec#: 17518 HERBAS MORALES CHRISTIAN ALFREDO</t>
  </si>
  <si>
    <t>IC-5407</t>
  </si>
  <si>
    <t>Fact#: 351692-354026-356439 Rec#: 17517 DAVID PETER CHAVEZ GUALE</t>
  </si>
  <si>
    <t>IC-5406</t>
  </si>
  <si>
    <t>Fact#: 352505-354851-357251 Rec#: 17516 PARRAGA JOSE JUAN</t>
  </si>
  <si>
    <t>IC-5405</t>
  </si>
  <si>
    <t>Fact#: 358205 Rec#: 17515 SEGURIDAD &amp; PROTECCION TECNICA SEPROTECSECURITY CIA. LTDA.</t>
  </si>
  <si>
    <t>IC-5404</t>
  </si>
  <si>
    <t>Fact#: 355879 Rec#: 17514 MORAIMA SEMINARIO TOLEDO</t>
  </si>
  <si>
    <t>IC-5403</t>
  </si>
  <si>
    <t>Fact#: 354012-356425 Rec#: 17513 HANS EDUARDO NORIEGA ALBUJA</t>
  </si>
  <si>
    <t>IC-5402</t>
  </si>
  <si>
    <t>Fact#: 354826-357226 Rec#: 32959 REYES SOLIS  MARJORIE YOLANDA</t>
  </si>
  <si>
    <t>IC-5392</t>
  </si>
  <si>
    <t>Fact#: 354759-357159 Rec#: 32958 JIMENEZ ALVAREZ GARY WINDER</t>
  </si>
  <si>
    <t>IC-5391</t>
  </si>
  <si>
    <t>Fact#: 356790 Rec#: 32957 PINCAY SILVA FERNANDO RAFAEL</t>
  </si>
  <si>
    <t>IC-5390</t>
  </si>
  <si>
    <t>Fact#: 355124-357518 Rec#: 32956 SILVA ESPINOZA CARLOTA ELIZABETH</t>
  </si>
  <si>
    <t>IC-5389</t>
  </si>
  <si>
    <t>Fact#: 357383 Rec#: 32955 NAVARRETE CEDENO RUTH ELIZABETH</t>
  </si>
  <si>
    <t>IC-5388</t>
  </si>
  <si>
    <t>Fact#: 4224 Rec#: 32954 FUNDACION AVSI</t>
  </si>
  <si>
    <t>IC-5387</t>
  </si>
  <si>
    <t>Fact#: 355885 Rec#: 32953 JAVIER MAURICIO RODRIGO ALBAN</t>
  </si>
  <si>
    <t>IC-5386</t>
  </si>
  <si>
    <t>Fact#: 357856 Rec#: 32952 ASOCIACION DE PROPIETARIOS VALLE ALTO ETAPA PARIS</t>
  </si>
  <si>
    <t>IC-5385</t>
  </si>
  <si>
    <t>N/D PACIFICO TRANSF. ANTICIPO A FACTURA POR HONORARIOS PROFESIONALES MES DE ABR-2021 A PABLO BAQUERIZO DAVILA</t>
  </si>
  <si>
    <t>NDL-31</t>
  </si>
  <si>
    <t>N/D PACIFICO TRANSF. PAGO DE FONDOS DE RESERVA MES DE MARZO 2021</t>
  </si>
  <si>
    <t>NDL-30</t>
  </si>
  <si>
    <t>N/D PACIFICO TRANSF. ROLES DE PAGO 1ERA QUINCENA MES DE ABRIL 2021</t>
  </si>
  <si>
    <t>N/D PACIFICO TRANSF. PAGO PLLAS. IESS FONDOS DE RESERVA MES DE MARZO 2021, COMP#20976598</t>
  </si>
  <si>
    <t>N/D PACIFICO TRANSF. PLLAS. IESS PREST. HIPOTECARIO MES DE MARZO 2021, COMP#11242753</t>
  </si>
  <si>
    <t>N/D PACIFICO TRANSF. PLLAS. IESS PREST. QUIROGRAFARIO MES DE MARZO 2021, COMP#33915690</t>
  </si>
  <si>
    <t>N/D PACIFICO PLLAS. IESS AJUSTE MES DE MARZO 2021, COMP#141502282</t>
  </si>
  <si>
    <t>N/D PACIFICO TRANSF. PLLAS. IESS NORMALES MES DE MARZO 2021, COMP#141502178</t>
  </si>
  <si>
    <t>N/D PACIFICO CANCELACION DE FACTURAS#170584595, 170584596, 170584597, 170584598 CNT EP</t>
  </si>
  <si>
    <t>N/D PACIFICO CANCELACION DE FACTURA#170584599 CNEL EP</t>
  </si>
  <si>
    <t>N/D PACIFICO CANCELACION POR CONSUMO DE ENERGÍA ELECTRICA COD:200017298429 PORTAL AL SOL, CTV.</t>
  </si>
  <si>
    <t>N/D PACIFICO CANCELACION DE FACTURA#4923400 CNEL EP</t>
  </si>
  <si>
    <t>N/D PACIFICO CANCELACIÓN DE FACTURA#29011488 CNEL EP</t>
  </si>
  <si>
    <t>NDL-6</t>
  </si>
  <si>
    <t>N/D PACIFICO CANCELACIÓN DE FACTURA#28991886 CNEL EP</t>
  </si>
  <si>
    <t>N/D PACIFICO CANCELACIÓN DE FACTURA#28969363 CNEL EP</t>
  </si>
  <si>
    <t>N/D PACIFICO CANCELACIÓN DE FACTURA#28953534 CNEL EP</t>
  </si>
  <si>
    <t>N/D PACIFICO CANCELACION DE FACTURA#4883605 CNEL EP</t>
  </si>
  <si>
    <t>N/D PACIFICO CANCELACIÓN DE FACTURA#4753643 CNEL EP</t>
  </si>
  <si>
    <t>NDL-1</t>
  </si>
  <si>
    <t>Fact#: 355815 Rec#: 33148 CONSORCIO ECUATORIANO DE TELECOMUNICACIONES S.A. CONECEL</t>
  </si>
  <si>
    <t>IC-6561</t>
  </si>
  <si>
    <t>Fact#: 356925 Rec#: 32951 CEVALLOS ORVEN AMADITA</t>
  </si>
  <si>
    <t>IC-5384</t>
  </si>
  <si>
    <t>Fact#: 357965 Rec#: 32950 ELECTROMOOM S.A.</t>
  </si>
  <si>
    <t>IC-5383</t>
  </si>
  <si>
    <t>Fact#: 355829 Rec#: 32949 JORGE ALFREDO FRANCO MORAN</t>
  </si>
  <si>
    <t>IC-5382</t>
  </si>
  <si>
    <t>Fact#: 355905 Rec#: 32948 BENILDA JESUS ACOSTA ZAMBRANO</t>
  </si>
  <si>
    <t>IC-5381</t>
  </si>
  <si>
    <t>Fact#: 357872 Rec#: 32947 LAUDE S.A. LAUDESA ADMINISTRADORA DE FONDOS Y FIDEICOMISOS</t>
  </si>
  <si>
    <t>IC-5380</t>
  </si>
  <si>
    <t>Fact#: 357865 Rec#: 32946 DORCIEN S.A</t>
  </si>
  <si>
    <t>IC-5379</t>
  </si>
  <si>
    <t>Fact#: 357806 Rec#: 17512 FALQUEZ SALAVARRIA PATRICIA AZUCENA</t>
  </si>
  <si>
    <t>IC-5377</t>
  </si>
  <si>
    <t>Fact#: 345375-347877-350249 Rec#: 17511 SALAZAR ZULEYMAN FELIX ANTONIO</t>
  </si>
  <si>
    <t>IC-5376</t>
  </si>
  <si>
    <t>Fact#: 355871 Rec#: 17510 LINO MARTIN  BRITO BRITO</t>
  </si>
  <si>
    <t>IC-5375</t>
  </si>
  <si>
    <t>Fact#: 357232 Rec#: 17509 CABRERA GOMEZ MARTHA INES</t>
  </si>
  <si>
    <t>IC-5374</t>
  </si>
  <si>
    <t>Fact#: 354321-356727 Rec#: 17508 MORA URRUTIA MACARENA IVONNE</t>
  </si>
  <si>
    <t>IC-5373</t>
  </si>
  <si>
    <t>Fact#: 305524-321773-324520-327301-330071-332931-335855-338800-341794-345317-347818 Rec#: 17507 RECALDE FERNANDEZ CARLA ANDREA</t>
  </si>
  <si>
    <t>IC-5372</t>
  </si>
  <si>
    <t>Fact#: 352926-355284 Rec#: 17506 BRIONES ALVARADO MERCEDES MARLENE</t>
  </si>
  <si>
    <t>IC-5371</t>
  </si>
  <si>
    <t>Fact#: 352937 Rec#: 17505 CORONEL RODRIGUEZ MARIELA ASTRID</t>
  </si>
  <si>
    <t>IC-5354</t>
  </si>
  <si>
    <t>Fact#: 354863-357264 Rec#: 17504 PONCE BURGOS NORMA ISABEL</t>
  </si>
  <si>
    <t>IC-5353</t>
  </si>
  <si>
    <t>Fact#: 354862-357263 Rec#: 17503 PONCE BURGOS NORMA ISABEL</t>
  </si>
  <si>
    <t>IC-5352</t>
  </si>
  <si>
    <t>Fact#: 357302 Rec#: 17502 VILLAMAR CARRANZA MARISOL DEL PILAR</t>
  </si>
  <si>
    <t>IC-5351</t>
  </si>
  <si>
    <t>Fact#: 354366-356771 Rec#: 17501 PENAFIEL TAPIA FRANCISCO MIGUEL</t>
  </si>
  <si>
    <t>IC-5350</t>
  </si>
  <si>
    <t>Fact#: 357640 Rec#: 17500 ANDRADE RIVERA RAFAEL ALBERTO</t>
  </si>
  <si>
    <t>IC-5349</t>
  </si>
  <si>
    <t>Fact#: 356556 Rec#: 17499 RENDON SOLIS MARJORIE VALENTINA</t>
  </si>
  <si>
    <t>IC-5348</t>
  </si>
  <si>
    <t>Fact#: 357129 Rec#: 17498 CHUCA CHANCAY ANDREA BETZABETH</t>
  </si>
  <si>
    <t>IC-5347</t>
  </si>
  <si>
    <t>Fact#: 356687 Rec#: 17497 YANEZ ARROYO LUIS ALBERTO</t>
  </si>
  <si>
    <t>IC-5346</t>
  </si>
  <si>
    <t>Fact#: 356836 Rec#: 17496 YUMBLA MENDIETA MONICA ELIZABETH</t>
  </si>
  <si>
    <t>IC-5345</t>
  </si>
  <si>
    <t>Fact#: 332077-334991-337934-340924-344450 Rec#: 17495 EGAS LINO KEVIN STALIN</t>
  </si>
  <si>
    <t>IC-5344</t>
  </si>
  <si>
    <t>Fact#: 356703 Rec#: 17494 GOMEZ CALDERON ALEXANDRA ELIZABETH</t>
  </si>
  <si>
    <t>IC-5343</t>
  </si>
  <si>
    <t>Fact#: 357481 Rec#: 17493 VALLEJO MEDRANDA YURI MAURICIO</t>
  </si>
  <si>
    <t>IC-5342</t>
  </si>
  <si>
    <t>Fact#: 353266-355693-358154 Rec#: 17492 CABANILLA FUENTES CINDY GABRIELA</t>
  </si>
  <si>
    <t>IC-5341</t>
  </si>
  <si>
    <t>Fact#: 357409 Rec#: 17491 CEDENO ANGULO JAIRO RENE</t>
  </si>
  <si>
    <t>IC-5340</t>
  </si>
  <si>
    <t>Fact#: 354753-357153 Rec#: 17490 MACAS VERA CARLOS ERNESTO</t>
  </si>
  <si>
    <t>IC-5339</t>
  </si>
  <si>
    <t>Fact#: 356459 Rec#: 17489 GABRIEL CLEMENTE MEJIA MATA</t>
  </si>
  <si>
    <t>IC-5338</t>
  </si>
  <si>
    <t>Fact#: 352233-354573-356979 Rec#: 17488 BRAVO BRIONES JOSE FEDERICO</t>
  </si>
  <si>
    <t>IC-5337</t>
  </si>
  <si>
    <t>Fact#: 354933-357329 Rec#: 17487 ALVARADO JALCA JAZMIN ESTHER</t>
  </si>
  <si>
    <t>IC-5336</t>
  </si>
  <si>
    <t>Fact#: 355161-357556 Rec#: 32945 BATTEN SORIANO CARLOS ARTURO</t>
  </si>
  <si>
    <t>IC-5303</t>
  </si>
  <si>
    <t>Fact#: 358235 Rec#: 32963 REPROLIMIT CIA.LTDA</t>
  </si>
  <si>
    <t>IC-5431</t>
  </si>
  <si>
    <t>Fact#: 328482-331304-334216-337148-340139-343668 Rec#: 32944 WILSON ORLANDO GUILLEN LAPO</t>
  </si>
  <si>
    <t>IC-5302</t>
  </si>
  <si>
    <t>Fact#: 356831 Rec#: 17486 AGUINO ARTEAGA MARIA DE LOURDES</t>
  </si>
  <si>
    <t>IC-5295</t>
  </si>
  <si>
    <t>Fact#: 356954 Rec#: 17485 PANCHANA GONZALEZ GLADYS HAIDEE</t>
  </si>
  <si>
    <t>IC-5294</t>
  </si>
  <si>
    <t>Fact#: 358176 Rec#: 17484 BRODERIN S.A</t>
  </si>
  <si>
    <t>IC-5293</t>
  </si>
  <si>
    <t>Fact#: 354818-357218 Rec#: 17483 BURGOS GOYA MARLIE  KATHERINE</t>
  </si>
  <si>
    <t>IC-5292</t>
  </si>
  <si>
    <t>Fact#: 354266-356675 Rec#: 17482 MENDEZ ROSALES GIOCONDA EREUTEIDA</t>
  </si>
  <si>
    <t>IC-5291</t>
  </si>
  <si>
    <t>Fact#: 355921 Rec#: 17481 SANDRA PATRICIA MOREJON LLANOS</t>
  </si>
  <si>
    <t>IC-5290</t>
  </si>
  <si>
    <t>Fact#: 355916 Rec#: 17480 VICENTE GABRIEL VINUEZA MERINO</t>
  </si>
  <si>
    <t>IC-5289</t>
  </si>
  <si>
    <t>Fact#: 357207 Rec#: 17479 ARROYO MOURA RENE PATRICIO</t>
  </si>
  <si>
    <t>IC-5288</t>
  </si>
  <si>
    <t>Fact#: 353446-355876 Rec#: 17478 ALFREDO BARRIGA HOLGUIN</t>
  </si>
  <si>
    <t>IC-5287</t>
  </si>
  <si>
    <t>Fact#: 355852 Rec#: 17477 DELIA AMPARO SALMERON ACOSTA</t>
  </si>
  <si>
    <t>IC-5286</t>
  </si>
  <si>
    <t>Fact#: 356721 Rec#: 17476 BELARDE BRAVO WILLIAM JASMANI</t>
  </si>
  <si>
    <t>IC-5285</t>
  </si>
  <si>
    <t>Fact#: 355565-358030 Rec#: 17475 DULCES, PASTELES Y TORTAS RADU S.A.</t>
  </si>
  <si>
    <t>IC-5284</t>
  </si>
  <si>
    <t>Fact#: 320176-322942-325701-328450-331272-334184-337116-340108-343638 Rec#: 17474 NESTOR EDUARDO PLUAS OCHOA</t>
  </si>
  <si>
    <t>IC-5283</t>
  </si>
  <si>
    <t>Fact#: 4243 Rec#: 17473 INKA BURGER</t>
  </si>
  <si>
    <t>IC-5282</t>
  </si>
  <si>
    <t>Fact#: 354430-356834 Rec#: 17472 GUAMAN IZA LILIANA ARACELY</t>
  </si>
  <si>
    <t>IC-5281</t>
  </si>
  <si>
    <t>Fact#: 354903-357297 Rec#: 17471 MENDIETA VILLALVA ROSA MARIA</t>
  </si>
  <si>
    <t>IC-5280</t>
  </si>
  <si>
    <t>Fact#: 347526-350013-352246 Rec#: 17470 ALFONZO TIGRE GUILLERMO DARIO</t>
  </si>
  <si>
    <t>IC-5279</t>
  </si>
  <si>
    <t>Fact#: 355948 Rec#: 17469 HAYDEE GANDIOSA  FALUGIANI MORA</t>
  </si>
  <si>
    <t>IC-5278</t>
  </si>
  <si>
    <t>Fact#: 355031-357425 Rec#: 17468 LINDAO CEDENO KATHERIN LIZBETH</t>
  </si>
  <si>
    <t>IC-5277</t>
  </si>
  <si>
    <t>Fact#: 355926 Rec#: 32943 MARIA DOLORES COBOS MARMOLEJO</t>
  </si>
  <si>
    <t>IC-5276</t>
  </si>
  <si>
    <t>Fact#: 356748 Rec#: 32942 NARANJO BENITES LUIS ALBERTO</t>
  </si>
  <si>
    <t>IC-5275</t>
  </si>
  <si>
    <t>Fact#: 356707 Rec#: 32941 SOXO QUICHIMBO IVONNE ALEXANDRA</t>
  </si>
  <si>
    <t>IC-5274</t>
  </si>
  <si>
    <t>Fact#: 357981 Rec#: 32940 CHRISTIAN JAVIER MIDEROS ROMERO</t>
  </si>
  <si>
    <t>IC-5273</t>
  </si>
  <si>
    <t>Fact#: 355532-357996 Rec#: 32939 EDGAR MARCELO MERA VASQUEZ</t>
  </si>
  <si>
    <t>IC-5272</t>
  </si>
  <si>
    <t>Fact#: 354146-356557 Rec#: 32938 ESPIN PEREZ JOSE XAVIER</t>
  </si>
  <si>
    <t>IC-5271</t>
  </si>
  <si>
    <t>Fact#: 343124 Rec#: 32937 ROSERO CRUZ MARIA AUXILIADORA</t>
  </si>
  <si>
    <t>IC-5270</t>
  </si>
  <si>
    <t>Fact#: 357662 Rec#: 32936 MIRTHA ACELA ESCALANTE GARCIA</t>
  </si>
  <si>
    <t>IC-5268</t>
  </si>
  <si>
    <t>RODRIGUEZ SANCHEZ JANNETH HOMAIRA CANCELA TELEFONO 3908017 ABONA SGTE FACTURA, PAGO WESTERN UNION</t>
  </si>
  <si>
    <t>AT-3264</t>
  </si>
  <si>
    <t>N/D  PACIFICO CANCELACION DE FACTURA#74401881 OTECEL</t>
  </si>
  <si>
    <t>Fact#: 355604-358069 Rec#: 17462 SOLUCIONES GLOBALES S.A GLOBFAST</t>
  </si>
  <si>
    <t>IC-6677</t>
  </si>
  <si>
    <t>Fact#: 355603-358068 Rec#: 17461 SOLUCIONES GLOBALES S.A GLOBFAST</t>
  </si>
  <si>
    <t>IC-6676</t>
  </si>
  <si>
    <t>Fact#: 4088 Rec#: 32935 ZAPATA FLORES GILMAR FABRICIO</t>
  </si>
  <si>
    <t>IC-5264</t>
  </si>
  <si>
    <t>Fact#: 351112-353443-355873 Rec#: 32934 ELIANA JOANELY BARCHI GUTIERREZ</t>
  </si>
  <si>
    <t>IC-5258</t>
  </si>
  <si>
    <t>Fact#: 357854 Rec#: 32933 ASOC. PRO. NEW YORK 12 DE SEPTIEMBRE</t>
  </si>
  <si>
    <t>IC-5257</t>
  </si>
  <si>
    <t>Fact#: 357847 Rec#: 32932 ASOC. PRO. NEW YORK 12 DE SEPTIEMBRE</t>
  </si>
  <si>
    <t>IC-5256</t>
  </si>
  <si>
    <t>Fact#: 354057-356468 Rec#: 32931 JAVIER ALEJANDRO PAREDES SALTOS</t>
  </si>
  <si>
    <t>IC-5255</t>
  </si>
  <si>
    <t>Fact#: 356092 Rec#: 32930 HENRY LENY BETANCOURT VITERI</t>
  </si>
  <si>
    <t>IC-5254</t>
  </si>
  <si>
    <t>Fact#: 357998 Rec#: 32929 JORGE ARTURO ZANABRIA VILLAMAR</t>
  </si>
  <si>
    <t>IC-5253</t>
  </si>
  <si>
    <t>Fact#: 358187 Rec#: 17467 LOPEZ FLOREZ CARLOS RAFAEL</t>
  </si>
  <si>
    <t>IC-5252</t>
  </si>
  <si>
    <t>Fact#: 351567-353894-356313 Rec#: 17466 KATTIA MARIA JOSEFINA CARDENAS FREIRE</t>
  </si>
  <si>
    <t>IC-5251</t>
  </si>
  <si>
    <t>Fact#: 353539-355967 Rec#: 17465 ROSA MARGARITA  BARRIGA CANTOS</t>
  </si>
  <si>
    <t>IC-5249</t>
  </si>
  <si>
    <t>Fact#: 354538-356943 Rec#: 17464 ORTEGA QUIMI ADRIANA ALEXANDRA</t>
  </si>
  <si>
    <t>IC-5248</t>
  </si>
  <si>
    <t>Fact#: 356844 Rec#: 17463 ALVARADO HOLGUIN HENRRY EDUARDO</t>
  </si>
  <si>
    <t>IC-5247</t>
  </si>
  <si>
    <t>Fact#: 353803-356225 Rec#: 17460 OMAR JOSSUE GRANIZO HUAYAMAVE</t>
  </si>
  <si>
    <t>IC-5244</t>
  </si>
  <si>
    <t>Fact#: 357889 Rec#: 17459 IGLESIA DE JESUCRISTO SUD</t>
  </si>
  <si>
    <t>IC-5243</t>
  </si>
  <si>
    <t>Fact#: 351502-353829-356251 Rec#: 17458 NUVIA ELIZABETH TORRES VERA</t>
  </si>
  <si>
    <t>IC-5242</t>
  </si>
  <si>
    <t>Fact#: 3737-3935-4154 Rec#: 17457 ROMERO MONTOYA MARIA AMADA</t>
  </si>
  <si>
    <t>IC-5241</t>
  </si>
  <si>
    <t>Fact#: 322274-325033-327801-330603-333493-336442-339440-342988-346015 Rec#: 17456 JORGE LUIS ORTIZ MOLINA</t>
  </si>
  <si>
    <t>IC-5240</t>
  </si>
  <si>
    <t>Fact#: 358159 Rec#: 17455 ALVARADO COBOS ALDO MANUEL</t>
  </si>
  <si>
    <t>IC-5239</t>
  </si>
  <si>
    <t>Fact#: 322564-325321-328079-330885-333776-336719-339713-343258-346286-348736 Rec#: 17454 MIRANDA COPPIANO JUAN CARLOS</t>
  </si>
  <si>
    <t>IC-5238</t>
  </si>
  <si>
    <t>Fact#: 357968 Rec#: 17453 FILUS S.A</t>
  </si>
  <si>
    <t>IC-5237</t>
  </si>
  <si>
    <t>Fact#: 357967 Rec#: 17452 FILUS S.A</t>
  </si>
  <si>
    <t>IC-5236</t>
  </si>
  <si>
    <t>Fact#: 312915-315581-318274 Rec#: 17451 RODRIGUEZ SANCHEZ JANNETH HOMAIRA</t>
  </si>
  <si>
    <t>IC-5235</t>
  </si>
  <si>
    <t>Fact#: 357201 Rec#: 17450 BUSTAMANTE CHUQUIMARCA SANDRA ELIZABETH</t>
  </si>
  <si>
    <t>IC-5234</t>
  </si>
  <si>
    <t>Fact#: 355689-358150 Rec#: 17449 DULCOSTA S.A.</t>
  </si>
  <si>
    <t>IC-5233</t>
  </si>
  <si>
    <t>Fact#: 357331 Rec#: 17448 GALLEGOS VERA ALEX AUGUSTO</t>
  </si>
  <si>
    <t>IC-5232</t>
  </si>
  <si>
    <t>Fact#: 356733 Rec#: 32927 PAZMINO PRIETO SIXTO JAVIER</t>
  </si>
  <si>
    <t>IC-5220</t>
  </si>
  <si>
    <t>BYRON JOSE LEDESMA CARDENAS CANCELA TELEFONO 3908830 ABONA SGTE FACTURA, PAGO WESTERN UNION</t>
  </si>
  <si>
    <t>AT-3263</t>
  </si>
  <si>
    <t>Fact#: 352330-354673-357074 Rec#: 32926 AREVALO PONCE JAVIER MAURICIO</t>
  </si>
  <si>
    <t>IC-5211</t>
  </si>
  <si>
    <t>Fact#: 354781-357180 Rec#: 32925 MORA REYES JOSE FRANK</t>
  </si>
  <si>
    <t>IC-5210</t>
  </si>
  <si>
    <t>Fact#: 358120 Rec#: 32924 CAMPOS VELEZ HENRRY GONZALO</t>
  </si>
  <si>
    <t>IC-5209</t>
  </si>
  <si>
    <t>Fact#: 358237 Rec#: 32923 ADMINASES S A</t>
  </si>
  <si>
    <t>IC-5208</t>
  </si>
  <si>
    <t>Fact#: 357948 Rec#: 32922 ANEMASA S.A.</t>
  </si>
  <si>
    <t>IC-5207</t>
  </si>
  <si>
    <t>Fact#: 357944 Rec#: 32921 AUTOMERCADO S.A.</t>
  </si>
  <si>
    <t>IC-5206</t>
  </si>
  <si>
    <t>Fact#: 357945 Rec#: 32920 AUTOMERCADO S.A.</t>
  </si>
  <si>
    <t>IC-5205</t>
  </si>
  <si>
    <t>Fact#: 356013 Rec#: 32919 HUGO RENE LUNA</t>
  </si>
  <si>
    <t>IC-5204</t>
  </si>
  <si>
    <t>Fact#: 357663 Rec#: 32918 SOLEDISPA CHIPRE SANDRA GISELA</t>
  </si>
  <si>
    <t>IC-5203</t>
  </si>
  <si>
    <t>Fact#: 354965-357361 Rec#: 32917 ELIAS CABRERA ANGELA MARIA</t>
  </si>
  <si>
    <t>IC-5202</t>
  </si>
  <si>
    <t>Fact#: 355842 Rec#: 32916 GIOVANNY NARVAEZ PORTILLA</t>
  </si>
  <si>
    <t>IC-5201</t>
  </si>
  <si>
    <t>Fact#: 353457-355888 Rec#: 32915 VICTOR HUGO PEZO AQUINO</t>
  </si>
  <si>
    <t>IC-5200</t>
  </si>
  <si>
    <t>Fact#: 354605-357011 Rec#: 17447 CORDOVA REYES CARLOS HORACIO</t>
  </si>
  <si>
    <t>IC-5199</t>
  </si>
  <si>
    <t>Fact#: 355535-357999 Rec#: 17446 DANILO ROMO LEROUX ZUÑIGA</t>
  </si>
  <si>
    <t>IC-5198</t>
  </si>
  <si>
    <t>Fact#: 321355-324110-326884-329649-332503-335426-338368-341360-344884 Rec#: 17445 PENAFIEL TIRCIO KARINA LISSETTE</t>
  </si>
  <si>
    <t>IC-5197</t>
  </si>
  <si>
    <t>Fact#: 355080-357473 Rec#: 17444 GUAMAN TUPIZA MANUEL FRANCISCO</t>
  </si>
  <si>
    <t>IC-5196</t>
  </si>
  <si>
    <t>Fact#: 357412 Rec#: 17443 MAZZILLI MENDOZA MELANIE MICHELLE</t>
  </si>
  <si>
    <t>IC-5195</t>
  </si>
  <si>
    <t>Fact#: 356495 Rec#: 17442 YAGUAL GOMEZ JOHAN ALEJANDRO</t>
  </si>
  <si>
    <t>IC-5194</t>
  </si>
  <si>
    <t>Fact#: 356533 Rec#: 17441 RUIZ VELEZ LIBIA KARINA</t>
  </si>
  <si>
    <t>IC-5193</t>
  </si>
  <si>
    <t>Fact#: 353770-356192 Rec#: 17440 LUIS JOSE GUTIERREZ CASTILLO</t>
  </si>
  <si>
    <t>IC-5192</t>
  </si>
  <si>
    <t>Fact#: 355715-358177 Rec#: 17439 MERCHAN BALON CHRISTOPHER FERNANDO</t>
  </si>
  <si>
    <t>IC-5191</t>
  </si>
  <si>
    <t>Fact#: 3829-4047 Rec#: 17438 INTRIAGO ALCIVAR DAISY ADRIANA</t>
  </si>
  <si>
    <t>IC-5190</t>
  </si>
  <si>
    <t>Fact#: 351691-354025-356438 Rec#: 17437 CESAR VICENTE ALDAZABAL ALZAMORA</t>
  </si>
  <si>
    <t>IC-5189</t>
  </si>
  <si>
    <t>Fact#: 352660-355006-357398 Rec#: 17436 MORA FUENTES ALONSO GABRIEL</t>
  </si>
  <si>
    <t>IC-5188</t>
  </si>
  <si>
    <t>Fact#: 324477-327257-330027-332887-335811-338756-341750-345273-347774 Rec#: 17435 MARQUEZ HONORATO ARNOLDO OSVALDO</t>
  </si>
  <si>
    <t>IC-5187</t>
  </si>
  <si>
    <t>Fact#: 353403-355834 Rec#: 32914 ANA MIRIAM ACUÑA AUCATOMA</t>
  </si>
  <si>
    <t>IC-5112</t>
  </si>
  <si>
    <t>Fact#: 358002 Rec#: 32913 CONSTRU-YA S.A.</t>
  </si>
  <si>
    <t>IC-5108</t>
  </si>
  <si>
    <t>Fact#: 771 Rec#: 32912 F.V - AREA ANDINA S.A.</t>
  </si>
  <si>
    <t>IC-5107</t>
  </si>
  <si>
    <t>AT-3262</t>
  </si>
  <si>
    <t>Fact#: 358253 Rec#: 17434 DENNIS TOMALA ALBA ROSA</t>
  </si>
  <si>
    <t>IC-5095</t>
  </si>
  <si>
    <t>Fact#: 356759 Rec#: 17424 PARRALES GONZALEZ NIXA JASMIN</t>
  </si>
  <si>
    <t>IC-5082</t>
  </si>
  <si>
    <t>Fact#: 354775-357174 Rec#: 17423 ZAMBRANO CALENO OLGA PATRICIA</t>
  </si>
  <si>
    <t>IC-5081</t>
  </si>
  <si>
    <t>Fact#: 355175-357570 Rec#: 17422 MEJIA LEMA WILSON ALEXANDER</t>
  </si>
  <si>
    <t>IC-5080</t>
  </si>
  <si>
    <t>Fact#: 357618 Rec#: 17421 CHICALA GARCIA GEOVANNY PATRICIO</t>
  </si>
  <si>
    <t>IC-5079</t>
  </si>
  <si>
    <t>Fact#: 352323-354663-357065 Rec#: 17420 MENENDEZ GARCIA RODRIGO ANTONIO</t>
  </si>
  <si>
    <t>IC-5078</t>
  </si>
  <si>
    <t>Fact#: 4196 Rec#: 32911 CABEZAS GUERRA MARIA DEL CARMEN</t>
  </si>
  <si>
    <t>IC-5098</t>
  </si>
  <si>
    <t>Fact#: 355045-357438 Rec#: 32910 JARAMILLO JALON JOSE GABRIEL</t>
  </si>
  <si>
    <t>IC-5097</t>
  </si>
  <si>
    <t>Fact#: 352571-354914-357309 Rec#: 17419 MACIAS CASTRO GINA MAYRA</t>
  </si>
  <si>
    <t>IC-5077</t>
  </si>
  <si>
    <t>Fact#: 356947 Rec#: 17418 NEIRA LOY EDISON GUSTAVO</t>
  </si>
  <si>
    <t>IC-5076</t>
  </si>
  <si>
    <t>Fact#: 356737 Rec#: 17417 RUIZ SOLANO KELVIL ORLANDO</t>
  </si>
  <si>
    <t>IC-5075</t>
  </si>
  <si>
    <t>Fact#: 351431-353757-356179 Rec#: 17416 RUBEN ESTEBAN URRUTIA VINUEZA</t>
  </si>
  <si>
    <t>IC-5074</t>
  </si>
  <si>
    <t>Fact#: 353880-356301 Rec#: 17415 HOLGER ALFREDO TOMALA DE LA ROSA</t>
  </si>
  <si>
    <t>IC-5073</t>
  </si>
  <si>
    <t>Fact#: 354265-356674 Rec#: 17414 DE LA O CHACON JOSEPH CHRISTIAN</t>
  </si>
  <si>
    <t>IC-5072</t>
  </si>
  <si>
    <t>Fact#: 357386 Rec#: 17413 JIMENEZ OCHOA LUIS ENRIQUE</t>
  </si>
  <si>
    <t>IC-5071</t>
  </si>
  <si>
    <t>Fact#: 353633-356057 Rec#: 17412 JENNIFER MARITZA BAJAÑA MERCHAN</t>
  </si>
  <si>
    <t>IC-5070</t>
  </si>
  <si>
    <t>Fact#: 355026-357419 Rec#: 17411 ZAPATA ROMERO ROBERTO DRUVAL</t>
  </si>
  <si>
    <t>IC-5069</t>
  </si>
  <si>
    <t>Fact#: 354895-357289 Rec#: 17410 FIGUEROA GAVELA SILVIA FABIOLA</t>
  </si>
  <si>
    <t>IC-5068</t>
  </si>
  <si>
    <t>Fact#: 357083 Rec#: 17409 CABELLO CHIRIGUAYA DAVID ELIAS</t>
  </si>
  <si>
    <t>IC-5067</t>
  </si>
  <si>
    <t>Fact#: 353603-353604 Rec#: 32928 LUIS DANIEL CHIANG GUERRERO</t>
  </si>
  <si>
    <t>IC-5222</t>
  </si>
  <si>
    <t>Fact#: 351945-354281-356688 Rec#: 32909 MORAN CABELLO JUSUETH WENSTLAND</t>
  </si>
  <si>
    <t>IC-5087</t>
  </si>
  <si>
    <t>Fact#: 356227 Rec#: 32908 CAROLINA ALICIA EGAS NUÑEZ</t>
  </si>
  <si>
    <t>IC-5086</t>
  </si>
  <si>
    <t>Fact#: 354245-356653 Rec#: 32907 BAJANA DE LA ROSA SANTIAGO EDISON</t>
  </si>
  <si>
    <t>IC-5085</t>
  </si>
  <si>
    <t>Fact#: 355041-357434 Rec#: 32906 CHALEN ROSADO VICENTE MANUEL</t>
  </si>
  <si>
    <t>IC-5084</t>
  </si>
  <si>
    <t>Fact#: 356940 Rec#: 32905 VELIZ CASTRO RICARDO XAVIER</t>
  </si>
  <si>
    <t>IC-5083</t>
  </si>
  <si>
    <t>Fact#: 355694-358155 Rec#: 17408 RENFID S.A.</t>
  </si>
  <si>
    <t>IC-5066</t>
  </si>
  <si>
    <t>Fact#: 354559-356966 Rec#: 17407 GUADALUPE REMACHE SILVIA FABIOLA</t>
  </si>
  <si>
    <t>IC-5065</t>
  </si>
  <si>
    <t>Fact#: 354508-356914 Rec#: 17406 VALENCIA NIEVES BYRON BOLIVAR</t>
  </si>
  <si>
    <t>IC-5064</t>
  </si>
  <si>
    <t>Fact#: 356133 Rec#: 17405 MARIA DEL ROSARIO GUZMAN MASPONS</t>
  </si>
  <si>
    <t>IC-5063</t>
  </si>
  <si>
    <t>Fact#: 353583-356010 Rec#: 17404 ASTUDILLO AYORA CECILIA FILOMENA</t>
  </si>
  <si>
    <t>IC-5062</t>
  </si>
  <si>
    <t>Fact#: 338941-341937-345460-347963 Rec#: 17403 PILAY ALVARADO MARIA BELEN</t>
  </si>
  <si>
    <t>IC-5061</t>
  </si>
  <si>
    <t>Fact#: 351721-354056-356467 Rec#: 17402 PAUL FERNANDO SEGURA MACIAS</t>
  </si>
  <si>
    <t>IC-5060</t>
  </si>
  <si>
    <t>Fact#: 355370-357751 Rec#: 17401 VERA BAZAN ELIO ERASMO</t>
  </si>
  <si>
    <t>IC-5059</t>
  </si>
  <si>
    <t>Fact#: 354620-357026 Rec#: 17400 MUNIZ MARTINEZ CARMEN ALEJA</t>
  </si>
  <si>
    <t>IC-5058</t>
  </si>
  <si>
    <t>Fact#: 357611 Rec#: 17399 SANCHEZ MENDOZA ANA ADELA</t>
  </si>
  <si>
    <t>IC-5057</t>
  </si>
  <si>
    <t>Fact#: 354688-357089 Rec#: 17398 CHELE TORO OSCAR EULICES</t>
  </si>
  <si>
    <t>IC-5056</t>
  </si>
  <si>
    <t>Fact#: 356665 Rec#: 17397 ARROBA VALENCIA  JULIO ZENON</t>
  </si>
  <si>
    <t>IC-5055</t>
  </si>
  <si>
    <t>Fact#: 355038-357431 Rec#: 17396 PARADA PARRA MIGUEL ANGEL</t>
  </si>
  <si>
    <t>IC-5054</t>
  </si>
  <si>
    <t>Fact#: 355716-358178 Rec#: 17395 LA CASA DEL MEDICO LACASADELMEDICO S.A.</t>
  </si>
  <si>
    <t>IC-5053</t>
  </si>
  <si>
    <t>Fact#: 356294 Rec#: 17394 JAVIER FEDERICO VILLON ANASTACIO</t>
  </si>
  <si>
    <t>IC-5052</t>
  </si>
  <si>
    <t>Fact#: 354554-356961 Rec#: 17393 NARANJO CADENA DANIEL FIDEL</t>
  </si>
  <si>
    <t>IC-5051</t>
  </si>
  <si>
    <t>Fact#: 354236-356643 Rec#: 17392 VALENCIA VICTOR HUGO</t>
  </si>
  <si>
    <t>IC-5050</t>
  </si>
  <si>
    <t>Fact#: 3878-4098 Rec#: 17391 PAREDES PEREZ GUSTAVO XAVIER</t>
  </si>
  <si>
    <t>IC-5049</t>
  </si>
  <si>
    <t>Fact#: 354285-356692 Rec#: 17390 CARRASCO ARANA LEONELA MERCEDES</t>
  </si>
  <si>
    <t>IC-5048</t>
  </si>
  <si>
    <t>Fact#: 357364 Rec#: 17389 CASTRO ESPINALES LUCELINA PRIMITIVA</t>
  </si>
  <si>
    <t>IC-5047</t>
  </si>
  <si>
    <t>Fact#: 353334-355770-358232 Rec#: 17388 PRETOMEL S.A.</t>
  </si>
  <si>
    <t>IC-5046</t>
  </si>
  <si>
    <t>Fact#: 358027 Rec#: 32904 CIPORT &amp; TECNAC CIPTE C.L</t>
  </si>
  <si>
    <t>IC-5043</t>
  </si>
  <si>
    <t>Fact#: 357641 Rec#: 32903 ALZAMORA BATALLA BLANCA LEONOR</t>
  </si>
  <si>
    <t>IC-5042</t>
  </si>
  <si>
    <t>Fact#: 355578-358043 Rec#: 32902 FERRUX S.A.</t>
  </si>
  <si>
    <t>IC-5038</t>
  </si>
  <si>
    <t>Fact#: 357923-357924 Rec#: 32901 REFRIGERACIÓN INDUSTRIAL CORNEJO REFRICOR-EC CIA.</t>
  </si>
  <si>
    <t>IC-5023</t>
  </si>
  <si>
    <t>Fact#: 355245-357642 Rec#: 32899 ARIAS ALVAREZ GLADYS MERCEDES</t>
  </si>
  <si>
    <t>IC-5021</t>
  </si>
  <si>
    <t>Fact#: 355259-357654 Rec#: 32900 BAZURTO MONTIEL PILAR CLARIBEL</t>
  </si>
  <si>
    <t>IC-5022</t>
  </si>
  <si>
    <t>Fact#: 358206 Rec#: 32898 EMPRESA PUBLICA MUNICIPAL PARA LA GESTIÓN DE LA INNOVACIÓN  Y LA COMPETITIVIDAD, EP</t>
  </si>
  <si>
    <t>IC-5014</t>
  </si>
  <si>
    <t>Fact#: 353515-355943 Rec#: 32897 CARMEN NARCISA  JURADO PAREDES</t>
  </si>
  <si>
    <t>IC-5012</t>
  </si>
  <si>
    <t>Fact#: 353591-356017 Rec#: 32896 VILLAO JURADO ANDREA BELEN</t>
  </si>
  <si>
    <t>IC-5011</t>
  </si>
  <si>
    <t>Fact#: 356838 Rec#: 32895 REIMBERG BADUY PETER PAUL</t>
  </si>
  <si>
    <t>IC-5010</t>
  </si>
  <si>
    <t>Fact#: 354972-357368 Rec#: 32894 JUMBO NARANJO LORENA DE LOURDES</t>
  </si>
  <si>
    <t>IC-5009</t>
  </si>
  <si>
    <t>Fact#: 357734 Rec#: 32893 CORAIZACA RODRIGUEZ ROBINSON UBALDO</t>
  </si>
  <si>
    <t>IC-5008</t>
  </si>
  <si>
    <t>Fact#: 4045 Rec#: 32892 GUATEMAL COLIMBA JUAN BAUTISTA</t>
  </si>
  <si>
    <t>IC-5007</t>
  </si>
  <si>
    <t>Fact#: 353490-355919 Rec#: 32891 FAUSTO LEONARDO  ORTIZ DE LA CADENA</t>
  </si>
  <si>
    <t>IC-5006</t>
  </si>
  <si>
    <t>Fact#: 352959-355315-357703 Rec#: 17387 LABORDA. JUAN CRUZ</t>
  </si>
  <si>
    <t>IC-5005</t>
  </si>
  <si>
    <t>Fact#: 357836 Rec#: 17386 JIMENEZ JIMENEZ GABRIEL BENANCIO</t>
  </si>
  <si>
    <t>IC-5004</t>
  </si>
  <si>
    <t>Fact#: 356169 Rec#: 17385 ANDREA CANAHUATI CHAIN</t>
  </si>
  <si>
    <t>IC-5003</t>
  </si>
  <si>
    <t>Fact#: 322759-325517-328267-331088-334001-336944-339943-343478 Rec#: 17384 OLIBA SELEDINA NIEVE ARROYO</t>
  </si>
  <si>
    <t>IC-5002</t>
  </si>
  <si>
    <t>Fact#: 353924-356342 Rec#: 17383 NANCY ESTHELA SANCHEZ</t>
  </si>
  <si>
    <t>IC-5001</t>
  </si>
  <si>
    <t>Fact#: 355355-357739 Rec#: 17382 TIXE SALAVARRIA FRANCISCA TERESA</t>
  </si>
  <si>
    <t>IC-5000</t>
  </si>
  <si>
    <t>Fact#: 355002-357394 Rec#: 17381 MONTEALEGRE PEDRO JOAQUIN</t>
  </si>
  <si>
    <t>IC-4999</t>
  </si>
  <si>
    <t>Fact#: 354588-356993 Rec#: 17380 TOBAR MOROCHO JOSE AUGUSTO</t>
  </si>
  <si>
    <t>IC-4998</t>
  </si>
  <si>
    <t>Fact#: 354701-357100 Rec#: 17379 CASTRO BARZOLA KEVIN JONATHAN</t>
  </si>
  <si>
    <t>IC-4997</t>
  </si>
  <si>
    <t>Fact#: 353783-356205 Rec#: 17378 GRACE JUANA CRUZ CHIPRE</t>
  </si>
  <si>
    <t>IC-4996</t>
  </si>
  <si>
    <t>Fact#: 352157-354499-356905 Rec#: 17377 GONZALEZ PENA WRLEY ARNULFO</t>
  </si>
  <si>
    <t>IC-4995</t>
  </si>
  <si>
    <t>Fact#: 354664-357066 Rec#: 17376 PITA PENAFIEL ALISON CAROLINA</t>
  </si>
  <si>
    <t>IC-4994</t>
  </si>
  <si>
    <t>Fact#: 351730-354067-356478 Rec#: 17375 CARLOS FERNANDO BERMELLO MEZA</t>
  </si>
  <si>
    <t>IC-4993</t>
  </si>
  <si>
    <t>Fact#: 354631-357037 Rec#: 32890 ANDRADE FORNELL JOSE LUIS</t>
  </si>
  <si>
    <t>IC-4956</t>
  </si>
  <si>
    <t>Fact#: 338402-341394-344918-348861-352207-354548-356955 Rec#: 32889 SAMPEDRO BASURTO MARIA JULIANA</t>
  </si>
  <si>
    <t>IC-4955</t>
  </si>
  <si>
    <t>Fact#: 294584-302302-304937 Rec#: 32882 GUZMAN CELLERI GINGER DEL ROCIO</t>
  </si>
  <si>
    <t>IC-4942</t>
  </si>
  <si>
    <t>Fact#: 357957 Rec#: 32881 OPENGROUP S.A.</t>
  </si>
  <si>
    <t>IC-4941</t>
  </si>
  <si>
    <t>PAGO TARJ. CORP. CUOTA MES DE ABR-2021</t>
  </si>
  <si>
    <t>VISA - MASTERCARD - PACIFICARD CANCELACION DEBITO TARJETAS GUAYAQUIL- PAGO DE FACT 356063- 357900  - 356099- 356333- 357977- 357978- 356528- 356338- 357138  - 357505- 357491  - 357529  - 4174 POR DEP EN CTA #DOC 1945</t>
  </si>
  <si>
    <t>NC-3</t>
  </si>
  <si>
    <t>VISA - MASTERCARD - PACIFICARD CANCELACION DEBITO TARJETAS GUAYAQUIL- PAGO DE FACT 355298- 357688 POR DEP EN CTA #DOC 1945</t>
  </si>
  <si>
    <t>AMERICAN EXPRESS CANCELACION DEBITO TARJETAS GUAYAQUIL- PAGO DE FACT 356090- 356408- 356537- 358089- 358091- 356795- 357052- 357149- 357257- 358005- 357301- 357372- 357303- 357253- 352588- 354934- 357330- 358202- 357507  - 357594-357456- 357610- 357674</t>
  </si>
  <si>
    <t>Fact#: 355808 Rec#: 32888 Corporación Nacional de Telecomunicaciones-CNT EP</t>
  </si>
  <si>
    <t>IC-4953</t>
  </si>
  <si>
    <t>Fact#: 357262 Rec#: 32887 GUALAN HIDALGO MARCO ANTONIO</t>
  </si>
  <si>
    <t>IC-4947</t>
  </si>
  <si>
    <t>Fact#: 357261 Rec#: 32886 GUALAN HIDALGO MARCO ANTONIO</t>
  </si>
  <si>
    <t>IC-4946</t>
  </si>
  <si>
    <t>Fact#: 354334 Rec#: 32885 JARAMILLO RIVERA WILLIAN ADOLFO</t>
  </si>
  <si>
    <t>IC-4945</t>
  </si>
  <si>
    <t>Fact#: 354973 Rec#: 32883 VALLEJO PROANO FABIAN IGNACIO</t>
  </si>
  <si>
    <t>IC-4943</t>
  </si>
  <si>
    <t>Fact#: 344452-347193-349668 Rec#: 32880 SORIANO SUAREZ GUILBERT SAUL</t>
  </si>
  <si>
    <t>IC-4923</t>
  </si>
  <si>
    <t>Fact#: 324131-326906-329672-332526-335449-338391-341383-344907 Rec#: 32879 AMBALY ASHOKAN</t>
  </si>
  <si>
    <t>IC-4922</t>
  </si>
  <si>
    <t>Fact#: 352098-354438-356842 Rec#: 32878 SILVA ARMAS MARIA TERESA</t>
  </si>
  <si>
    <t>IC-4921</t>
  </si>
  <si>
    <t>Fact#: 346919-349390-351588 Rec#: 32877 ROSANA LETICIA VIOLA</t>
  </si>
  <si>
    <t>IC-4920</t>
  </si>
  <si>
    <t>Fact#: 355983 Rec#: 32876 RIOS ORELLANA INGRID DE LA CRUZ</t>
  </si>
  <si>
    <t>IC-4919</t>
  </si>
  <si>
    <t>Fact#: 358062 Rec#: 32875 DELGADO VINTIMILLA CARLOS FERNANDO</t>
  </si>
  <si>
    <t>IC-4918</t>
  </si>
  <si>
    <t>Fact#: 357247 Rec#: 32874 MONTES BRIONES JEFFERSON ANTONIO</t>
  </si>
  <si>
    <t>IC-4917</t>
  </si>
  <si>
    <t>Fact#: 355913 Rec#: 32873 FERNANDO GABRIEL AVILES USCOCOVICH</t>
  </si>
  <si>
    <t>IC-4916</t>
  </si>
  <si>
    <t>Fact#: 354656-357059 Rec#: 17374 TOALA VELEZ CONSUELO ELIZABETH</t>
  </si>
  <si>
    <t>IC-4915</t>
  </si>
  <si>
    <t>Fact#: 355333-357722 Rec#: 17373 VERA GUZMAN MARIA DOLORES</t>
  </si>
  <si>
    <t>IC-4914</t>
  </si>
  <si>
    <t>Fact#: 355342-357730 Rec#: 17372 CUESTA CORTEZ ANTONIO JOSE</t>
  </si>
  <si>
    <t>IC-4913</t>
  </si>
  <si>
    <t>Fact#: 357815 Rec#: 17371 MATA MARTINEZ JUAN CARLOS</t>
  </si>
  <si>
    <t>IC-4912</t>
  </si>
  <si>
    <t>Fact#: 354700-357099 Rec#: 17370 AGILA MALDONADO MANUEL HORACIO</t>
  </si>
  <si>
    <t>IC-4911</t>
  </si>
  <si>
    <t>Fact#: 354267-356676 Rec#: 17369 DIAZ CHAMBA WALTER OVIDIO</t>
  </si>
  <si>
    <t>IC-4910</t>
  </si>
  <si>
    <t>Fact#: 353794-356216 Rec#: 17368 LUIS GALO IDROBO ACEBO</t>
  </si>
  <si>
    <t>IC-4909</t>
  </si>
  <si>
    <t>Fact#: 354419-356823 Rec#: 17367 RUIZ JORDAN TERESA DE JESUS</t>
  </si>
  <si>
    <t>IC-4908</t>
  </si>
  <si>
    <t>Fact#: 353982-356396 Rec#: 17366 ROBERTO GABRIEL QUINDE DIAZ</t>
  </si>
  <si>
    <t>IC-4907</t>
  </si>
  <si>
    <t>Fact#: 354383-356788 Rec#: 17365 GUARDINI PRIETO ADOLFO GIUSEPPE</t>
  </si>
  <si>
    <t>IC-4906</t>
  </si>
  <si>
    <t>Fact#: 355150-357544 Rec#: 17364 PRIETO VEGA MARTHA MARIA ELIZABETH</t>
  </si>
  <si>
    <t>IC-4905</t>
  </si>
  <si>
    <t>Fact#: 4110 Rec#: 17363 GUTIERREZ ALVAREZ TERESA EUGENIA</t>
  </si>
  <si>
    <t>IC-4904</t>
  </si>
  <si>
    <t>Fact#: 353882-356303 Rec#: 17362 EINER JOSE VALENCIA BUSTAMANTE</t>
  </si>
  <si>
    <t>IC-4903</t>
  </si>
  <si>
    <t>Fact#: 356011 Rec#: 17361 LOPEZ LOPEZ WASHINGTON FERMIN</t>
  </si>
  <si>
    <t>IC-4902</t>
  </si>
  <si>
    <t>Fact#: 354497-356903 Rec#: 17360 SEGOVIA TOMALA DENNIS ABEL</t>
  </si>
  <si>
    <t>IC-4901</t>
  </si>
  <si>
    <t>Fact#: 3872-4092 Rec#: 17359 JARAMILLO MONTANO JESSICA XIMENA</t>
  </si>
  <si>
    <t>IC-4900</t>
  </si>
  <si>
    <t>Fact#: 354302-356709 Rec#: 17358 COROZO CORTEZ VICTOR LELY</t>
  </si>
  <si>
    <t>IC-4899</t>
  </si>
  <si>
    <t>Fact#: 356819 Rec#: 17357 MIRABAL RODRIGUEZ CRISTINA</t>
  </si>
  <si>
    <t>IC-4898</t>
  </si>
  <si>
    <t>Fact#: 4144 Rec#: 17356 MINDA POZO EDVIN ERNESTO</t>
  </si>
  <si>
    <t>IC-4897</t>
  </si>
  <si>
    <t>Fact#: 358165 Rec#: 17355 SPORTMEDIC.S.A</t>
  </si>
  <si>
    <t>IC-4896</t>
  </si>
  <si>
    <t>Fact#: 351517-353845-356267 Rec#: 17354 ANA ESTHER ANTEPARA ACOSTA</t>
  </si>
  <si>
    <t>IC-4895</t>
  </si>
  <si>
    <t>Fact#: 357857 Rec#: 17353 ASOCIACION DE PROPIETARIOS III ETAPA LONDRES</t>
  </si>
  <si>
    <t>IC-4894</t>
  </si>
  <si>
    <t>Fact#: 343166-346194-348663 Rec#: 17352 GUACHO LEMA JORGE LUIS</t>
  </si>
  <si>
    <t>IC-4893</t>
  </si>
  <si>
    <t>Fact#: 358219 Rec#: 17351 LANDIVAR VELIZ CARLOS ALEX</t>
  </si>
  <si>
    <t>IC-4892</t>
  </si>
  <si>
    <t>Fact#: 354380-356785 Rec#: 17350 CALI PINCAY SANDRA ELIZABETH</t>
  </si>
  <si>
    <t>IC-4891</t>
  </si>
  <si>
    <t>Fact#: 338076-341067-344593 Rec#: 17349 ROJAS ULLOA AURORA DEL CARMEN</t>
  </si>
  <si>
    <t>IC-4890</t>
  </si>
  <si>
    <t>Fact#: 357080 Rec#: 17348 PIZA POZUELO FERNANDO</t>
  </si>
  <si>
    <t>IC-4889</t>
  </si>
  <si>
    <t>Fact#: 349537-351744-354082 Rec#: 17347 MINCHALA ZAMBRANO TOBIA ANDRES</t>
  </si>
  <si>
    <t>IC-4888</t>
  </si>
  <si>
    <t>Fact#: 354465-356869 Rec#: 17346 ESCANDON DIAZ FRANCISCO DAVID</t>
  </si>
  <si>
    <t>IC-4887</t>
  </si>
  <si>
    <t>Fact#: 357365 Rec#: 17345 HENRIQUEZ PAZMINO EVELIN MARGARITA</t>
  </si>
  <si>
    <t>IC-4886</t>
  </si>
  <si>
    <t>Fact#: 357891 Rec#: 32872 SOLUCIONES SEGURAS S.A</t>
  </si>
  <si>
    <t>IC-4884</t>
  </si>
  <si>
    <t>Fact#: 354334-356738 Rec#: 32884 JARAMILLO RIVERA WILLIAN ADOLFO</t>
  </si>
  <si>
    <t>IC-4944</t>
  </si>
  <si>
    <t>Fact#: 354751-357151 Rec#: 32869 TRIVINO MORLA CARLOS ERNESTO</t>
  </si>
  <si>
    <t>IC-4875</t>
  </si>
  <si>
    <t>Fact#: 358039 Rec#: 32868 SINERGIA MARIN SANCHEZ S.A. SINERMASA</t>
  </si>
  <si>
    <t>IC-4871</t>
  </si>
  <si>
    <t>Fact#: 358181-358182 Rec#: 32867 TOPFOOD CIA. LTDA.</t>
  </si>
  <si>
    <t>IC-4870</t>
  </si>
  <si>
    <t>Fact#: 3901-4121 Rec#: 32866 SANGUNA RON TANIA GRICELDA</t>
  </si>
  <si>
    <t>IC-4723</t>
  </si>
  <si>
    <t>Fact#: 354640-357044 Rec#: 32865 PESANTES GUAMAN DANIEL ARTURO</t>
  </si>
  <si>
    <t>IC-4722</t>
  </si>
  <si>
    <t>Fact#: 356040 Rec#: 32864 GRACIELA GUADALUPE MEREJILDO VERA</t>
  </si>
  <si>
    <t>IC-4721</t>
  </si>
  <si>
    <t>Fact#: 355380-357846 Rec#: 32863 ASOC. DE PROPIETARIOS URB. VIA AL SOL</t>
  </si>
  <si>
    <t>IC-4720</t>
  </si>
  <si>
    <t>Fact#: 353707-356128 Rec#: 32862 CARLOS IVAN AGUIRRE GARCIA</t>
  </si>
  <si>
    <t>IC-4719</t>
  </si>
  <si>
    <t>Fact#: 354032-356444 Rec#: 32861 JUAN CARLOS MARTINEZ FASSIO</t>
  </si>
  <si>
    <t>IC-4718</t>
  </si>
  <si>
    <t>Fact#: 356135 Rec#: 32860 MIRIAM ANTONIETA MARIDUEÑA VALENZUELA</t>
  </si>
  <si>
    <t>IC-4717</t>
  </si>
  <si>
    <t>Fact#: 358141 Rec#: 17344 REX PLASTICS S.A.</t>
  </si>
  <si>
    <t>IC-4716</t>
  </si>
  <si>
    <t>Fact#: 356569 Rec#: 17343 PINO MATAMOROS GALO EFRAIN</t>
  </si>
  <si>
    <t>IC-4715</t>
  </si>
  <si>
    <t>Fact#: 356909 Rec#: 17342 BERMELLO PONCE SALBADOR ATILIO</t>
  </si>
  <si>
    <t>IC-4714</t>
  </si>
  <si>
    <t>Fact#: 357420 Rec#: 17341 HOLGUIN VAQUE PEDRO PABLO</t>
  </si>
  <si>
    <t>IC-4713</t>
  </si>
  <si>
    <t>Fact#: 353827-356249 Rec#: 17340 ANGEL ANTONIO RAMIREZ NUÑEZ</t>
  </si>
  <si>
    <t>IC-4712</t>
  </si>
  <si>
    <t>Fact#: 356564 Rec#: 17339 AGUILAR AVILES ANDREA CAROLINA</t>
  </si>
  <si>
    <t>IC-4711</t>
  </si>
  <si>
    <t>Fact#: 355925 Rec#: 17338 MARCOS ALFREDO CHANG HI FONG</t>
  </si>
  <si>
    <t>IC-4710</t>
  </si>
  <si>
    <t>Fact#: 4116 Rec#: 17337 GUERRERO CASTRO ROSA ELVIRA</t>
  </si>
  <si>
    <t>IC-4709</t>
  </si>
  <si>
    <t>Fact#: 356134 Rec#: 17336 CINDY LORENA BAJAÑA BELTRAN</t>
  </si>
  <si>
    <t>IC-4708</t>
  </si>
  <si>
    <t>Fact#: 357404 Rec#: 17335 CABEZAS QUINONEZ LEONELA KATHERINE</t>
  </si>
  <si>
    <t>IC-4707</t>
  </si>
  <si>
    <t>Fact#: 354268-356677 Rec#: 17334 ZAMBRANO MOREIRA LUIS ALFREDO</t>
  </si>
  <si>
    <t>IC-4706</t>
  </si>
  <si>
    <t>Fact#: 355751-358213 Rec#: 17333 MERA NEVAREZ FREDEVINDA ALEXANDRA</t>
  </si>
  <si>
    <t>IC-4705</t>
  </si>
  <si>
    <t>Fact#: 354094-356504 Rec#: 17332 ARELLANO SAMANIEGO NAY ALEXANDRA</t>
  </si>
  <si>
    <t>IC-4704</t>
  </si>
  <si>
    <t>Fact#: 355760-358222 Rec#: 17331 ASISTENCA TECNICA INDUSTRIAL ATEIND S.A.</t>
  </si>
  <si>
    <t>IC-4703</t>
  </si>
  <si>
    <t>Fact#: 355991 Rec#: 17330 NELIS MARIA PINARGOTE YEPEZ</t>
  </si>
  <si>
    <t>IC-4702</t>
  </si>
  <si>
    <t>Fact#: 356452 Rec#: 17329 OSCAR LEONEL MONTERO HINOJOSA</t>
  </si>
  <si>
    <t>IC-4701</t>
  </si>
  <si>
    <t>Fact#: 351701-354035-356447 Rec#: 17328 KARINA PATRICIA GIRALDO MONTERO</t>
  </si>
  <si>
    <t>IC-4700</t>
  </si>
  <si>
    <t>Fact#: 355540-358004 Rec#: 17327 JOMALUNKA S.A</t>
  </si>
  <si>
    <t>IC-4699</t>
  </si>
  <si>
    <t>Fact#: 356845 Rec#: 17326 GUERRERO CRESPIN JULIO ENRIQUE</t>
  </si>
  <si>
    <t>IC-4698</t>
  </si>
  <si>
    <t>Fact#: 353195-355617-358081 Rec#: 17325 CONSULENZA CORPORATE CONSULENCORP CIA LTDA</t>
  </si>
  <si>
    <t>IC-4697</t>
  </si>
  <si>
    <t>Fact#: 354691-357091 Rec#: 17324 SOLANO DE LA TORRE EFRAIN ALFREDO</t>
  </si>
  <si>
    <t>IC-4696</t>
  </si>
  <si>
    <t>Fact#: 356080 Rec#: 17323 JENNY NATALIA MARTINEZ BAQUE</t>
  </si>
  <si>
    <t>IC-4695</t>
  </si>
  <si>
    <t>Fact#: 354731-357130 Rec#: 17322 ALZAMORA RAMIREZ PEDRO FAUSTO</t>
  </si>
  <si>
    <t>IC-4694</t>
  </si>
  <si>
    <t>Fact#: 3831-4049 Rec#: 17321 GARCIA RAMOS JOSE RIGOBERTO</t>
  </si>
  <si>
    <t>IC-4693</t>
  </si>
  <si>
    <t>Fact#: 3830-4048 Rec#: 17320 GARCIA RAMOS JOSE RIGOBERTO</t>
  </si>
  <si>
    <t>IC-4692</t>
  </si>
  <si>
    <t>Fact#: 3981-4202 Rec#: 17319 RODRIGUEZ GUEVARA MARIA AUGUSTA</t>
  </si>
  <si>
    <t>IC-4691</t>
  </si>
  <si>
    <t>Fact#: 354800-357199 Rec#: 17318 VARGAS PARRALES CARLOS JORGE</t>
  </si>
  <si>
    <t>IC-4690</t>
  </si>
  <si>
    <t>Fact#: 354754-357154 Rec#: 17317 MACIAS PENAFIEL KATTY MARIBEL</t>
  </si>
  <si>
    <t>IC-4689</t>
  </si>
  <si>
    <t>Fact#: 339281-355139-357533 Rec#: 17316 GONZALEZ HUACON ANABELL DOLORES</t>
  </si>
  <si>
    <t>IC-4688</t>
  </si>
  <si>
    <t>Fact#: 353501-355930 Rec#: 17315 BETTY EUVENIA ACOSTA CAJAPE</t>
  </si>
  <si>
    <t>IC-4687</t>
  </si>
  <si>
    <t>Fact#: 337599-340590-344115-351646-353977-356391 Rec#: 17314 JOSE EDUARDO GUILLEN VELEZ</t>
  </si>
  <si>
    <t>IC-4686</t>
  </si>
  <si>
    <t>Fact#: 357374 Rec#: 17313 CABRERA SOLORZANO NELSON CATITO</t>
  </si>
  <si>
    <t>IC-4685</t>
  </si>
  <si>
    <t>Fact#: 355811 Rec#: 32859 OTECEL</t>
  </si>
  <si>
    <t>IC-4654</t>
  </si>
  <si>
    <t>Fact#: 350359 Rec#: 32857 VALLEJO PROANO FABIAN IGNACIO</t>
  </si>
  <si>
    <t>IC-4652</t>
  </si>
  <si>
    <t>Fact#: 357949 Rec#: 32856 STEVEN MICHAEL RAMOS MEZA</t>
  </si>
  <si>
    <t>IC-4644</t>
  </si>
  <si>
    <t>Fact#: 356715 Rec#: 32870 LOGROÑO REYES VICENTE JAVIER</t>
  </si>
  <si>
    <t>IC-4876</t>
  </si>
  <si>
    <t>Fact#: 353382 Rec#: 32858 CONSORCIO ECUATORIANO DE TELECOMUNICACIONES S.A. CONECEL</t>
  </si>
  <si>
    <t>IC-4653</t>
  </si>
  <si>
    <t>Fact#: 358134 Rec#: 32855 MARRIOTT S.A</t>
  </si>
  <si>
    <t>IC-4643</t>
  </si>
  <si>
    <t>Fact#: 357951 Rec#: 32852 DUPROCSA S.A.</t>
  </si>
  <si>
    <t>IC-4642</t>
  </si>
  <si>
    <t>Fact#: 357942 Rec#: 32851 BELLUSCIO S.A.</t>
  </si>
  <si>
    <t>IC-4641</t>
  </si>
  <si>
    <t>Fact#: 358045 Rec#: 32850 INDUVERIKA S.A.</t>
  </si>
  <si>
    <t>IC-4640</t>
  </si>
  <si>
    <t>Fact#: 357860 Rec#: 32849 AUTOMEKANO CIA. LTDA</t>
  </si>
  <si>
    <t>IC-4639</t>
  </si>
  <si>
    <t>Fact#: 357855 Rec#: 32848 ASOC. DE PROPIETARIOS URB. TERRASOL</t>
  </si>
  <si>
    <t>IC-4638</t>
  </si>
  <si>
    <t>Fact#: 358063 Rec#: 32847 RITOMI S.A.</t>
  </si>
  <si>
    <t>IC-4637</t>
  </si>
  <si>
    <t>Fact#: 358011 Rec#: 32846 RITOMI S.A.</t>
  </si>
  <si>
    <t>IC-4636</t>
  </si>
  <si>
    <t>Fact#: 357852 Rec#: 32845 EFFICACITAS CONSULTORA CIA.LTDA.</t>
  </si>
  <si>
    <t>IC-4635</t>
  </si>
  <si>
    <t>Fact#: 357851 Rec#: 32844 EFFICACITAS CONSULTORA CIA.LTDA.</t>
  </si>
  <si>
    <t>IC-4634</t>
  </si>
  <si>
    <t>Fact#: 357850 Rec#: 32843 EFFICACITAS CONSULTORA CIA.LTDA.</t>
  </si>
  <si>
    <t>IC-4633</t>
  </si>
  <si>
    <t>Fact#: 355837 Rec#: 32842 JAIRO ALBERTO GOMEZ COELLO</t>
  </si>
  <si>
    <t>IC-4632</t>
  </si>
  <si>
    <t>Fact#: 356252 Rec#: 32841 CARLOS BENJAMIN ROSALES PINO</t>
  </si>
  <si>
    <t>IC-4631</t>
  </si>
  <si>
    <t>Fact#: 356351 Rec#: 32840 CARLOS ADALBERTO SALAVARRIA PALMA</t>
  </si>
  <si>
    <t>IC-4630</t>
  </si>
  <si>
    <t>Fact#: 355890 Rec#: 32839 LUIS CESAR GAMARRA GONZALES</t>
  </si>
  <si>
    <t>IC-4629</t>
  </si>
  <si>
    <t>Fact#: 355973 Rec#: 32838 ANA LUCRECIA  CABRERA GARCIA</t>
  </si>
  <si>
    <t>IC-4628</t>
  </si>
  <si>
    <t>Fact#: 357055 Rec#: 32837 SUSANA HERMELINDA ANALUISA HARO</t>
  </si>
  <si>
    <t>IC-4627</t>
  </si>
  <si>
    <t>Fact#: 357006 Rec#: 32836 VINUEZA GARCIA EDISON EDUARDO</t>
  </si>
  <si>
    <t>IC-4626</t>
  </si>
  <si>
    <t>Fact#: 356946 Rec#: 32835 PERALTA BENITEZ ROBERTO ELIAS</t>
  </si>
  <si>
    <t>IC-4625</t>
  </si>
  <si>
    <t>Fact#: 355931 Rec#: 32834 FAUSTO EDUARDO  CARBO RIVERA</t>
  </si>
  <si>
    <t>IC-4624</t>
  </si>
  <si>
    <t>Fact#: 356054 Rec#: 32833 GISELLA MARIA YUNES ANDRADE</t>
  </si>
  <si>
    <t>IC-4623</t>
  </si>
  <si>
    <t>Fact#: 355877 Rec#: 32832 MONICA CRIOLLO SALAZAR</t>
  </si>
  <si>
    <t>IC-4622</t>
  </si>
  <si>
    <t>Fact#: 355984 Rec#: 32831 UVIDIA SALTOS  CARLOS BOLIVAR</t>
  </si>
  <si>
    <t>IC-4621</t>
  </si>
  <si>
    <t>Fact#: 356141 Rec#: 32830 GUILLERMO ELOY SERRANO GOMEZ</t>
  </si>
  <si>
    <t>IC-4620</t>
  </si>
  <si>
    <t>Fact#: 355883 Rec#: 32829 JOSE JOAQUIN OLMEDO CASTELLO</t>
  </si>
  <si>
    <t>IC-4619</t>
  </si>
  <si>
    <t>Fact#: 356127 Rec#: 32828 JUAN XAVIER BENEDETI RIPALDA</t>
  </si>
  <si>
    <t>IC-4618</t>
  </si>
  <si>
    <t>Fact#: 355911 Rec#: 32827 PAULA JESUS SALAZAR MACIAS</t>
  </si>
  <si>
    <t>IC-4617</t>
  </si>
  <si>
    <t>Fact#: 356762 Rec#: 32826 ESPANA BAJANA STEFANIA ELIZABETH</t>
  </si>
  <si>
    <t>IC-4616</t>
  </si>
  <si>
    <t>Fact#: 355847 Rec#: 32825 ISABEL ROSARIO QUINDE SORIANO</t>
  </si>
  <si>
    <t>IC-4615</t>
  </si>
  <si>
    <t>Fact#: 356592 Rec#: 32824 GILBERT SILVA CECILIA MARIA</t>
  </si>
  <si>
    <t>IC-4613</t>
  </si>
  <si>
    <t>Fact#: 357430 Rec#: 32823 NIEVES RODRIGUEZ JORGE ELIECER</t>
  </si>
  <si>
    <t>IC-4612</t>
  </si>
  <si>
    <t>Fact#: 352068-354407-356811 Rec#: 32854 CASTILLO PALMA DANIEL ALFREDO</t>
  </si>
  <si>
    <t>IC-4611</t>
  </si>
  <si>
    <t>Fact#: 356065 Rec#: 32822 LUIS EDUARDO SANCHEZ TIMM</t>
  </si>
  <si>
    <t>IC-4610</t>
  </si>
  <si>
    <t>Fact#: 356073 Rec#: 32821 LUIS CARLOS ABAD YCAZA</t>
  </si>
  <si>
    <t>IC-4609</t>
  </si>
  <si>
    <t>Fact#: 355835 Rec#: 32820 GISELLE MARIELA CLEMENTE VERA</t>
  </si>
  <si>
    <t>IC-4608</t>
  </si>
  <si>
    <t>Fact#: 357339 Rec#: 32819 JOSE FRANCISCO  FERNANDEZ   ESPINOZA</t>
  </si>
  <si>
    <t>IC-4607</t>
  </si>
  <si>
    <t>Fact#: 354241-356649 Rec#: 32853 MACIAS PERUGACHI OSCAR ROLANDO</t>
  </si>
  <si>
    <t>IC-4606</t>
  </si>
  <si>
    <t>Fact#: 356399 Rec#: 32818 RICARDO PABLO FALCONI DUEÑAS</t>
  </si>
  <si>
    <t>IC-4605</t>
  </si>
  <si>
    <t>Fact#: 357187 Rec#: 32817 ZULVY BEDON LAGOS</t>
  </si>
  <si>
    <t>IC-4604</t>
  </si>
  <si>
    <t>Fact#: 356958 Rec#: 32816 CANDO REYES JOSE MAURICIO</t>
  </si>
  <si>
    <t>IC-4603</t>
  </si>
  <si>
    <t>Fact#: 355982 Rec#: 32815 CARLOS ALBERTO RENDON PALMA</t>
  </si>
  <si>
    <t>IC-4602</t>
  </si>
  <si>
    <t>Fact#: 355816 Rec#: 32814 EVA MARIA VINUEZA OCAÑA</t>
  </si>
  <si>
    <t>IC-4601</t>
  </si>
  <si>
    <t>Fact#: 356000 Rec#: 32813 TERESA DE LA CRUZ TOSCANO BRITO</t>
  </si>
  <si>
    <t>IC-4600</t>
  </si>
  <si>
    <t>Fact#: 355878 Rec#: 32812 JENNY CEDEÑO CAAMAÑO</t>
  </si>
  <si>
    <t>IC-4599</t>
  </si>
  <si>
    <t>Fact#: 356196 Rec#: 32811 ANTONIO IGNACIO ARTEAGA FERAUD</t>
  </si>
  <si>
    <t>IC-4598</t>
  </si>
  <si>
    <t>Fact#: 355824 Rec#: 32810 ROBERTO MUZZIO NARANJO</t>
  </si>
  <si>
    <t>IC-4597</t>
  </si>
  <si>
    <t>Fact#: 355985 Rec#: 32809 MANRIQUEZ SALAZAR MARIA PAZ</t>
  </si>
  <si>
    <t>IC-4596</t>
  </si>
  <si>
    <t>Fact#: 355933 Rec#: 32808 FRANKLIN JOAQUIN  DOMINGUEZ VARGAS</t>
  </si>
  <si>
    <t>IC-4595</t>
  </si>
  <si>
    <t>Fact#: 354108-356518 Rec#: 17312 ESTUPIÑAN BAJAÑA JORDAN EDWARD</t>
  </si>
  <si>
    <t>IC-4591</t>
  </si>
  <si>
    <t>Fact#: 356856 Rec#: 17311 MINA MONTANO JUVER RUBEN</t>
  </si>
  <si>
    <t>IC-4590</t>
  </si>
  <si>
    <t>Fact#: 356586 Rec#: 17310 SALTOS RODRIGUEZ ANDREA EDITH</t>
  </si>
  <si>
    <t>IC-4589</t>
  </si>
  <si>
    <t>Fact#: 358036 Rec#: 17309 SALTOS RODRIGUEZ ANDREA EDITH</t>
  </si>
  <si>
    <t>IC-4588</t>
  </si>
  <si>
    <t>Fact#: 3800-4009-4227 Rec#: 32807 HERRERA CIFUENTES ESTUARDO WLADIMIR</t>
  </si>
  <si>
    <t>IC-4584</t>
  </si>
  <si>
    <t>Fact#: 353296-355729-358191 Rec#: 32804 ROYAL TOUR S.A.</t>
  </si>
  <si>
    <t>IC-4558</t>
  </si>
  <si>
    <t>Fact#: 356540 Rec#: 17308 SUAREZ MAGALLANES JULIO ALFONSO</t>
  </si>
  <si>
    <t>IC-4557</t>
  </si>
  <si>
    <t>Fact#: 357064 Rec#: 17307 SARMIENTO VIVEROS ALEXANDRA ELIZABETH</t>
  </si>
  <si>
    <t>IC-4556</t>
  </si>
  <si>
    <t>Fact#: 353905-356324 Rec#: 17306 DAYANNA ANABELL BAQUERIZO AQUINO</t>
  </si>
  <si>
    <t>IC-4555</t>
  </si>
  <si>
    <t>Fact#: 353849-356270 Rec#: 17305 LUIS FERNANDO RODRIGUEZ TAPIA</t>
  </si>
  <si>
    <t>IC-4554</t>
  </si>
  <si>
    <t>Fact#: 352703-355052-357445 Rec#: 17304 VALVERDE MACAY CARLOS ARTURO</t>
  </si>
  <si>
    <t>IC-4553</t>
  </si>
  <si>
    <t>Fact#: 354544-356951 Rec#: 17303 VALENCIA MEDINA JOSE RICARDO</t>
  </si>
  <si>
    <t>IC-4552</t>
  </si>
  <si>
    <t>Fact#: 354710-357109 Rec#: 17302 BORBOR MORENO LUIS ANTONIO</t>
  </si>
  <si>
    <t>IC-4551</t>
  </si>
  <si>
    <t>Fact#: 358260 Rec#: 17301 LABORATORIOS TECNO - ALEMANES S.A. LATECNA</t>
  </si>
  <si>
    <t>IC-4550</t>
  </si>
  <si>
    <t>Fact#: 356268 Rec#: 17300 MICHAEL MAURICIO MORLA MERO</t>
  </si>
  <si>
    <t>IC-4549</t>
  </si>
  <si>
    <t>Fact#: 4102 Rec#: 17299 SALINAS GONZALEZ JAIME PATRICIO</t>
  </si>
  <si>
    <t>IC-4548</t>
  </si>
  <si>
    <t>Fact#: 355839 Rec#: 17298 LIDIA JUDITH OJEDA RUIZ</t>
  </si>
  <si>
    <t>IC-4547</t>
  </si>
  <si>
    <t>Fact#: 356193 Rec#: 17297 ULISES MARTIN VARGAS FIGUEROA</t>
  </si>
  <si>
    <t>IC-4546</t>
  </si>
  <si>
    <t>Fact#: 356584 Rec#: 17296 MERCHAN  PEREZ FABIAN BERNARDINO</t>
  </si>
  <si>
    <t>IC-4545</t>
  </si>
  <si>
    <t>Fact#: 357305 Rec#: 17295 SANCHEZ PEREZ FRANCISCO ROBERTO</t>
  </si>
  <si>
    <t>IC-4544</t>
  </si>
  <si>
    <t>Fact#: 3761-3957 Rec#: 17294 PEÑARANDA VILLALTA JORGE ABRAHAN</t>
  </si>
  <si>
    <t>IC-4543</t>
  </si>
  <si>
    <t>Fact#: 356187 Rec#: 17293 JESSICA LORENA TRIANA VELIS</t>
  </si>
  <si>
    <t>IC-4542</t>
  </si>
  <si>
    <t>Fact#: 352690-355036-357429 Rec#: 17292 CARDONA RUIZ JOSE ALEXANDER</t>
  </si>
  <si>
    <t>IC-4541</t>
  </si>
  <si>
    <t>Fact#: 357025 Rec#: 17291 CABRERA JIMENES FAUSTO IBAN</t>
  </si>
  <si>
    <t>IC-4540</t>
  </si>
  <si>
    <t>Fact#: 357277 Rec#: 17290 FRANCO BARRAGAN MARLON JULIO</t>
  </si>
  <si>
    <t>IC-4539</t>
  </si>
  <si>
    <t>Fact#: 353917-356335 Rec#: 17289 AMADA ORQUIDEA CAICEDO TREJO</t>
  </si>
  <si>
    <t>IC-4538</t>
  </si>
  <si>
    <t>Fact#: 356597 Rec#: 17288 SANCHEZ CARRIEL NARCISA DE JESUS</t>
  </si>
  <si>
    <t>IC-4537</t>
  </si>
  <si>
    <t>Fact#: 356807 Rec#: 17287 AGUIRRE HURTADO KATHERINE ELIZABETH</t>
  </si>
  <si>
    <t>IC-4536</t>
  </si>
  <si>
    <t>Fact#: 356752 Rec#: 17286 ROMAN ALVARADO LILIAN ISIDORA</t>
  </si>
  <si>
    <t>IC-4535</t>
  </si>
  <si>
    <t>Fact#: 357966 Rec#: 17285 LABORATORIOS RENALABSA S A</t>
  </si>
  <si>
    <t>IC-4534</t>
  </si>
  <si>
    <t>Fact#: 353745-356167 Rec#: 17284 UBALDO HELIODORO MOTOCHE MEDINA</t>
  </si>
  <si>
    <t>IC-4533</t>
  </si>
  <si>
    <t>Fact#: 353186-355608-358072 Rec#: 17283 LOOR VIEJO ESTEFANIA EILLIN</t>
  </si>
  <si>
    <t>IC-4532</t>
  </si>
  <si>
    <t>Ingreso por deposito realizado erroneamente por el cliente CARVAJAL PILCO CARLOS LUIS, bco pacifico por dep en cta doc # TBBA-02-0007-FC_USER</t>
  </si>
  <si>
    <t>DR-1255</t>
  </si>
  <si>
    <t>Fact#: 356983 Rec#: 17282 ORTEGA ARGUELLO GISELLA LORENA</t>
  </si>
  <si>
    <t>IC-4531</t>
  </si>
  <si>
    <t>Fact#: 354466-356870 Rec#: 17281 BRITO ANDRADE MILTON KLEBER</t>
  </si>
  <si>
    <t>IC-4530</t>
  </si>
  <si>
    <t>Fact#: 356208 Rec#: 17280 LENIN ANTONIO SARABIA ORELLANA</t>
  </si>
  <si>
    <t>IC-4529</t>
  </si>
  <si>
    <t>Fact#: 356240 Rec#: 17279 JAVIER ENRIQUE ARTEAGA MENENDEZ</t>
  </si>
  <si>
    <t>IC-4528</t>
  </si>
  <si>
    <t>Fact#: 354338-356742 Rec#: 17278 ORTIZ ACOSTA HERNAN GONZALO</t>
  </si>
  <si>
    <t>IC-4527</t>
  </si>
  <si>
    <t>Fact#: 350366-352637-354982 Rec#: 17277 MOSCOSO MEJIA GUSTAVO ANTONIO</t>
  </si>
  <si>
    <t>IC-4526</t>
  </si>
  <si>
    <t>Fact#: 356796 Rec#: 17276 ORTEGA CONFORME  JANET AURORA</t>
  </si>
  <si>
    <t>IC-4525</t>
  </si>
  <si>
    <t>Fact#: 3822-4040 Rec#: 17275 CACUANGO LINCANGO EDISON FABIAN</t>
  </si>
  <si>
    <t>IC-4524</t>
  </si>
  <si>
    <t>Fact#: 356660 Rec#: 17274 CASTRO DORADO MARJORIE LUCIA</t>
  </si>
  <si>
    <t>IC-4523</t>
  </si>
  <si>
    <t>Fact#: 353577-356005 Rec#: 17273 ALVARADO PIGUAVE CAROLIN JANET</t>
  </si>
  <si>
    <t>IC-4522</t>
  </si>
  <si>
    <t>Fact#: 354378-356783 Rec#: 17272 CHIRIBOGA GONZALEZ DIGNA MERCEDES</t>
  </si>
  <si>
    <t>IC-4517</t>
  </si>
  <si>
    <t>Fact#: 358049 Rec#: 17271 LAGOS LAKE ALEJANDRO ANDRE</t>
  </si>
  <si>
    <t>IC-4516</t>
  </si>
  <si>
    <t>Fact#: 358266 Rec#: 17270 LAGOS LAKE ALEJANDRO ANDRE</t>
  </si>
  <si>
    <t>IC-4515</t>
  </si>
  <si>
    <t>Fact#: 353468-355897 Rec#: 17269 ELSIE RUTH  ZERDA BARRENO</t>
  </si>
  <si>
    <t>IC-4514</t>
  </si>
  <si>
    <t>Fact#: 358117 Rec#: 17268 LAGOS LAKE ALEJANDRO ANDRE</t>
  </si>
  <si>
    <t>IC-4513</t>
  </si>
  <si>
    <t>Fact#: 357119 Rec#: 17267 LUCAS VALAREZO CRISTINA EVELIN</t>
  </si>
  <si>
    <t>IC-4512</t>
  </si>
  <si>
    <t>Fact#: 358208 Rec#: 17266 LAGOS LAKE ALEJANDRO ANDRE</t>
  </si>
  <si>
    <t>IC-4511</t>
  </si>
  <si>
    <t>Fact#: 271281-273285-275382-317843-320584-323334-326099-328853-331687-334600 Rec#: 17265 JOSELYNE VIVIANA MORA ARRIAGA</t>
  </si>
  <si>
    <t>IC-4510</t>
  </si>
  <si>
    <t>Fact#: 352174-354517-356923 Rec#: 17264 MOLINA PALMA WALTER DANIEL</t>
  </si>
  <si>
    <t>IC-4509</t>
  </si>
  <si>
    <t>Fact#: 355686-358147 Rec#: 17263 SOLIS REYES OMAR MICHAEL</t>
  </si>
  <si>
    <t>IC-4508</t>
  </si>
  <si>
    <t>Fact#: 356234 Rec#: 17262 LORENA LISSET NUÑEZ RODRIGUEZ</t>
  </si>
  <si>
    <t>IC-4507</t>
  </si>
  <si>
    <t>Fact#: 357809 Rec#: 17261 MEZA ANDRADE PAUL EDUARDO</t>
  </si>
  <si>
    <t>IC-4506</t>
  </si>
  <si>
    <t>Fact#: 352146-354488-356893 Rec#: 17260 AVILA ORTIZ GEOVANNY FABRICIO</t>
  </si>
  <si>
    <t>IC-4505</t>
  </si>
  <si>
    <t>Fact#: 354086-356496 Rec#: 17259 GONZALEZ MELLA CRISTIAN ALEJANDRO</t>
  </si>
  <si>
    <t>IC-4504</t>
  </si>
  <si>
    <t>Fact#: 355825 Rec#: 32805 KATHERINE MALENA CHILUIZA GARCIA</t>
  </si>
  <si>
    <t>IC-4559</t>
  </si>
  <si>
    <t>Fact#: 347214-349687-351907 Rec#: 17258 FIGUEROA RUIZ NAIDDA ELIZABETH</t>
  </si>
  <si>
    <t>IC-4503</t>
  </si>
  <si>
    <t>Fact#: 246952-247881-248831 Rec#: 17257 MARCOS ABRAHAM LOOR HOLMES</t>
  </si>
  <si>
    <t>IC-4498</t>
  </si>
  <si>
    <t>Fact#: 356542 Rec#: 17256 MORALES CASTRO SAMUEL</t>
  </si>
  <si>
    <t>IC-4497</t>
  </si>
  <si>
    <t>Fact#: 3883-4103 Rec#: 17255 CHAVEZ ZAMBRANO BRYAN SEBASTIAN</t>
  </si>
  <si>
    <t>IC-4496</t>
  </si>
  <si>
    <t>Fact#: 357406 Rec#: 17254 TRUJILL0 ELJURI ROBERTO FARID</t>
  </si>
  <si>
    <t>IC-4495</t>
  </si>
  <si>
    <t>Fact#: 354765-357165 Rec#: 17253 RODRIGUEZ REYES JINSOP ORLIN</t>
  </si>
  <si>
    <t>IC-4494</t>
  </si>
  <si>
    <t>Fact#: 357057 Rec#: 17252 GAMEZ CUELLAR PEDRO NASARIO</t>
  </si>
  <si>
    <t>IC-4493</t>
  </si>
  <si>
    <t>Fact#: 355787 Rec#: 17251 MENDOZA VELEZ CARLOS DAMIAN</t>
  </si>
  <si>
    <t>IC-4492</t>
  </si>
  <si>
    <t>Fact#: 356963 Rec#: 17250 BORJA MESIAS SEGUNDO ALFREDO</t>
  </si>
  <si>
    <t>IC-4491</t>
  </si>
  <si>
    <t>Fact#: 356975 Rec#: 17249 BORBOR VILLON ALEX ALEJANDRO</t>
  </si>
  <si>
    <t>IC-4490</t>
  </si>
  <si>
    <t>Fact#: 353727-356149 Rec#: 17248 ADRIANA ALEXANDRA CHIQUITO MOLINA</t>
  </si>
  <si>
    <t>IC-4489</t>
  </si>
  <si>
    <t>Fact#: 355809 Rec#: 32806 Corporación Nacional de Telecomunicaciones-CNT EP</t>
  </si>
  <si>
    <t>IC-4573</t>
  </si>
  <si>
    <t>Fact#: 356801 Rec#: 32803 CEDENO MUNOZ EDGAR ENRIQUE</t>
  </si>
  <si>
    <t>IC-4488</t>
  </si>
  <si>
    <t>Fact#: 348705-350934 Rec#: 32802 SOLUCIONES WANDARINA S.A</t>
  </si>
  <si>
    <t>IC-4476</t>
  </si>
  <si>
    <t>Fact#: 357009 Rec#: 32801 HERNANDEZ GOMEZ EDDY MAXIMO</t>
  </si>
  <si>
    <t>IC-4475</t>
  </si>
  <si>
    <t>Fact#: 354003-356417 Rec#: 32800 LUIS ENRIQUE APOLINARIO ROJAS</t>
  </si>
  <si>
    <t>IC-4474</t>
  </si>
  <si>
    <t>Fact#: 357417 Rec#: 32799 PRADO FRANCO ANDREA JACQUELINE</t>
  </si>
  <si>
    <t>IC-4473</t>
  </si>
  <si>
    <t>Fact#: 356702 Rec#: 32798 DUENAS RUIZ TERESA EDITH</t>
  </si>
  <si>
    <t>IC-4472</t>
  </si>
  <si>
    <t>Fact#: 356847 Rec#: 32797 VALERO CEPEDA IVONNE MARIA</t>
  </si>
  <si>
    <t>IC-4471</t>
  </si>
  <si>
    <t>Fact#: 353659-356083 Rec#: 32796 CAROLINA AMALIA IDROVO PIEDRAHITA</t>
  </si>
  <si>
    <t>IC-4470</t>
  </si>
  <si>
    <t>Fact#: 356206 Rec#: 17247 CARLOS ENRIQUE TAPIA TAPIA</t>
  </si>
  <si>
    <t>IC-4462</t>
  </si>
  <si>
    <t>Fact#: 354961-357357 Rec#: 17246 ARGUELLO CORTEZ OSCAR NICOLAS</t>
  </si>
  <si>
    <t>IC-4461</t>
  </si>
  <si>
    <t>Fact#: 356176 Rec#: 17245 ANGELA LEONOR SAAVEDRA QUINTO</t>
  </si>
  <si>
    <t>IC-4460</t>
  </si>
  <si>
    <t>Fact#: 355504 Rec#: 17244 FORMICONSTRUC S.A.</t>
  </si>
  <si>
    <t>IC-4459</t>
  </si>
  <si>
    <t>Fact#: 356735 Rec#: 17243 PILAY QUINDE ALEXI ANDRES</t>
  </si>
  <si>
    <t>IC-4458</t>
  </si>
  <si>
    <t>Fact#: 356492 Rec#: 17242 VASQUEZ GOMEZ FREDDY DOLORES</t>
  </si>
  <si>
    <t>IC-4457</t>
  </si>
  <si>
    <t>Fact#: 356902 Rec#: 17241 FERNANDEZ PACHECO DIANA ISABEL</t>
  </si>
  <si>
    <t>IC-4456</t>
  </si>
  <si>
    <t>Fact#: 352211-354552-356959 Rec#: 17240 CEDENO MARCILLO IRMA JANETH</t>
  </si>
  <si>
    <t>IC-4455</t>
  </si>
  <si>
    <t>Fact#: 354856-357256 Rec#: 17239 CHOEZ BRAVO JOSE ANTONIO</t>
  </si>
  <si>
    <t>IC-4454</t>
  </si>
  <si>
    <t>Fact#: 351727-354063-356474 Rec#: 17238 DIEGO EMILIO CAÑARTE EISER</t>
  </si>
  <si>
    <t>IC-4453</t>
  </si>
  <si>
    <t>Fact#: 325084-327851-330655-333544-336492-339489-343037-346064 Rec#: 17237 CAPACITACIONES Y EVENTOS ARTE&amp;CAFE ZAMPRO S A</t>
  </si>
  <si>
    <t>IC-4452</t>
  </si>
  <si>
    <t>Fact#: 352611-354957-357352 Rec#: 17236 JOSE ANTONIO  DIAZ ACOSTA</t>
  </si>
  <si>
    <t>IC-4451</t>
  </si>
  <si>
    <t>Fact#: 357644 Rec#: 17235 MENDOZA VELEZ CARLOS DAMIAN</t>
  </si>
  <si>
    <t>IC-4450</t>
  </si>
  <si>
    <t>Fact#: 355887 Rec#: 17234 MICHELLE LAI YIM LOPEZ CORDOVA</t>
  </si>
  <si>
    <t>IC-4449</t>
  </si>
  <si>
    <t>Fact#: 347324-349803-352022 Rec#: 17233 ROMERO LOPEZ ANDRES ROBERTO</t>
  </si>
  <si>
    <t>IC-4448</t>
  </si>
  <si>
    <t>Fact#: 351766-354104-356514 Rec#: 17232 MOROCHO CRUZ ELIZABETH MERCEDEZ</t>
  </si>
  <si>
    <t>IC-4447</t>
  </si>
  <si>
    <t>Fact#: 355029-357422 Rec#: 17231 PRECIADO SALVATIERRA PATRICIA PAOLA</t>
  </si>
  <si>
    <t>IC-4446</t>
  </si>
  <si>
    <t>Fact#: 355059-357451 Rec#: 17230 LOOR ROMERO HILDA MERCEDES</t>
  </si>
  <si>
    <t>IC-4445</t>
  </si>
  <si>
    <t>N/D POR COMISIONES DE WESTERN UNION POR RECAUDACION DEL 26/03/2021 AL 31/03/2021</t>
  </si>
  <si>
    <t>DR-929</t>
  </si>
  <si>
    <t>Abr/2021</t>
  </si>
  <si>
    <t>11:40:14</t>
  </si>
  <si>
    <t>0918264862</t>
  </si>
  <si>
    <t>3909224</t>
  </si>
  <si>
    <t>0919747543</t>
  </si>
  <si>
    <t>3909364</t>
  </si>
  <si>
    <t>13:32:25</t>
  </si>
  <si>
    <t>14:23:09</t>
  </si>
  <si>
    <t>0925445652</t>
  </si>
  <si>
    <t>3900381</t>
  </si>
  <si>
    <t>0958495467</t>
  </si>
  <si>
    <t>3908972</t>
  </si>
  <si>
    <t>0704266055001</t>
  </si>
  <si>
    <t>3903423</t>
  </si>
  <si>
    <t>0913777900</t>
  </si>
  <si>
    <t>3907515</t>
  </si>
  <si>
    <t>0915591762</t>
  </si>
  <si>
    <t>3906747</t>
  </si>
  <si>
    <t>13:36:34</t>
  </si>
  <si>
    <t>REC-543-U5H7-584250</t>
  </si>
  <si>
    <t>08:52:00</t>
  </si>
  <si>
    <t>20210428</t>
  </si>
  <si>
    <t>0909720302</t>
  </si>
  <si>
    <t>3909352</t>
  </si>
  <si>
    <t>REC-3095-T359-447770</t>
  </si>
  <si>
    <t>09:00:49</t>
  </si>
  <si>
    <t>REC-4966-A3Z7-672595</t>
  </si>
  <si>
    <t>09:30:37</t>
  </si>
  <si>
    <t>REC-4963-A3A0-672917</t>
  </si>
  <si>
    <t>09:36:25</t>
  </si>
  <si>
    <t>0992335610001</t>
  </si>
  <si>
    <t>3906725</t>
  </si>
  <si>
    <t>REC-611-J4ZN-521915</t>
  </si>
  <si>
    <t>09:59:43</t>
  </si>
  <si>
    <t>REC-061-SPOX-307603</t>
  </si>
  <si>
    <t>10:09:33</t>
  </si>
  <si>
    <t>REC-551-VOIB-565334</t>
  </si>
  <si>
    <t>10:46:19</t>
  </si>
  <si>
    <t>REC-5635-A2YS-45269</t>
  </si>
  <si>
    <t>REC-3371-EGEG-276403</t>
  </si>
  <si>
    <t>12:39:46</t>
  </si>
  <si>
    <t>REC-096-LIO1-565376</t>
  </si>
  <si>
    <t>12:54:16</t>
  </si>
  <si>
    <t>0906103577</t>
  </si>
  <si>
    <t>3909466</t>
  </si>
  <si>
    <t>REC-072-GPG1-230237</t>
  </si>
  <si>
    <t>13:15:41</t>
  </si>
  <si>
    <t>REC-536-2GEZ-364447</t>
  </si>
  <si>
    <t>13:39:23</t>
  </si>
  <si>
    <t>REC-004-P4FN-111111</t>
  </si>
  <si>
    <t>13:49:10</t>
  </si>
  <si>
    <t>REC-004-P4FN-111112</t>
  </si>
  <si>
    <t>13:50:02</t>
  </si>
  <si>
    <t>REC-004-P4FN-111113</t>
  </si>
  <si>
    <t>13:50:21</t>
  </si>
  <si>
    <t>REC-3422-A25Y-112859</t>
  </si>
  <si>
    <t>14:17:26</t>
  </si>
  <si>
    <t>0921618344</t>
  </si>
  <si>
    <t>3909356</t>
  </si>
  <si>
    <t>REC-3371-LD0C-313900</t>
  </si>
  <si>
    <t>14:27:32</t>
  </si>
  <si>
    <t>REC-7314-A6GU-35875</t>
  </si>
  <si>
    <t>15:11:41</t>
  </si>
  <si>
    <t>REC-7314-A6GU-35876</t>
  </si>
  <si>
    <t>15:12:20</t>
  </si>
  <si>
    <t>REC-4960-A1QG-116624</t>
  </si>
  <si>
    <t>15:43:49</t>
  </si>
  <si>
    <t>REC-678-3V18-587130</t>
  </si>
  <si>
    <t>15:54:38</t>
  </si>
  <si>
    <t>REC-678-3V18-587131</t>
  </si>
  <si>
    <t>15:55:07</t>
  </si>
  <si>
    <t>REC-3422-A3IU-652250</t>
  </si>
  <si>
    <t>16:41:31</t>
  </si>
  <si>
    <t>REC-5585-RQ83-38839</t>
  </si>
  <si>
    <t>17:14:48</t>
  </si>
  <si>
    <t>REC-3182-YQHG-243619</t>
  </si>
  <si>
    <t>17:58:04</t>
  </si>
  <si>
    <t>REC-072-GPG1-230164</t>
  </si>
  <si>
    <t>08:13:06</t>
  </si>
  <si>
    <t>20210427</t>
  </si>
  <si>
    <t>REC-4934-A1ZV-633968</t>
  </si>
  <si>
    <t>08:40:27</t>
  </si>
  <si>
    <t>REC-342-VEHD-489919</t>
  </si>
  <si>
    <t>09:07:26</t>
  </si>
  <si>
    <t>0915261796</t>
  </si>
  <si>
    <t>3909233</t>
  </si>
  <si>
    <t>REC-4963-A3A0-638800</t>
  </si>
  <si>
    <t>09:56:49</t>
  </si>
  <si>
    <t>REC-049-A518-1580553</t>
  </si>
  <si>
    <t>10:07:30</t>
  </si>
  <si>
    <t>0905055901</t>
  </si>
  <si>
    <t>3907377</t>
  </si>
  <si>
    <t>REC-3370-A6JI-279172</t>
  </si>
  <si>
    <t>10:17:12</t>
  </si>
  <si>
    <t>REC-4202-A16N-9019</t>
  </si>
  <si>
    <t>10:49:09</t>
  </si>
  <si>
    <t>REC-3172-YIG8-325912</t>
  </si>
  <si>
    <t>11:05:22</t>
  </si>
  <si>
    <t>REC-023-P4U6-470673</t>
  </si>
  <si>
    <t>11:45:26</t>
  </si>
  <si>
    <t>REC-609-A1M3-339600</t>
  </si>
  <si>
    <t>REC-7734-MAC1-10026</t>
  </si>
  <si>
    <t>12:05:42</t>
  </si>
  <si>
    <t>0925537151</t>
  </si>
  <si>
    <t>3909451</t>
  </si>
  <si>
    <t>REC-072-KBN0-284970</t>
  </si>
  <si>
    <t>12:16:32</t>
  </si>
  <si>
    <t>REC-061-A1BW-80473</t>
  </si>
  <si>
    <t>REC-342-VEHD-489986</t>
  </si>
  <si>
    <t>12:35:52</t>
  </si>
  <si>
    <t>REC-3371-EFX5-195399</t>
  </si>
  <si>
    <t>13:14:08</t>
  </si>
  <si>
    <t>REC-944-LRJW-304693</t>
  </si>
  <si>
    <t>13:22:17</t>
  </si>
  <si>
    <t>REC-3422-A3IU-652043</t>
  </si>
  <si>
    <t>13:28:25</t>
  </si>
  <si>
    <t>REC-3371-A1DS-234271</t>
  </si>
  <si>
    <t>13:37:59</t>
  </si>
  <si>
    <t>REC-3370-A6JI-279224</t>
  </si>
  <si>
    <t>14:03:53</t>
  </si>
  <si>
    <t>REC-4164-A1CB-136087</t>
  </si>
  <si>
    <t>14:15:34</t>
  </si>
  <si>
    <t>REC-3422-A25Y-112776</t>
  </si>
  <si>
    <t>14:41:56</t>
  </si>
  <si>
    <t>REC-223-B7CD-603156</t>
  </si>
  <si>
    <t>14:44:24</t>
  </si>
  <si>
    <t>0909554537</t>
  </si>
  <si>
    <t>3909111</t>
  </si>
  <si>
    <t>REC-3200-SAMB-533152</t>
  </si>
  <si>
    <t>15:58:05</t>
  </si>
  <si>
    <t>AT959164</t>
  </si>
  <si>
    <t>3908063</t>
  </si>
  <si>
    <t>REC-7894-VL41-4397</t>
  </si>
  <si>
    <t>16:06:56</t>
  </si>
  <si>
    <t>0922710165</t>
  </si>
  <si>
    <t>3903833</t>
  </si>
  <si>
    <t>REC-3158-KURJ-224019</t>
  </si>
  <si>
    <t>16:18:28</t>
  </si>
  <si>
    <t>1709165151</t>
  </si>
  <si>
    <t>3930050</t>
  </si>
  <si>
    <t>REC-3187-A2UB-174818</t>
  </si>
  <si>
    <t>16:22:01</t>
  </si>
  <si>
    <t>REC-3295-1T8E-243331</t>
  </si>
  <si>
    <t>16:44:52</t>
  </si>
  <si>
    <t>0954761474</t>
  </si>
  <si>
    <t>3909226</t>
  </si>
  <si>
    <t>REC-6397-A5XK-25764</t>
  </si>
  <si>
    <t>17:04:04</t>
  </si>
  <si>
    <t>1202255723</t>
  </si>
  <si>
    <t>3908344</t>
  </si>
  <si>
    <t>REC-4963-A3A0-666088</t>
  </si>
  <si>
    <t>18:19:03</t>
  </si>
  <si>
    <t>REC-4202-A16N-9012</t>
  </si>
  <si>
    <t>09:15:51</t>
  </si>
  <si>
    <t>20210426</t>
  </si>
  <si>
    <t>REC-3769-A26U-9784</t>
  </si>
  <si>
    <t>09:48:39</t>
  </si>
  <si>
    <t>REC-3769-A26U-9785</t>
  </si>
  <si>
    <t>09:52:14</t>
  </si>
  <si>
    <t>REC-348-AB9D-167025</t>
  </si>
  <si>
    <t>09:53:27</t>
  </si>
  <si>
    <t>REC-7996-A810-600588</t>
  </si>
  <si>
    <t>10:33:34</t>
  </si>
  <si>
    <t>REC-3520-A1CH-286247</t>
  </si>
  <si>
    <t>11:02:08</t>
  </si>
  <si>
    <t>REC-3769-A26U-9790</t>
  </si>
  <si>
    <t>11:10:57</t>
  </si>
  <si>
    <t>REC-3370-A6JI-279031</t>
  </si>
  <si>
    <t>11:20:12</t>
  </si>
  <si>
    <t>REC-7812-PT01-1228</t>
  </si>
  <si>
    <t>12:08:17</t>
  </si>
  <si>
    <t>0928778182</t>
  </si>
  <si>
    <t>3903360</t>
  </si>
  <si>
    <t>REC-536-TDSM-167890</t>
  </si>
  <si>
    <t>12:10:21</t>
  </si>
  <si>
    <t>REC-944-LRJW-304562</t>
  </si>
  <si>
    <t>12:28:58</t>
  </si>
  <si>
    <t>REC-061-AF82-286365</t>
  </si>
  <si>
    <t>12:28:59</t>
  </si>
  <si>
    <t>REC-049-A2U2-67590</t>
  </si>
  <si>
    <t>12:34:22</t>
  </si>
  <si>
    <t>REC-568-YXPM-437856</t>
  </si>
  <si>
    <t>12:44:28</t>
  </si>
  <si>
    <t>REC-072-A6LX-224530</t>
  </si>
  <si>
    <t>12:51:19</t>
  </si>
  <si>
    <t>0954783320</t>
  </si>
  <si>
    <t>3900181</t>
  </si>
  <si>
    <t>REC-3182-YQHD-284535</t>
  </si>
  <si>
    <t>12:57:17</t>
  </si>
  <si>
    <t>REC-072-TTF1-333566</t>
  </si>
  <si>
    <t>13:08:29</t>
  </si>
  <si>
    <t>REC-096-DCIZ-478815</t>
  </si>
  <si>
    <t>15:01:19</t>
  </si>
  <si>
    <t>REC-536-2GEZ-364218</t>
  </si>
  <si>
    <t>15:14:32</t>
  </si>
  <si>
    <t>0909575201</t>
  </si>
  <si>
    <t>3909496</t>
  </si>
  <si>
    <t>REC-3520-A1CH-286331</t>
  </si>
  <si>
    <t>16:06:41</t>
  </si>
  <si>
    <t>REC-096-HG9K-324567</t>
  </si>
  <si>
    <t>16:20:35</t>
  </si>
  <si>
    <t>REC-4164-A1LY-152362</t>
  </si>
  <si>
    <t>16:22:21</t>
  </si>
  <si>
    <t>REC-3175-C8JC-330188</t>
  </si>
  <si>
    <t>16:36:08</t>
  </si>
  <si>
    <t>REC-3187-YWS5-623535</t>
  </si>
  <si>
    <t>16:38:28</t>
  </si>
  <si>
    <t>REC-008-PB65-400399</t>
  </si>
  <si>
    <t>17:45:35</t>
  </si>
  <si>
    <t>REC-3187-YWS5-623544</t>
  </si>
  <si>
    <t>17:51:29</t>
  </si>
  <si>
    <t>0952180586</t>
  </si>
  <si>
    <t>3906832</t>
  </si>
  <si>
    <t>REC-046-AFER-639039</t>
  </si>
  <si>
    <t>12:26:59</t>
  </si>
  <si>
    <t>20210421</t>
  </si>
  <si>
    <t>0918343419</t>
  </si>
  <si>
    <t>3908744</t>
  </si>
  <si>
    <t>REC-4167-WDE2-507213</t>
  </si>
  <si>
    <t>15:33:03</t>
  </si>
  <si>
    <t>REC-4654-ART3-448857</t>
  </si>
  <si>
    <t>10:08:04</t>
  </si>
  <si>
    <t>20210420</t>
  </si>
  <si>
    <t>REC-4179-LOE1-449446</t>
  </si>
  <si>
    <t>10:14:10</t>
  </si>
  <si>
    <t>REC-3295-1TWC-234703</t>
  </si>
  <si>
    <t>10:23:55</t>
  </si>
  <si>
    <t>REC-3520-A1CH-285526</t>
  </si>
  <si>
    <t>10:43:16</t>
  </si>
  <si>
    <t>REC-4910-A22F-31009</t>
  </si>
  <si>
    <t>10:51:54</t>
  </si>
  <si>
    <t>REC-5243-RP46-3511</t>
  </si>
  <si>
    <t>11:44:09</t>
  </si>
  <si>
    <t>1307576437</t>
  </si>
  <si>
    <t>3906724</t>
  </si>
  <si>
    <t>REC-986-B099-1260</t>
  </si>
  <si>
    <t>12:17:16</t>
  </si>
  <si>
    <t>0944355882</t>
  </si>
  <si>
    <t>3909276</t>
  </si>
  <si>
    <t>REC-3360-IPEN-241298</t>
  </si>
  <si>
    <t>12:39:24</t>
  </si>
  <si>
    <t>REC-3109-TTH2-703153</t>
  </si>
  <si>
    <t>15:32:33</t>
  </si>
  <si>
    <t>REC-3301-CTQ4-472549</t>
  </si>
  <si>
    <t>16:10:30</t>
  </si>
  <si>
    <t>0702196502</t>
  </si>
  <si>
    <t>3909266</t>
  </si>
  <si>
    <t>REC-4392-PR49-1893</t>
  </si>
  <si>
    <t>16:40:41</t>
  </si>
  <si>
    <t>at-3267</t>
  </si>
  <si>
    <t>REC-008-PB64-393227</t>
  </si>
  <si>
    <t>17:01:38</t>
  </si>
  <si>
    <t>REC-944-PR10-444489</t>
  </si>
  <si>
    <t>17:45:09</t>
  </si>
  <si>
    <t>REC-061-A6S4-162644</t>
  </si>
  <si>
    <t>18:03:27</t>
  </si>
  <si>
    <t>REC-3187-A2UB-174223</t>
  </si>
  <si>
    <t>18:13:18</t>
  </si>
  <si>
    <t>at-3266</t>
  </si>
  <si>
    <t>REC-3172-LIO4-258590</t>
  </si>
  <si>
    <t>18:44:42</t>
  </si>
  <si>
    <t>REC-3182-YQHE-253978</t>
  </si>
  <si>
    <t>18:46:12</t>
  </si>
  <si>
    <t>REC-3143-AWFJ-348619</t>
  </si>
  <si>
    <t>10:38:34</t>
  </si>
  <si>
    <t>20210419</t>
  </si>
  <si>
    <t>REC-072-A6LX-223923</t>
  </si>
  <si>
    <t>11:02:22</t>
  </si>
  <si>
    <t>3907923</t>
  </si>
  <si>
    <t>REC-072-A6LX-223924</t>
  </si>
  <si>
    <t>11:02:46</t>
  </si>
  <si>
    <t>REC-5635-A2YS-43870</t>
  </si>
  <si>
    <t>11:19:12</t>
  </si>
  <si>
    <t>REC-536-2GEZ-363510</t>
  </si>
  <si>
    <t>11:27:53</t>
  </si>
  <si>
    <t>0926354002</t>
  </si>
  <si>
    <t>3908961</t>
  </si>
  <si>
    <t>REC-4961-A24R-53055</t>
  </si>
  <si>
    <t>11:40:34</t>
  </si>
  <si>
    <t>REC-3295-1T8D-186991</t>
  </si>
  <si>
    <t>12:25:19</t>
  </si>
  <si>
    <t>REC-096-LIO1-564659</t>
  </si>
  <si>
    <t>13:45:53</t>
  </si>
  <si>
    <t>REC-223-B7CD-601900</t>
  </si>
  <si>
    <t>14:55:18</t>
  </si>
  <si>
    <t>0920853603</t>
  </si>
  <si>
    <t>3906321</t>
  </si>
  <si>
    <t>REC-5310-Z4YZ-428611</t>
  </si>
  <si>
    <t>16:00:01</t>
  </si>
  <si>
    <t>1204517740</t>
  </si>
  <si>
    <t>3903873</t>
  </si>
  <si>
    <t>REC-3143-AWFJ-348685</t>
  </si>
  <si>
    <t>REC-3371-EFX5-194939</t>
  </si>
  <si>
    <t>17:00:08</t>
  </si>
  <si>
    <t>REC-3170-YGVG-341476</t>
  </si>
  <si>
    <t>17:20:02</t>
  </si>
  <si>
    <t>REC-3784-ATA2-189116</t>
  </si>
  <si>
    <t>18:59:05</t>
  </si>
  <si>
    <t>REC-5310-Z4YZ-439200</t>
  </si>
  <si>
    <t>20:00:26</t>
  </si>
  <si>
    <t>REC-4942-A1Z4-382024</t>
  </si>
  <si>
    <t>08:27:59</t>
  </si>
  <si>
    <t>20210418</t>
  </si>
  <si>
    <t>REC-226-B7CC-740617</t>
  </si>
  <si>
    <t>11:32:01</t>
  </si>
  <si>
    <t>REC-4824-FSL1-388141</t>
  </si>
  <si>
    <t>11:47:08</t>
  </si>
  <si>
    <t>REC-348-AB9D-166118</t>
  </si>
  <si>
    <t>12:43:47</t>
  </si>
  <si>
    <t>REC-3412-PTE5-394199</t>
  </si>
  <si>
    <t>16:05:23</t>
  </si>
  <si>
    <t>REC-5987-GFL4-360680</t>
  </si>
  <si>
    <t>09:52:11</t>
  </si>
  <si>
    <t>20210417</t>
  </si>
  <si>
    <t>REC-5987-GFL4-360756</t>
  </si>
  <si>
    <t>09:54:18</t>
  </si>
  <si>
    <t>REC-7698-SS49-362018</t>
  </si>
  <si>
    <t>10:22:41</t>
  </si>
  <si>
    <t>0905153425</t>
  </si>
  <si>
    <t>3909389</t>
  </si>
  <si>
    <t>REC-3175-C8JC-329395</t>
  </si>
  <si>
    <t>12:06:54</t>
  </si>
  <si>
    <t>0923004295</t>
  </si>
  <si>
    <t>3908760</t>
  </si>
  <si>
    <t>REC-585-ZQVC-469193</t>
  </si>
  <si>
    <t>13:03:01</t>
  </si>
  <si>
    <t>0915513352</t>
  </si>
  <si>
    <t>3909196</t>
  </si>
  <si>
    <t>REC-3172-LIO4-258248</t>
  </si>
  <si>
    <t>REC-944-LRJ0-420806</t>
  </si>
  <si>
    <t>14:24:49</t>
  </si>
  <si>
    <t>REC-3200-SAMB-532258</t>
  </si>
  <si>
    <t>15:31:11</t>
  </si>
  <si>
    <t>REC-043-HXVM-329902</t>
  </si>
  <si>
    <t>16:47:46</t>
  </si>
  <si>
    <t>REC-3187-YWS5-622826</t>
  </si>
  <si>
    <t>17:52:27</t>
  </si>
  <si>
    <t>REC-3170-YGVG-341243</t>
  </si>
  <si>
    <t>17:47:06</t>
  </si>
  <si>
    <t>20210416</t>
  </si>
  <si>
    <t>REC-355-J4YM-692847</t>
  </si>
  <si>
    <t>09:11:07</t>
  </si>
  <si>
    <t>REC-568-YXPM-437372</t>
  </si>
  <si>
    <t>REC-3412-PTE5-327227</t>
  </si>
  <si>
    <t>09:27:45</t>
  </si>
  <si>
    <t>REC-3175-C8JC-329237</t>
  </si>
  <si>
    <t>10:28:47</t>
  </si>
  <si>
    <t>REC-678-3V18-586102</t>
  </si>
  <si>
    <t>10:46:46</t>
  </si>
  <si>
    <t>REC-223-B7CD-601368</t>
  </si>
  <si>
    <t>10:53:19</t>
  </si>
  <si>
    <t>REC-3422-A3IU-650931</t>
  </si>
  <si>
    <t>11:06:20</t>
  </si>
  <si>
    <t>REC-5635-A2YS-43432</t>
  </si>
  <si>
    <t>11:18:54</t>
  </si>
  <si>
    <t>0925620486</t>
  </si>
  <si>
    <t>3900632</t>
  </si>
  <si>
    <t>REC-3172-YIHD-263693</t>
  </si>
  <si>
    <t>12:53:27</t>
  </si>
  <si>
    <t>1102832894</t>
  </si>
  <si>
    <t>3902692</t>
  </si>
  <si>
    <t>REC-3187-A2UE-62555</t>
  </si>
  <si>
    <t>13:25:27</t>
  </si>
  <si>
    <t>1713760500001</t>
  </si>
  <si>
    <t>3908401</t>
  </si>
  <si>
    <t>REC-7984-A772-342449</t>
  </si>
  <si>
    <t>14:03:09</t>
  </si>
  <si>
    <t>REC-165-M8MT-671792</t>
  </si>
  <si>
    <t>14:20:51</t>
  </si>
  <si>
    <t>REC-096-HG9K-324212</t>
  </si>
  <si>
    <t>15:16:26</t>
  </si>
  <si>
    <t>REC-4961-A24R-52962</t>
  </si>
  <si>
    <t>15:42:32</t>
  </si>
  <si>
    <t>REC-3792-A24Z-582193</t>
  </si>
  <si>
    <t>REC-3172-YIG8-325295</t>
  </si>
  <si>
    <t>16:13:25</t>
  </si>
  <si>
    <t>REC-048-QNCI-643975</t>
  </si>
  <si>
    <t>16:41:16</t>
  </si>
  <si>
    <t>REC-061-A13Z-54472</t>
  </si>
  <si>
    <t>16:42:00</t>
  </si>
  <si>
    <t>REC-3371-EGEG-275135</t>
  </si>
  <si>
    <t>16:43:19</t>
  </si>
  <si>
    <t>REC-5585-RQ83-37617</t>
  </si>
  <si>
    <t>17:01:35</t>
  </si>
  <si>
    <t>0911401859</t>
  </si>
  <si>
    <t>3909360</t>
  </si>
  <si>
    <t>REC-226-B7CC-740225</t>
  </si>
  <si>
    <t>09:18:05</t>
  </si>
  <si>
    <t>20210415</t>
  </si>
  <si>
    <t>FB611002</t>
  </si>
  <si>
    <t>3906095</t>
  </si>
  <si>
    <t>REC-3301-CTQ4-292872</t>
  </si>
  <si>
    <t>09:44:13</t>
  </si>
  <si>
    <t>REC-3370-A6JI-277700</t>
  </si>
  <si>
    <t>10:56:46</t>
  </si>
  <si>
    <t>REC-4164-A19P-176021</t>
  </si>
  <si>
    <t>10:57:25</t>
  </si>
  <si>
    <t>0930427661</t>
  </si>
  <si>
    <t>3930370</t>
  </si>
  <si>
    <t>REC-3187-YWS5-622529</t>
  </si>
  <si>
    <t>11:21:20</t>
  </si>
  <si>
    <t>0915274856</t>
  </si>
  <si>
    <t>3903880</t>
  </si>
  <si>
    <t>REC-223-V7XD-294644</t>
  </si>
  <si>
    <t>12:09:01</t>
  </si>
  <si>
    <t>0906654793</t>
  </si>
  <si>
    <t>3908655</t>
  </si>
  <si>
    <t>REC-3295-1T8E-242436</t>
  </si>
  <si>
    <t>12:12:31</t>
  </si>
  <si>
    <t>0931251466</t>
  </si>
  <si>
    <t>3908781</t>
  </si>
  <si>
    <t>REC-3792-A24Z-581912</t>
  </si>
  <si>
    <t>12:27:19</t>
  </si>
  <si>
    <t>REC-241-M1DC-361066</t>
  </si>
  <si>
    <t>13:49:53</t>
  </si>
  <si>
    <t>REC-241-M1DC-361067</t>
  </si>
  <si>
    <t>13:50:15</t>
  </si>
  <si>
    <t>REC-4164-A1LY-151557</t>
  </si>
  <si>
    <t>14:44:47</t>
  </si>
  <si>
    <t>REC-061-ZGFI-107842</t>
  </si>
  <si>
    <t>15:04:12</t>
  </si>
  <si>
    <t>REC-072-AJ3R-263675</t>
  </si>
  <si>
    <t>15:06:24</t>
  </si>
  <si>
    <t>REC-096-LIO1-564272</t>
  </si>
  <si>
    <t>15:22:20</t>
  </si>
  <si>
    <t>REC-810-5CAY-446419</t>
  </si>
  <si>
    <t>15:27:54</t>
  </si>
  <si>
    <t>REC-3553-PTY1-313290</t>
  </si>
  <si>
    <t>15:54:42</t>
  </si>
  <si>
    <t>REC-4717-FRZ4-313599</t>
  </si>
  <si>
    <t>15:59:58</t>
  </si>
  <si>
    <t>0931612790</t>
  </si>
  <si>
    <t>3901228</t>
  </si>
  <si>
    <t>REC-3172-LIO5-578766</t>
  </si>
  <si>
    <t>16:09:58</t>
  </si>
  <si>
    <t>REC-3520-A1CH-285020</t>
  </si>
  <si>
    <t>16:32:53</t>
  </si>
  <si>
    <t>REC-3158-KURJ-222942</t>
  </si>
  <si>
    <t>0927007260001</t>
  </si>
  <si>
    <t>3902698</t>
  </si>
  <si>
    <t>REC-3187-A2UB-173645</t>
  </si>
  <si>
    <t>17:14:16</t>
  </si>
  <si>
    <t>REC-3392-A39W-430109</t>
  </si>
  <si>
    <t>17:33:50</t>
  </si>
  <si>
    <t>REC-551-B2PQ-324023</t>
  </si>
  <si>
    <t>17:38:32</t>
  </si>
  <si>
    <t>REC-096-DCIZ-477918</t>
  </si>
  <si>
    <t>17:56:37</t>
  </si>
  <si>
    <t>REC-944-PR10-443837</t>
  </si>
  <si>
    <t>18:20:55</t>
  </si>
  <si>
    <t>REC-3172-YIHD-263636</t>
  </si>
  <si>
    <t>19:10:58</t>
  </si>
  <si>
    <t>REC-072-KBN0-282799</t>
  </si>
  <si>
    <t>10:12:33</t>
  </si>
  <si>
    <t>20210414</t>
  </si>
  <si>
    <t>REC-096-LIO1-564072</t>
  </si>
  <si>
    <t>10:18:05</t>
  </si>
  <si>
    <t>REC-223-B7CD-600888</t>
  </si>
  <si>
    <t>10:18:27</t>
  </si>
  <si>
    <t>REC-4814-FSJ9-264620</t>
  </si>
  <si>
    <t>11:20:00</t>
  </si>
  <si>
    <t>REC-3577-A1IU-171326</t>
  </si>
  <si>
    <t>12:18:47</t>
  </si>
  <si>
    <t>REC-223-B7CD-600975</t>
  </si>
  <si>
    <t>12:23:41</t>
  </si>
  <si>
    <t>REC-3187-A2UE-62293</t>
  </si>
  <si>
    <t>12:38:37</t>
  </si>
  <si>
    <t>at-3264</t>
  </si>
  <si>
    <t>1203027360</t>
  </si>
  <si>
    <t>3908017</t>
  </si>
  <si>
    <t>REC-4164-A19X-170497</t>
  </si>
  <si>
    <t>12:48:34</t>
  </si>
  <si>
    <t>REC-072-KBN0-282872</t>
  </si>
  <si>
    <t>12:51:49</t>
  </si>
  <si>
    <t>REC-3187-YWS5-622462</t>
  </si>
  <si>
    <t>13:39:12</t>
  </si>
  <si>
    <t>REC-3370-A6JI-277572</t>
  </si>
  <si>
    <t>13:41:42</t>
  </si>
  <si>
    <t>REC-072-TTF1-332782</t>
  </si>
  <si>
    <t>13:46:00</t>
  </si>
  <si>
    <t>0992217936001</t>
  </si>
  <si>
    <t>3902021</t>
  </si>
  <si>
    <t>REC-7837-LV74-872</t>
  </si>
  <si>
    <t>13:51:12</t>
  </si>
  <si>
    <t>0941080079</t>
  </si>
  <si>
    <t>3907150</t>
  </si>
  <si>
    <t>REC-3808-A3Z9-544994</t>
  </si>
  <si>
    <t>14:26:46</t>
  </si>
  <si>
    <t>REC-620-VWAG-132772</t>
  </si>
  <si>
    <t>15:03:46</t>
  </si>
  <si>
    <t>REC-096-DCIZ-477748</t>
  </si>
  <si>
    <t>15:32:56</t>
  </si>
  <si>
    <t>REC-342-EBMO-299943</t>
  </si>
  <si>
    <t>16:21:26</t>
  </si>
  <si>
    <t>0925657116</t>
  </si>
  <si>
    <t>3900530</t>
  </si>
  <si>
    <t>REC-3187-YWS5-622504</t>
  </si>
  <si>
    <t>16:49:13</t>
  </si>
  <si>
    <t>REC-3370-A6JI-277636</t>
  </si>
  <si>
    <t>16:56:28</t>
  </si>
  <si>
    <t>REC-191-A381-288291</t>
  </si>
  <si>
    <t>21:23:26</t>
  </si>
  <si>
    <t>REC-3422-A25Y-111411</t>
  </si>
  <si>
    <t>09:53:25</t>
  </si>
  <si>
    <t>20210413</t>
  </si>
  <si>
    <t>REC-048-QNCI-643572</t>
  </si>
  <si>
    <t>10:11:19</t>
  </si>
  <si>
    <t>at-3263</t>
  </si>
  <si>
    <t>0917183550</t>
  </si>
  <si>
    <t>3908830</t>
  </si>
  <si>
    <t>REC-048-QNCI-643573</t>
  </si>
  <si>
    <t>10:11:52</t>
  </si>
  <si>
    <t>REC-223-B7CD-600710</t>
  </si>
  <si>
    <t>10:22:09</t>
  </si>
  <si>
    <t>REC-551-B2PQ-323674</t>
  </si>
  <si>
    <t>10:41:59</t>
  </si>
  <si>
    <t>REC-3022-FNNL-559075</t>
  </si>
  <si>
    <t>11:20:50</t>
  </si>
  <si>
    <t>REC-4960-A1QG-114838</t>
  </si>
  <si>
    <t>11:46:15</t>
  </si>
  <si>
    <t>REC-4960-A1QG-114839</t>
  </si>
  <si>
    <t>11:47:19</t>
  </si>
  <si>
    <t>REC-3295-1T8A-220069</t>
  </si>
  <si>
    <t>12:07:37</t>
  </si>
  <si>
    <t>REC-5528-A2W5-12079</t>
  </si>
  <si>
    <t>12:25:48</t>
  </si>
  <si>
    <t>1714708417</t>
  </si>
  <si>
    <t>3909980</t>
  </si>
  <si>
    <t>REC-090-IRFP-608348</t>
  </si>
  <si>
    <t>13:06:24</t>
  </si>
  <si>
    <t>1719757039</t>
  </si>
  <si>
    <t>23923225</t>
  </si>
  <si>
    <t>REC-5460-A2UF-39131</t>
  </si>
  <si>
    <t>13:11:29</t>
  </si>
  <si>
    <t>0922482179001</t>
  </si>
  <si>
    <t>3903335</t>
  </si>
  <si>
    <t>REC-5585-RQ83-37252</t>
  </si>
  <si>
    <t>14:26:23</t>
  </si>
  <si>
    <t>REC-944-PR10-443303</t>
  </si>
  <si>
    <t>14:35:24</t>
  </si>
  <si>
    <t>0912030475001</t>
  </si>
  <si>
    <t>3906043</t>
  </si>
  <si>
    <t>REC-585-VR9E-517343</t>
  </si>
  <si>
    <t>15:08:31</t>
  </si>
  <si>
    <t>REC-097-AJSC-512970</t>
  </si>
  <si>
    <t>15:22:17</t>
  </si>
  <si>
    <t>REC-097-AJSC-512971</t>
  </si>
  <si>
    <t>15:22:35</t>
  </si>
  <si>
    <t>REC-049-A518-1579547</t>
  </si>
  <si>
    <t>15:57:10</t>
  </si>
  <si>
    <t>REC-072-A6LX-223254</t>
  </si>
  <si>
    <t>16:12:48</t>
  </si>
  <si>
    <t>REC-342-VEHD-488226</t>
  </si>
  <si>
    <t>16:43:06</t>
  </si>
  <si>
    <t>REC-027-A40B-87899</t>
  </si>
  <si>
    <t>17:45:29</t>
  </si>
  <si>
    <t>REC-072-A6LX-223044</t>
  </si>
  <si>
    <t>09:24:32</t>
  </si>
  <si>
    <t>20210412</t>
  </si>
  <si>
    <t>REC-390-BBF4-328875</t>
  </si>
  <si>
    <t>09:33:45</t>
  </si>
  <si>
    <t>0911403715</t>
  </si>
  <si>
    <t>3900313</t>
  </si>
  <si>
    <t>REC-3187-YWS5-622220</t>
  </si>
  <si>
    <t>10:58:20</t>
  </si>
  <si>
    <t>REC-090-9SKJ-467734</t>
  </si>
  <si>
    <t>11:30:23</t>
  </si>
  <si>
    <t>REC-3792-A24Z-581318</t>
  </si>
  <si>
    <t>11:49:14</t>
  </si>
  <si>
    <t>REC-3172-LIO7-128489</t>
  </si>
  <si>
    <t>12:14:54</t>
  </si>
  <si>
    <t>0911776326</t>
  </si>
  <si>
    <t>3903549</t>
  </si>
  <si>
    <t>REC-095-AJSE-693144</t>
  </si>
  <si>
    <t>13:35:34</t>
  </si>
  <si>
    <t>REC-5987-GFL4-199500</t>
  </si>
  <si>
    <t>15:05:33</t>
  </si>
  <si>
    <t>REC-4976-A25U-7863</t>
  </si>
  <si>
    <t>16:19:25</t>
  </si>
  <si>
    <t>REC-364-NKDD-375309</t>
  </si>
  <si>
    <t>17:21:41</t>
  </si>
  <si>
    <t>REC-3175-C8JC-328843</t>
  </si>
  <si>
    <t>17:30:19</t>
  </si>
  <si>
    <t>0915588305</t>
  </si>
  <si>
    <t>3908162</t>
  </si>
  <si>
    <t>REC-7276-RQ45-207963</t>
  </si>
  <si>
    <t>17:33:48</t>
  </si>
  <si>
    <t>at-3262</t>
  </si>
  <si>
    <t>REC-5585-RQ83-37160</t>
  </si>
  <si>
    <t>17:37:31</t>
  </si>
  <si>
    <t>0960856649</t>
  </si>
  <si>
    <t>3903340</t>
  </si>
  <si>
    <t>REC-3187-YWS5-622326</t>
  </si>
  <si>
    <t>18:33:37</t>
  </si>
  <si>
    <t>REC-3187-A2UE-62008</t>
  </si>
  <si>
    <t>17:35:45</t>
  </si>
  <si>
    <t>20210411</t>
  </si>
  <si>
    <t>REC-3172-LIO6-143523</t>
  </si>
  <si>
    <t>11:34:53</t>
  </si>
  <si>
    <t>REC-3095-T359-446524</t>
  </si>
  <si>
    <t>12:52:36</t>
  </si>
  <si>
    <t>REC-518-RI6W-443465</t>
  </si>
  <si>
    <t>13:37:40</t>
  </si>
  <si>
    <t>0920678190</t>
  </si>
  <si>
    <t>3908496</t>
  </si>
  <si>
    <t>REC-3187-A2UE-61972</t>
  </si>
  <si>
    <t>REC-585-ZQVC-468787</t>
  </si>
  <si>
    <t>15:25:10</t>
  </si>
  <si>
    <t>1201980677</t>
  </si>
  <si>
    <t>3907394</t>
  </si>
  <si>
    <t>REC-011-VD5Z-373085</t>
  </si>
  <si>
    <t>10:59:46</t>
  </si>
  <si>
    <t>20210410</t>
  </si>
  <si>
    <t>REC-5310-Z4YZ-147379</t>
  </si>
  <si>
    <t>11:05:19</t>
  </si>
  <si>
    <t>REC-3360-IPEN-240392</t>
  </si>
  <si>
    <t>11:38:08</t>
  </si>
  <si>
    <t>REC-5695-A2E3-31674</t>
  </si>
  <si>
    <t>14:41:11</t>
  </si>
  <si>
    <t>REC-072-AJ3R-263352</t>
  </si>
  <si>
    <t>14:41:18</t>
  </si>
  <si>
    <t>REC-191-A381-154825</t>
  </si>
  <si>
    <t>14:46:42</t>
  </si>
  <si>
    <t>REC-245-BEJI-692747</t>
  </si>
  <si>
    <t>15:35:51</t>
  </si>
  <si>
    <t>REC-3200-SAMB-531555</t>
  </si>
  <si>
    <t>15:53:10</t>
  </si>
  <si>
    <t>REC-3161-KURB-453124</t>
  </si>
  <si>
    <t>16:22:26</t>
  </si>
  <si>
    <t>REC-090-ULDN-618565</t>
  </si>
  <si>
    <t>16:23:37</t>
  </si>
  <si>
    <t>REC-5310-Z4YZ-158587</t>
  </si>
  <si>
    <t>17:17:26</t>
  </si>
  <si>
    <t>REC-097-AJSC-512652</t>
  </si>
  <si>
    <t>09:30:23</t>
  </si>
  <si>
    <t>20210409</t>
  </si>
  <si>
    <t>REC-4179-LOE1-111668</t>
  </si>
  <si>
    <t>09:36:46</t>
  </si>
  <si>
    <t>REC-4303-IAI3-114234</t>
  </si>
  <si>
    <t>10:14:28</t>
  </si>
  <si>
    <t>REC-3172-LIO4-257512</t>
  </si>
  <si>
    <t>10:16:03</t>
  </si>
  <si>
    <t>REC-090-IRFP-607889</t>
  </si>
  <si>
    <t>10:54:14</t>
  </si>
  <si>
    <t>0927869339</t>
  </si>
  <si>
    <t>3907388</t>
  </si>
  <si>
    <t>REC-096-DCIZ-477195</t>
  </si>
  <si>
    <t>11:31:45</t>
  </si>
  <si>
    <t>REC-049-A518-1579305</t>
  </si>
  <si>
    <t>11:32:00</t>
  </si>
  <si>
    <t>0919155309</t>
  </si>
  <si>
    <t>3909283</t>
  </si>
  <si>
    <t>REC-5645-A1066-1288</t>
  </si>
  <si>
    <t>12:02:21</t>
  </si>
  <si>
    <t>REC-4313-IAI9-121580</t>
  </si>
  <si>
    <t>12:07:23</t>
  </si>
  <si>
    <t>REC-3808-A3Z9-544569</t>
  </si>
  <si>
    <t>12:13:03</t>
  </si>
  <si>
    <t>REC-609-A1M3-338260</t>
  </si>
  <si>
    <t>12:16:48</t>
  </si>
  <si>
    <t>REC-4007-OIT2-124390</t>
  </si>
  <si>
    <t>13:03:17</t>
  </si>
  <si>
    <t>REC-518-RI71-195854</t>
  </si>
  <si>
    <t>13:45:18</t>
  </si>
  <si>
    <t>REC-4164-A19P-175527</t>
  </si>
  <si>
    <t>14:10:10</t>
  </si>
  <si>
    <t>REC-944-LRJ0-420288</t>
  </si>
  <si>
    <t>14:44:37</t>
  </si>
  <si>
    <t>REC-5680-PS51-131525</t>
  </si>
  <si>
    <t>15:36:10</t>
  </si>
  <si>
    <t>REC-944-PR10-442857</t>
  </si>
  <si>
    <t>15:54:51</t>
  </si>
  <si>
    <t>REC-3809-A2FM-141635</t>
  </si>
  <si>
    <t>17:04:19</t>
  </si>
  <si>
    <t>REC-3172-YIHD-263089</t>
  </si>
  <si>
    <t>0907103238</t>
  </si>
  <si>
    <t>3907965</t>
  </si>
  <si>
    <t>REC-3792-A24Z-581048</t>
  </si>
  <si>
    <t>17:30:01</t>
  </si>
  <si>
    <t>0992856254001</t>
  </si>
  <si>
    <t>3908384</t>
  </si>
  <si>
    <t>REC-7731-SS58-7178</t>
  </si>
  <si>
    <t>18:11:32</t>
  </si>
  <si>
    <t>0927309591</t>
  </si>
  <si>
    <t>3908998</t>
  </si>
  <si>
    <t>REC-3792-A39T-134899</t>
  </si>
  <si>
    <t>10:03:35</t>
  </si>
  <si>
    <t>20210408</t>
  </si>
  <si>
    <t>0919450924</t>
  </si>
  <si>
    <t>3909423</t>
  </si>
  <si>
    <t>REC-4963-A3A0-80808</t>
  </si>
  <si>
    <t>REC-2004-CNH2-606364</t>
  </si>
  <si>
    <t>11:33:49</t>
  </si>
  <si>
    <t>0801829631</t>
  </si>
  <si>
    <t>3960336</t>
  </si>
  <si>
    <t>REC-7492-A6NE-20258</t>
  </si>
  <si>
    <t>11:45:14</t>
  </si>
  <si>
    <t>REC-3422-A25Y-111002</t>
  </si>
  <si>
    <t>13:39:43</t>
  </si>
  <si>
    <t>0908357841</t>
  </si>
  <si>
    <t>3909268</t>
  </si>
  <si>
    <t>REC-3189-YWSY-175200</t>
  </si>
  <si>
    <t>14:43:38</t>
  </si>
  <si>
    <t>REC-3412-PTE5-93990</t>
  </si>
  <si>
    <t>14:58:25</t>
  </si>
  <si>
    <t>REC-3109-TTH2-701968</t>
  </si>
  <si>
    <t>15:22:03</t>
  </si>
  <si>
    <t>REC-678-3V18-585420</t>
  </si>
  <si>
    <t>15:28:59</t>
  </si>
  <si>
    <t>REC-3170-YGVG-340373</t>
  </si>
  <si>
    <t>16:33:53</t>
  </si>
  <si>
    <t>REC-3187-YWS5-622006</t>
  </si>
  <si>
    <t>18:06:35</t>
  </si>
  <si>
    <t>0928900711</t>
  </si>
  <si>
    <t>3901507</t>
  </si>
  <si>
    <t>REC-4654-ART3-103588</t>
  </si>
  <si>
    <t>18:18:03</t>
  </si>
  <si>
    <t>1204697120</t>
  </si>
  <si>
    <t>3930213</t>
  </si>
  <si>
    <t>REC-5635-A2YS-42593</t>
  </si>
  <si>
    <t>19:18:15</t>
  </si>
  <si>
    <t>REC-551-VOI9-584844</t>
  </si>
  <si>
    <t>09:51:16</t>
  </si>
  <si>
    <t>20210407</t>
  </si>
  <si>
    <t>REC-3815-A3ZR-29338</t>
  </si>
  <si>
    <t>10:17:53</t>
  </si>
  <si>
    <t>REC-4963-A3A0-41283</t>
  </si>
  <si>
    <t>10:29:31</t>
  </si>
  <si>
    <t>0960429926</t>
  </si>
  <si>
    <t>3909376</t>
  </si>
  <si>
    <t>REC-5635-A2YS-42331</t>
  </si>
  <si>
    <t>10:38:51</t>
  </si>
  <si>
    <t>REC-3260-CTO1-42042</t>
  </si>
  <si>
    <t>10:39:46</t>
  </si>
  <si>
    <t>REC-3022-A364-144243</t>
  </si>
  <si>
    <t>11:00:31</t>
  </si>
  <si>
    <t>REC-048-AFEP-260361</t>
  </si>
  <si>
    <t>11:02:23</t>
  </si>
  <si>
    <t>REC-3143-AWFJ-347645</t>
  </si>
  <si>
    <t>11:08:38</t>
  </si>
  <si>
    <t>REC-5502-A2W2-3335</t>
  </si>
  <si>
    <t>11:24:12</t>
  </si>
  <si>
    <t>REC-3187-YWS5-621781</t>
  </si>
  <si>
    <t>11:48:19</t>
  </si>
  <si>
    <t>REC-3187-YWS5-621782</t>
  </si>
  <si>
    <t>11:49:12</t>
  </si>
  <si>
    <t>REC-613-BK8R-432188</t>
  </si>
  <si>
    <t>11:52:01</t>
  </si>
  <si>
    <t>REC-536-2GEZ-362453</t>
  </si>
  <si>
    <t>11:58:22</t>
  </si>
  <si>
    <t>REC-3370-A6JI-276742</t>
  </si>
  <si>
    <t>12:25:18</t>
  </si>
  <si>
    <t>REC-191-A381-50127</t>
  </si>
  <si>
    <t>12:32:39</t>
  </si>
  <si>
    <t>REC-4190-A11N-1480294</t>
  </si>
  <si>
    <t>12:33:49</t>
  </si>
  <si>
    <t>REC-4010-LOP1-50539</t>
  </si>
  <si>
    <t>12:39:30</t>
  </si>
  <si>
    <t>REC-342-VEHD-487464</t>
  </si>
  <si>
    <t>12:49:20</t>
  </si>
  <si>
    <t>REC-663-1R5N-1508575</t>
  </si>
  <si>
    <t>12:49:42</t>
  </si>
  <si>
    <t>REC-045-VMU0-362904</t>
  </si>
  <si>
    <t>12:52:27</t>
  </si>
  <si>
    <t>0907142814</t>
  </si>
  <si>
    <t>3908777</t>
  </si>
  <si>
    <t>REC-1049-B057-212</t>
  </si>
  <si>
    <t>13:24:53</t>
  </si>
  <si>
    <t>REC-4866-A1XE-56395</t>
  </si>
  <si>
    <t>14:35:18</t>
  </si>
  <si>
    <t>0927799213001</t>
  </si>
  <si>
    <t>3900146</t>
  </si>
  <si>
    <t>REC-5310-Z4YZ-57239</t>
  </si>
  <si>
    <t>14:52:50</t>
  </si>
  <si>
    <t>REC-3187-YWS5-621837</t>
  </si>
  <si>
    <t>15:27:18</t>
  </si>
  <si>
    <t>REC-3295-1T8A-219760</t>
  </si>
  <si>
    <t>15:45:13</t>
  </si>
  <si>
    <t>0921596136</t>
  </si>
  <si>
    <t>3930363</t>
  </si>
  <si>
    <t>REC-518-RI71-195702</t>
  </si>
  <si>
    <t>16:00:59</t>
  </si>
  <si>
    <t>REC-3187-YWS5-621872</t>
  </si>
  <si>
    <t>17:18:10</t>
  </si>
  <si>
    <t>0925301442</t>
  </si>
  <si>
    <t>3930242</t>
  </si>
  <si>
    <t>REC-3187-YWS5-621878</t>
  </si>
  <si>
    <t>17:41:33</t>
  </si>
  <si>
    <t>REC-543-U5H7-582464</t>
  </si>
  <si>
    <t>17:59:37</t>
  </si>
  <si>
    <t>REC-3187-A2UE-61613</t>
  </si>
  <si>
    <t>18:07:56</t>
  </si>
  <si>
    <t>REC-011-JVA0-529470</t>
  </si>
  <si>
    <t>09:29:02</t>
  </si>
  <si>
    <t>20210406</t>
  </si>
  <si>
    <t>REC-4960-A1QG-113949</t>
  </si>
  <si>
    <t>10:14:01</t>
  </si>
  <si>
    <t>REC-3792-A24Z-580433</t>
  </si>
  <si>
    <t>10:26:27</t>
  </si>
  <si>
    <t>REC-3172-LIO7-127972</t>
  </si>
  <si>
    <t>10:31:51</t>
  </si>
  <si>
    <t>REC-096-LIO1-563224</t>
  </si>
  <si>
    <t>10:51:26</t>
  </si>
  <si>
    <t>REC-944-ZF9M-217479</t>
  </si>
  <si>
    <t>11:16:02</t>
  </si>
  <si>
    <t>REC-223-V7XD-293266</t>
  </si>
  <si>
    <t>11:40:42</t>
  </si>
  <si>
    <t>REC-5117-A283-5789</t>
  </si>
  <si>
    <t>11:56:59</t>
  </si>
  <si>
    <t>REC-061-A1AW-61571</t>
  </si>
  <si>
    <t>12:03:45</t>
  </si>
  <si>
    <t>REC-7926-VL74-782</t>
  </si>
  <si>
    <t>12:05:07</t>
  </si>
  <si>
    <t>REC-7828-MB00-4384</t>
  </si>
  <si>
    <t>12:14:07</t>
  </si>
  <si>
    <t>1303923179001</t>
  </si>
  <si>
    <t>3908214</t>
  </si>
  <si>
    <t>REC-4164-A1LY-150702</t>
  </si>
  <si>
    <t>12:15:20</t>
  </si>
  <si>
    <t>0909648164</t>
  </si>
  <si>
    <t>3930229</t>
  </si>
  <si>
    <t>REC-223-V7XD-293283</t>
  </si>
  <si>
    <t>12:34:27</t>
  </si>
  <si>
    <t>REC-011-VD5Z-372631</t>
  </si>
  <si>
    <t>12:49:03</t>
  </si>
  <si>
    <t>REC-536-2GEZ-362339</t>
  </si>
  <si>
    <t>13:26:26</t>
  </si>
  <si>
    <t>REC-191-A381-11920</t>
  </si>
  <si>
    <t>13:33:59</t>
  </si>
  <si>
    <t>REC-191-A381-12499</t>
  </si>
  <si>
    <t>13:43:01</t>
  </si>
  <si>
    <t>REC-5310-Z4YZ-13629</t>
  </si>
  <si>
    <t>14:03:21</t>
  </si>
  <si>
    <t>REC-7624-PS94-4415</t>
  </si>
  <si>
    <t>0993013811001</t>
  </si>
  <si>
    <t>3906873</t>
  </si>
  <si>
    <t>REC-4278-IOI5-14198</t>
  </si>
  <si>
    <t>14:11:38</t>
  </si>
  <si>
    <t>REC-4313-IAI9-15985</t>
  </si>
  <si>
    <t>14:38:34</t>
  </si>
  <si>
    <t>1306361054</t>
  </si>
  <si>
    <t>3907487</t>
  </si>
  <si>
    <t>REC-348-1R2Q-460300</t>
  </si>
  <si>
    <t>14:48:01</t>
  </si>
  <si>
    <t>REC-5635-A2YS-42212</t>
  </si>
  <si>
    <t>14:57:37</t>
  </si>
  <si>
    <t>1756871214</t>
  </si>
  <si>
    <t>23923035</t>
  </si>
  <si>
    <t>REC-4942-A1Z4-19052</t>
  </si>
  <si>
    <t>15:25:29</t>
  </si>
  <si>
    <t>23923036</t>
  </si>
  <si>
    <t>REC-4942-A1Z4-19796</t>
  </si>
  <si>
    <t>15:35:07</t>
  </si>
  <si>
    <t>REC-3214-A160-105463</t>
  </si>
  <si>
    <t>15:42:46</t>
  </si>
  <si>
    <t>REC-3200-SAMK-244284</t>
  </si>
  <si>
    <t>16:10:16</t>
  </si>
  <si>
    <t>REC-3201-Y46O-445490</t>
  </si>
  <si>
    <t>16:20:34</t>
  </si>
  <si>
    <t>0916773724</t>
  </si>
  <si>
    <t>3908359</t>
  </si>
  <si>
    <t>REC-551-B2PQ-323066</t>
  </si>
  <si>
    <t>16:27:32</t>
  </si>
  <si>
    <t>REC-095-AJSE-692484</t>
  </si>
  <si>
    <t>16:44:51</t>
  </si>
  <si>
    <t>0906563093</t>
  </si>
  <si>
    <t>3930111</t>
  </si>
  <si>
    <t>REC-7828-MB00-4466</t>
  </si>
  <si>
    <t>17:02:00</t>
  </si>
  <si>
    <t>REC-5585-A2XB-83830</t>
  </si>
  <si>
    <t>18:34:53</t>
  </si>
  <si>
    <t>REC-191-A381-983162</t>
  </si>
  <si>
    <t>19:56:47</t>
  </si>
  <si>
    <t>20210405</t>
  </si>
  <si>
    <t>REC-7492-A6NE-19859</t>
  </si>
  <si>
    <t>16:59:45</t>
  </si>
  <si>
    <t>REC-3422-A25Y-110741</t>
  </si>
  <si>
    <t>17:37:46</t>
  </si>
  <si>
    <t>REC-3422-A25Y-110742</t>
  </si>
  <si>
    <t>17:38:25</t>
  </si>
  <si>
    <t>REC-4866-A1XE-932139</t>
  </si>
  <si>
    <t>09:19:02</t>
  </si>
  <si>
    <t>REC-3784-ATA2-188425</t>
  </si>
  <si>
    <t>10:43:31</t>
  </si>
  <si>
    <t>REC-3172-LIO4-256937</t>
  </si>
  <si>
    <t>10:47:51</t>
  </si>
  <si>
    <t>REC-245-BEJI-691883</t>
  </si>
  <si>
    <t>10:51:31</t>
  </si>
  <si>
    <t>REC-218-AYN0-321394</t>
  </si>
  <si>
    <t>11:08:06</t>
  </si>
  <si>
    <t>REC-3172-YIGY-290481</t>
  </si>
  <si>
    <t>11:09:42</t>
  </si>
  <si>
    <t>REC-609-A1M3-337678</t>
  </si>
  <si>
    <t>11:12:03</t>
  </si>
  <si>
    <t>REC-4976-A25U-7828</t>
  </si>
  <si>
    <t>11:21:51</t>
  </si>
  <si>
    <t>REC-072-KBN0-281075</t>
  </si>
  <si>
    <t>11:26:21</t>
  </si>
  <si>
    <t>REC-7057-A66Z-20666</t>
  </si>
  <si>
    <t>11:36:34</t>
  </si>
  <si>
    <t>REC-518-RI71-195343</t>
  </si>
  <si>
    <t>11:42:51</t>
  </si>
  <si>
    <t>REC-7916-AV03-1467</t>
  </si>
  <si>
    <t>11:53:44</t>
  </si>
  <si>
    <t>REC-7764-SS85-1234</t>
  </si>
  <si>
    <t>12:05:00</t>
  </si>
  <si>
    <t>REC-3172-YIHD-262339</t>
  </si>
  <si>
    <t>12:31:05</t>
  </si>
  <si>
    <t>1400500466</t>
  </si>
  <si>
    <t>23923316</t>
  </si>
  <si>
    <t>REC-7100-A69T-16477</t>
  </si>
  <si>
    <t>13:19:55</t>
  </si>
  <si>
    <t>REC-348-AB9D-163877</t>
  </si>
  <si>
    <t>13:26:47</t>
  </si>
  <si>
    <t>0962651758</t>
  </si>
  <si>
    <t>3908235</t>
  </si>
  <si>
    <t>REC-4960-A1QG-113844</t>
  </si>
  <si>
    <t>13:49:31</t>
  </si>
  <si>
    <t>REC-348-AB9D-163895</t>
  </si>
  <si>
    <t>13:49:55</t>
  </si>
  <si>
    <t>REC-3577-A1IU-170350</t>
  </si>
  <si>
    <t>14:09:56</t>
  </si>
  <si>
    <t>REC-7366-Y05Q-22943</t>
  </si>
  <si>
    <t>14:31:55</t>
  </si>
  <si>
    <t>REC-3371-EFX5-193440</t>
  </si>
  <si>
    <t>15:05:39</t>
  </si>
  <si>
    <t>REC-609-A3AI-104203</t>
  </si>
  <si>
    <t>15:12:57</t>
  </si>
  <si>
    <t>REC-543-U5H7-582173</t>
  </si>
  <si>
    <t>15:13:18</t>
  </si>
  <si>
    <t>REC-3371-A1DS-233573</t>
  </si>
  <si>
    <t>REC-3182-YQHD-282571</t>
  </si>
  <si>
    <t>15:48:52</t>
  </si>
  <si>
    <t>REC-3577-A1IU-170415</t>
  </si>
  <si>
    <t>16:00:58</t>
  </si>
  <si>
    <t>REC-5310-Z4YZ-913969</t>
  </si>
  <si>
    <t>08:20:39</t>
  </si>
  <si>
    <t>20210404</t>
  </si>
  <si>
    <t>REC-3520-A1CH-283251</t>
  </si>
  <si>
    <t>09:01:24</t>
  </si>
  <si>
    <t>REC-3520-A1CH-283271</t>
  </si>
  <si>
    <t>10:59:54</t>
  </si>
  <si>
    <t>REC-3370-A6JI-276323</t>
  </si>
  <si>
    <t>11:33:28</t>
  </si>
  <si>
    <t>REC-3187-A2UE-61174</t>
  </si>
  <si>
    <t>12:49:40</t>
  </si>
  <si>
    <t>0919506006</t>
  </si>
  <si>
    <t>3908111</t>
  </si>
  <si>
    <t>REC-3370-A6JI-276342</t>
  </si>
  <si>
    <t>14:07:57</t>
  </si>
  <si>
    <t>REC-4301-IAI1-895433</t>
  </si>
  <si>
    <t>09:24:29</t>
  </si>
  <si>
    <t>20210403</t>
  </si>
  <si>
    <t>REC-3809-A2FM-141032</t>
  </si>
  <si>
    <t>09:46:27</t>
  </si>
  <si>
    <t>REC-3023-IZCF-592415</t>
  </si>
  <si>
    <t>10:28:24</t>
  </si>
  <si>
    <t>REC-3370-A6JI-276228</t>
  </si>
  <si>
    <t>10:55:34</t>
  </si>
  <si>
    <t>REC-3295-1T8D-185609</t>
  </si>
  <si>
    <t>11:25:58</t>
  </si>
  <si>
    <t>0908598196001</t>
  </si>
  <si>
    <t>3902347</t>
  </si>
  <si>
    <t>REC-008-PB65-398109</t>
  </si>
  <si>
    <t>12:08:06</t>
  </si>
  <si>
    <t>3908679</t>
  </si>
  <si>
    <t>REC-008-PB65-398110</t>
  </si>
  <si>
    <t>REC-3370-A6JI-276248</t>
  </si>
  <si>
    <t>12:09:09</t>
  </si>
  <si>
    <t>3900303</t>
  </si>
  <si>
    <t>REC-008-PB65-398111</t>
  </si>
  <si>
    <t>12:09:46</t>
  </si>
  <si>
    <t>REC-348-AB9D-163530</t>
  </si>
  <si>
    <t>12:36:16</t>
  </si>
  <si>
    <t>3908226</t>
  </si>
  <si>
    <t>REC-008-PB64-392298</t>
  </si>
  <si>
    <t>13:16:34</t>
  </si>
  <si>
    <t>0927178616</t>
  </si>
  <si>
    <t>3903358</t>
  </si>
  <si>
    <t>REC-609-A1M3-337427</t>
  </si>
  <si>
    <t>13:20:50</t>
  </si>
  <si>
    <t>REC-008-PB64-392304</t>
  </si>
  <si>
    <t>13:26:51</t>
  </si>
  <si>
    <t>REC-072-GPG1-228896</t>
  </si>
  <si>
    <t>13:38:12</t>
  </si>
  <si>
    <t>REC-7828-LV64-5212</t>
  </si>
  <si>
    <t>14:42:46</t>
  </si>
  <si>
    <t>REC-3187-A2UB-173224</t>
  </si>
  <si>
    <t>15:09:50</t>
  </si>
  <si>
    <t>REC-3792-A39T-134339</t>
  </si>
  <si>
    <t>15:28:39</t>
  </si>
  <si>
    <t>REC-4960-A1QG-113666</t>
  </si>
  <si>
    <t>15:31:13</t>
  </si>
  <si>
    <t>0910644608</t>
  </si>
  <si>
    <t>3903581</t>
  </si>
  <si>
    <t>REC-4257-A221-144909</t>
  </si>
  <si>
    <t>09:15:00</t>
  </si>
  <si>
    <t>20210402</t>
  </si>
  <si>
    <t>0952422434</t>
  </si>
  <si>
    <t>3907182</t>
  </si>
  <si>
    <t>REC-4963-A3A0-881766</t>
  </si>
  <si>
    <t>10:19:39</t>
  </si>
  <si>
    <t>REC-3371-EGEG-273184</t>
  </si>
  <si>
    <t>10:57:37</t>
  </si>
  <si>
    <t>REC-7545-PS31-9448</t>
  </si>
  <si>
    <t>11:41:00</t>
  </si>
  <si>
    <t>REC-223-V7XD-292927</t>
  </si>
  <si>
    <t>13:32:05</t>
  </si>
  <si>
    <t>REC-4301-IAI1-889619</t>
  </si>
  <si>
    <t>REC-3095-T359-445876</t>
  </si>
  <si>
    <t>15:44:17</t>
  </si>
  <si>
    <t>REC-7779-SS95-889975</t>
  </si>
  <si>
    <t>15:49:20</t>
  </si>
  <si>
    <t>REC-4966-A3Z7-890618</t>
  </si>
  <si>
    <t>16:23:22</t>
  </si>
  <si>
    <t>REC-3182-YQHE-252308</t>
  </si>
  <si>
    <t>17:23:07</t>
  </si>
  <si>
    <t>REC-4963-A3A0-892832</t>
  </si>
  <si>
    <t>18:48:06</t>
  </si>
  <si>
    <t>REC-3172-LIO3-83579</t>
  </si>
  <si>
    <t>09:52:29</t>
  </si>
  <si>
    <t>20210401</t>
  </si>
  <si>
    <t>REC-3520-A1CH-282803</t>
  </si>
  <si>
    <t>10:58:52</t>
  </si>
  <si>
    <t>0906919519</t>
  </si>
  <si>
    <t>3908677</t>
  </si>
  <si>
    <t>REC-944-PR10-441690</t>
  </si>
  <si>
    <t>11:25:33</t>
  </si>
  <si>
    <t>REC-008-PB64-392201</t>
  </si>
  <si>
    <t>11:29:41</t>
  </si>
  <si>
    <t>REC-5762-FE91-855183</t>
  </si>
  <si>
    <t>11:40:32</t>
  </si>
  <si>
    <t>REC-3200-SAMD-284818</t>
  </si>
  <si>
    <t>11:47:54</t>
  </si>
  <si>
    <t>REC-3371-EGEG-273076</t>
  </si>
  <si>
    <t>12:38:16</t>
  </si>
  <si>
    <t>0913381067</t>
  </si>
  <si>
    <t>3900392</t>
  </si>
  <si>
    <t>REC-5919-PRA9-860990</t>
  </si>
  <si>
    <t>13:27:44</t>
  </si>
  <si>
    <t>REC-011-JVA0-529156</t>
  </si>
  <si>
    <t>14:05:47</t>
  </si>
  <si>
    <t>0908754492</t>
  </si>
  <si>
    <t>3930197</t>
  </si>
  <si>
    <t>REC-5801-PRI3-862887</t>
  </si>
  <si>
    <t>14:09:31</t>
  </si>
  <si>
    <t>0993053848001</t>
  </si>
  <si>
    <t>3930221</t>
  </si>
  <si>
    <t>REC-028-A3ZW-82713</t>
  </si>
  <si>
    <t>14:24:07</t>
  </si>
  <si>
    <t>1706787288</t>
  </si>
  <si>
    <t>3907771</t>
  </si>
  <si>
    <t>REC-046-AFER-637250</t>
  </si>
  <si>
    <t>14:41:49</t>
  </si>
  <si>
    <t>REC-7779-SS95-868611</t>
  </si>
  <si>
    <t>16:00:52</t>
  </si>
  <si>
    <t>REC-7451-QPQ1-14446</t>
  </si>
  <si>
    <t>0923215925</t>
  </si>
  <si>
    <t>3902422</t>
  </si>
  <si>
    <t>REC-4654-ART3-870042</t>
  </si>
  <si>
    <t>16:30:33</t>
  </si>
  <si>
    <t>REC-4352-A194-55789</t>
  </si>
  <si>
    <t>16:44:12</t>
  </si>
  <si>
    <t>REC-3295-1TWC-233249</t>
  </si>
  <si>
    <t>17:27:58</t>
  </si>
  <si>
    <t>REC-027-A40B-86967</t>
  </si>
  <si>
    <t>17:37:36</t>
  </si>
  <si>
    <t>WESTERN UNION MES DE ABRIL</t>
  </si>
  <si>
    <t>BCO PACIFICO MES DE ABRIL</t>
  </si>
  <si>
    <t>3907489</t>
  </si>
  <si>
    <t>3909808</t>
  </si>
  <si>
    <t>3909157</t>
  </si>
  <si>
    <t>3908209</t>
  </si>
  <si>
    <t>3902509</t>
  </si>
  <si>
    <t xml:space="preserve">SOLUCIONES WANDARINA SA                 </t>
  </si>
  <si>
    <t xml:space="preserve">LUIS ENRIQUE APOLINARIO ROJAS           </t>
  </si>
  <si>
    <t>3900576</t>
  </si>
  <si>
    <t>3950328</t>
  </si>
  <si>
    <t>3945262</t>
  </si>
  <si>
    <t>3960264</t>
  </si>
  <si>
    <t>3909981</t>
  </si>
  <si>
    <t>3960232</t>
  </si>
  <si>
    <t>3906324</t>
  </si>
  <si>
    <t>3920281</t>
  </si>
  <si>
    <t>3945272</t>
  </si>
  <si>
    <t>3909223</t>
  </si>
  <si>
    <t>3900389</t>
  </si>
  <si>
    <t>3903282</t>
  </si>
  <si>
    <t>3901113</t>
  </si>
  <si>
    <t>3900676</t>
  </si>
  <si>
    <t>3960256</t>
  </si>
  <si>
    <t>3903098</t>
  </si>
  <si>
    <t>3903061</t>
  </si>
  <si>
    <t>3903883</t>
  </si>
  <si>
    <t>3909039</t>
  </si>
  <si>
    <t>3960277</t>
  </si>
  <si>
    <t>3902419</t>
  </si>
  <si>
    <t>3945435</t>
  </si>
  <si>
    <t>3903127</t>
  </si>
  <si>
    <t>3945105</t>
  </si>
  <si>
    <t>3907541</t>
  </si>
  <si>
    <t>3945284</t>
  </si>
  <si>
    <t>3945102</t>
  </si>
  <si>
    <t>3907239</t>
  </si>
  <si>
    <t>3960315</t>
  </si>
  <si>
    <t>3900349</t>
  </si>
  <si>
    <t>3900568</t>
  </si>
  <si>
    <t>3901398</t>
  </si>
  <si>
    <t>3902750</t>
  </si>
  <si>
    <t>3960364</t>
  </si>
  <si>
    <t>3903364</t>
  </si>
  <si>
    <t>3909936</t>
  </si>
  <si>
    <t>3950033</t>
  </si>
  <si>
    <t>3900657</t>
  </si>
  <si>
    <t>3900340</t>
  </si>
  <si>
    <t>3900344</t>
  </si>
  <si>
    <t>3909007</t>
  </si>
  <si>
    <t>3930195</t>
  </si>
  <si>
    <t>3945038</t>
  </si>
  <si>
    <t>3901033</t>
  </si>
  <si>
    <t>3906796</t>
  </si>
  <si>
    <t>3908672</t>
  </si>
  <si>
    <t>3908716</t>
  </si>
  <si>
    <t xml:space="preserve">SANGUNA RON TANIA GRICELDA              </t>
  </si>
  <si>
    <t xml:space="preserve">ROSANA LETICIA VIOLA                    </t>
  </si>
  <si>
    <t xml:space="preserve">AMBALY ASHOKAN                          </t>
  </si>
  <si>
    <t xml:space="preserve">SORIANO SUAREZ GUILBERT SAUL            </t>
  </si>
  <si>
    <t xml:space="preserve">JUMBO NARANJO LORENA DE LOURDE          </t>
  </si>
  <si>
    <t xml:space="preserve">ESPIN PEREZ JOSE XAVIER                 </t>
  </si>
  <si>
    <t xml:space="preserve">ASOCIACION DE PROPIETARIOS VAL          </t>
  </si>
  <si>
    <t xml:space="preserve">FUNDACION AVSI                          </t>
  </si>
  <si>
    <t xml:space="preserve">RCN CONSTRUCIONES SA                    </t>
  </si>
  <si>
    <t xml:space="preserve">ARCENTALES DOMINGUEZ JOSE LEON          </t>
  </si>
  <si>
    <t xml:space="preserve">FREDDY MAURICIO SARANGO MARTIN          </t>
  </si>
  <si>
    <t xml:space="preserve">ANDRES GONZALO CELI PEREZ               </t>
  </si>
  <si>
    <t xml:space="preserve">WAN CHEN ZULEIKA                        </t>
  </si>
  <si>
    <t xml:space="preserve">ZHU ZHIPENG                             </t>
  </si>
  <si>
    <t xml:space="preserve">WILSON ISMAEL MIRANDA POZO              </t>
  </si>
  <si>
    <t xml:space="preserve">MINO DOYLET YOLANDA ABIGAIL             </t>
  </si>
  <si>
    <t xml:space="preserve">ADUANOVACORP SA                         </t>
  </si>
  <si>
    <t xml:space="preserve">AVEIGA PAINI CARLOS ENRIQUE             </t>
  </si>
  <si>
    <t>DEPOSITO#1997095941</t>
  </si>
  <si>
    <t>INTERMATICO#4986121</t>
  </si>
  <si>
    <t>N/D PACIFICO TRANSF. ROLES DE PAGO 2DO TRIMESTRE MES DE MAYO 2021</t>
  </si>
  <si>
    <t>NDL-62</t>
  </si>
  <si>
    <t>N/D PACIFICO TRANSF. CANCELACIÓN DE FACTURA#441 BAQUERIZO DAVILA PABLO JONATHAN</t>
  </si>
  <si>
    <t>N/D PACIFICO TRASNF. REEMBOLSO A MANUEL MERELO POR MOVILIZACIÓN Y COMPRAS VARIAS DÍAS 14 AL 28 MAYO 2021</t>
  </si>
  <si>
    <t>N/D PACIFICO TRANSF. CANCELACIÓN DE FACTURA#140 BAQUE BAQUE BYRON PAUL Y FACTURA#113 ESTUPIÑAN ANDRADE FRANCISCO JAVIER</t>
  </si>
  <si>
    <t>Fact#: 360187-362708 Rec#: 18165 LINO VILLEGAS ANGEL ALFONSO</t>
  </si>
  <si>
    <t>IC-8415</t>
  </si>
  <si>
    <t>Fact#: 356599-359070-361587 Rec#: 33313 DAGER PESANTES OMAR ALEJANDRO</t>
  </si>
  <si>
    <t>IC-7609</t>
  </si>
  <si>
    <t>Fact#: 360656 Rec#: 33315 CAMPOS VELEZ HENRRY GONZALO</t>
  </si>
  <si>
    <t>IC-7563</t>
  </si>
  <si>
    <t>Fact#: 360714 Rec#: 33314 LA CASA DEL MEDICO LACASADELMEDICO S.A.</t>
  </si>
  <si>
    <t>IC-7562</t>
  </si>
  <si>
    <t>Fact#: 362000 Rec#: 33312 HERNANDEZ GOMEZ EDDY MAXIMO</t>
  </si>
  <si>
    <t>IC-7560</t>
  </si>
  <si>
    <t>Fact#: 359885-362401 Rec#: 33311 PRADO FRANCO ANDREA JACQUELINE</t>
  </si>
  <si>
    <t>IC-7559</t>
  </si>
  <si>
    <t>Fact#: 358920-361440 Rec#: 33310 JUAN CARLOS MARTINEZ FASSIO</t>
  </si>
  <si>
    <t>IC-7558</t>
  </si>
  <si>
    <t>Fact#: 361589 Rec#: 33309 VARGAS TORRES ZENIA</t>
  </si>
  <si>
    <t>IC-7557</t>
  </si>
  <si>
    <t>Fact#: 359622-362139 Rec#: 33308 JIMENEZ ALVAREZ GARY WINDER</t>
  </si>
  <si>
    <t>IC-7556</t>
  </si>
  <si>
    <t>Fact#: 359906-362423 Rec#: 33302 JARAMILLO JALON JOSE GABRIEL</t>
  </si>
  <si>
    <t>IC-7549</t>
  </si>
  <si>
    <t>Fact#: 362469 Rec#: 33301 CAGUANA VELESACA NORMA ALEXANDRA</t>
  </si>
  <si>
    <t>IC-7544</t>
  </si>
  <si>
    <t>Fact#: 360826 Rec#: 33300 ROMCOEL S.A.</t>
  </si>
  <si>
    <t>IC-7543</t>
  </si>
  <si>
    <t>Fact#: 360095 Rec#: 33299 CAMPOSANO VACA GLENDA MARJORIE</t>
  </si>
  <si>
    <t>IC-7542</t>
  </si>
  <si>
    <t>Fact#: 360021-362535 Rec#: 33298 BATTEN SORIANO CARLOS ARTURO</t>
  </si>
  <si>
    <t>IC-7539</t>
  </si>
  <si>
    <t>GASTO BANCARIO PACIFICO #4411625-11744-22745-22853-33811-33893-43490-43573-53089-53138-85067-85149-95796-95908-04984-4505047-04984-05047-13788-13885-24058-24128-42453-42539-50674-50737-58805-58895-66542-66653-75072-75112-4605157-05233-14483-14566-23084-23</t>
  </si>
  <si>
    <t>DR-1925</t>
  </si>
  <si>
    <t>NARANJO BENITES LUIS ALBERTO CANCELA TELEFONO 3907960 ABONA SGTE FACTURA,  BCO PACIFICO POR VENTANILLA</t>
  </si>
  <si>
    <t>AT-3291</t>
  </si>
  <si>
    <t>Fact#: 362243 Rec#: 33297 GUALAN HIDALGO MARCO ANTONIO</t>
  </si>
  <si>
    <t>IC-7537</t>
  </si>
  <si>
    <t>Fact#: 362406 Rec#: 18160 PRECIADO SALVATIERRA PATRICIA PAOLA</t>
  </si>
  <si>
    <t>IC-7515</t>
  </si>
  <si>
    <t>Fact#: 356713-359185-361708 Rec#: 18159 AGUILAR CARDENAS EDWIN MARCELO</t>
  </si>
  <si>
    <t>IC-7513</t>
  </si>
  <si>
    <t>Fact#: 357804-360274-362777 Rec#: 18158 BOHORQUEZ MITE GENESIS KARLA</t>
  </si>
  <si>
    <t>IC-7512</t>
  </si>
  <si>
    <t>Fact#: 359757-362272 Rec#: 18157 LAUZO MARISCAL MANUEL DAVID</t>
  </si>
  <si>
    <t>IC-7511</t>
  </si>
  <si>
    <t>Fact#: 359845-362359 Rec#: 18156 MOSCOSO MEJIA GUSTAVO ANTONIO</t>
  </si>
  <si>
    <t>IC-7510</t>
  </si>
  <si>
    <t>FERNANDEZ ZAMBRANO ELSA VIOLETA CANCELA TELEFONO 3900566 ABONA SGTE FACTURA, PAGO WESTERN UNION</t>
  </si>
  <si>
    <t>AT-3289</t>
  </si>
  <si>
    <t>Fact#: 359349-361874 Rec#: 33295 PALADINES RODRIGUEZ VICTOR EMILIO</t>
  </si>
  <si>
    <t>IC-7524</t>
  </si>
  <si>
    <t>Fact#: 361464-362457 Rec#: 33294 ANGEL ROGELIO PUMA MEDINA</t>
  </si>
  <si>
    <t>IC-7523</t>
  </si>
  <si>
    <t>Fact#: 359872-362387 Rec#: 18155 GOMEZ ALCIVAR RUBER GIL</t>
  </si>
  <si>
    <t>IC-7509</t>
  </si>
  <si>
    <t>Fact#: 362603 Rec#: 18154 SANCHEZ MENDOZA ANA ADELA</t>
  </si>
  <si>
    <t>IC-7507</t>
  </si>
  <si>
    <t>Fact#: 361460 Rec#: 18153 LISETTE VICTORIA FRANCO CASTRO</t>
  </si>
  <si>
    <t>IC-7506</t>
  </si>
  <si>
    <t>Fact#: 362084 Rec#: 18152 SANCHEZ AGUILAR SORAYA PATRICIA</t>
  </si>
  <si>
    <t>IC-7505</t>
  </si>
  <si>
    <t>Fact#: 360988 Rec#: 18151 ANGELA MARIA ANA  FERAUD MANSSUR</t>
  </si>
  <si>
    <t>IC-7504</t>
  </si>
  <si>
    <t>Fact#: 357198-359662-362179 Rec#: 18150 MENDEZ CARABALI FREDDY MANUEL</t>
  </si>
  <si>
    <t>IC-7503</t>
  </si>
  <si>
    <t>Fact#: 353850-356271-358752 Rec#: 18149 SEGUNDO PATRICIO ALMACHE AGUIRRE</t>
  </si>
  <si>
    <t>IC-7502</t>
  </si>
  <si>
    <t>Fact#: 361195 Rec#: 18148 JESSICA LORENA TRIANA VELIS</t>
  </si>
  <si>
    <t>IC-7501</t>
  </si>
  <si>
    <t>Fact#: 361619 Rec#: 18147 RUIZ ZAMBRANO JUAN MANUEL</t>
  </si>
  <si>
    <t>IC-7500</t>
  </si>
  <si>
    <t>Fact#: 362067 Rec#: 18146 CABELLO CHIRIGUAYA DAVID ELIAS</t>
  </si>
  <si>
    <t>IC-7499</t>
  </si>
  <si>
    <t>Fact#: 362884 Rec#: 18145 GONZALEZ CHINEA HUMBERTO</t>
  </si>
  <si>
    <t>IC-7498</t>
  </si>
  <si>
    <t xml:space="preserve">Fact#: 357811-360281-362784 Rec#: 33293 ZURITA LOPEZ MICHAEL XAVIER </t>
  </si>
  <si>
    <t>IC-7495</t>
  </si>
  <si>
    <t xml:space="preserve">Fact#: 362052 Rec#: 18142 PARRALES CABRERA TEOFILO CELESTINO </t>
  </si>
  <si>
    <t>IC-7494</t>
  </si>
  <si>
    <t xml:space="preserve">Fact#: 357010-359477-362001 Rec#: 18141 CUEVA SAREZ JENNIFER STEFANIA </t>
  </si>
  <si>
    <t>IC-7493</t>
  </si>
  <si>
    <t xml:space="preserve">Fact#: 350277-352545-354888 Rec#: 18140 CHICA GARCIA DEISY KARINA </t>
  </si>
  <si>
    <t>IC-7492</t>
  </si>
  <si>
    <t xml:space="preserve">Fact#: 362097 Rec#: 18139 CHANCAY SOLEDISPA VICTOR MANUEL </t>
  </si>
  <si>
    <t>IC-7491</t>
  </si>
  <si>
    <t xml:space="preserve">Fact#: 4296-4521 Rec#: 18138 CRUZ JOSE AMABLE </t>
  </si>
  <si>
    <t>IC-7490</t>
  </si>
  <si>
    <t xml:space="preserve">Fact#: 361882 Rec#: 18137 ROMMEL ANTONIO ZAMORA TRIGUERO </t>
  </si>
  <si>
    <t>IC-7489</t>
  </si>
  <si>
    <t xml:space="preserve">Fact#: 4517 Rec#: 18136 TIO ALVAREZ ADRIAN </t>
  </si>
  <si>
    <t>IC-7488</t>
  </si>
  <si>
    <t xml:space="preserve">Fact#: 361356 Rec#: 18135 EDUARDO CAMPOSANO ULLOA </t>
  </si>
  <si>
    <t>IC-7487</t>
  </si>
  <si>
    <t xml:space="preserve">Fact#: 359668-362186 Rec#: 18134 MEDINA MORA IVAN ALEXANDER </t>
  </si>
  <si>
    <t>IC-7486</t>
  </si>
  <si>
    <t xml:space="preserve">Fact#: 361800 Rec#: 18133 BUENAVENTURA RODRIGUEZ MARIA DEL CARMEN </t>
  </si>
  <si>
    <t>IC-7485</t>
  </si>
  <si>
    <t xml:space="preserve">Fact#: 337752-340744-344268 Rec#: 18132 BARCO LOOR ALEXANDRA JACQUELINE </t>
  </si>
  <si>
    <t>IC-7484</t>
  </si>
  <si>
    <t xml:space="preserve">Fact#: 359008-361526 Rec#: 18131 RUIZ VELEZ LIBIA KARINA </t>
  </si>
  <si>
    <t>IC-7483</t>
  </si>
  <si>
    <t xml:space="preserve">Fact#: 362487 Rec#: 18130 SORIA LAMAN HARRY SUN </t>
  </si>
  <si>
    <t>IC-7482</t>
  </si>
  <si>
    <t xml:space="preserve">Fact#: 359313-361837 Rec#: 18129 ALVARADO HOLGUIN HENRRY EDUARDO </t>
  </si>
  <si>
    <t>IC-7481</t>
  </si>
  <si>
    <t xml:space="preserve">Fact#: 361093 Rec#: 18128 LISETTE JOHANNA MEZA VEGA </t>
  </si>
  <si>
    <t>IC-7480</t>
  </si>
  <si>
    <t xml:space="preserve">Fact#: 356194-358676-361202 Rec#: 18127 MARIA ELIZABETH SANTOS MACIAS </t>
  </si>
  <si>
    <t>IC-7479</t>
  </si>
  <si>
    <t xml:space="preserve">Fact#: 351538-353865-356286 Rec#: 18126 MARTHA WENDY VILLEGAS MONTOYA </t>
  </si>
  <si>
    <t>IC-7478</t>
  </si>
  <si>
    <t xml:space="preserve">Fact#: 362724 Rec#: 18125 MORANTE AVILA CESAR HIPOLITO </t>
  </si>
  <si>
    <t>IC-7477</t>
  </si>
  <si>
    <t xml:space="preserve">Fact#: 361020 Rec#: 18124 ALVARADO PIGUAVE CAROLIN JANET </t>
  </si>
  <si>
    <t>IC-7476</t>
  </si>
  <si>
    <t xml:space="preserve">Fact#: 361766 Rec#: 18123 MEDINA BORJA LEONARDO JAVIER </t>
  </si>
  <si>
    <t>IC-7475</t>
  </si>
  <si>
    <t xml:space="preserve">Fact#: 358503-361039 Rec#: 18122 DE LUCCA MEJIA ROSA ELVIRA </t>
  </si>
  <si>
    <t>IC-7474</t>
  </si>
  <si>
    <t xml:space="preserve">Fact#: 361583 Rec#: 18121 HOLGUIN SUAREZ NELSON AMADOR </t>
  </si>
  <si>
    <t>IC-7473</t>
  </si>
  <si>
    <t>ALEXANDER WELLINGTON ALVARADO CARRIEL ABONA SGTE FACTURA, PAGO WESTERN UNION</t>
  </si>
  <si>
    <t>AT-3288</t>
  </si>
  <si>
    <t>Fact#: 361165 Rec#: 33307 KEVIN ALEXANDER PINO BERMELLO</t>
  </si>
  <si>
    <t>IC-7555</t>
  </si>
  <si>
    <t>Fact#: 358281-360819 Rec#: 33306 MAXIPAPER S.A</t>
  </si>
  <si>
    <t>IC-7554</t>
  </si>
  <si>
    <t>Fact#: 356550-359025-361542 Rec#: 33305 CARRIEL DELGADO SIRLYS JADIRA</t>
  </si>
  <si>
    <t>IC-7553</t>
  </si>
  <si>
    <t>Fact#: 357985-360522 Rec#: 33304 SERVICITY C A</t>
  </si>
  <si>
    <t>IC-7552</t>
  </si>
  <si>
    <t>Fact#: 359891-362407 Rec#: 33303 ARMIJOS SALAZAR ANA ISABEL</t>
  </si>
  <si>
    <t>IC-7551</t>
  </si>
  <si>
    <t>Fact#: 360835 Rec#: 33296 Corporación Nacional de Telecomunicaciones-CNT EP</t>
  </si>
  <si>
    <t>IC-7536</t>
  </si>
  <si>
    <t>Fact#: 360836 Rec#: 33292 Corporación Nacional de Telecomunicaciones-CNT EP</t>
  </si>
  <si>
    <t>IC-7472</t>
  </si>
  <si>
    <t xml:space="preserve">Fact#: 358544 Rec#: 33291 MARIA CRISTINA LOAIZA BREVI </t>
  </si>
  <si>
    <t>IC-7470</t>
  </si>
  <si>
    <t xml:space="preserve">Fact#: 362638 Rec#: 18120 MENDOZA VELEZ CARLOS DAMIAN </t>
  </si>
  <si>
    <t>IC-7426</t>
  </si>
  <si>
    <t xml:space="preserve">Fact#: 359423-361948 Rec#: 18119 CEDENO MARCILLO IRMA JANETH </t>
  </si>
  <si>
    <t>IC-7425</t>
  </si>
  <si>
    <t>Fact#: 362848 Rec#: 33289 AVEIGA PAINI CARLOS ENRIQUE</t>
  </si>
  <si>
    <t>IC-7429</t>
  </si>
  <si>
    <t>Fact#: 359404-361929 Rec#: 33290 VELIZ CASTRO RICARDO XAVIER</t>
  </si>
  <si>
    <t>IC-7428</t>
  </si>
  <si>
    <t xml:space="preserve">Fact#: 4299-4524 Rec#: 18118 VELEZ CHAVARRIA FRANCISCA MARIA </t>
  </si>
  <si>
    <t>IC-7424</t>
  </si>
  <si>
    <t xml:space="preserve">Fact#: 360959 Rec#: 18117 OSCAR HUMBERTO  BRITO GUILLEN </t>
  </si>
  <si>
    <t>IC-7423</t>
  </si>
  <si>
    <t xml:space="preserve">Fact#: 361179 Rec#: 18116 ANDREA CANAHUATI CHAIN </t>
  </si>
  <si>
    <t>IC-7422</t>
  </si>
  <si>
    <t xml:space="preserve">Fact#: 361819 Rec#: 18115 MAYEZA REGALADO JIMMY HARRY </t>
  </si>
  <si>
    <t>IC-7421</t>
  </si>
  <si>
    <t xml:space="preserve">Fact#: 359925-362441 Rec#: 18114 ALVARADO CALDERON LUIS ENRIQUE </t>
  </si>
  <si>
    <t>IC-7420</t>
  </si>
  <si>
    <t xml:space="preserve">Fact#: 4536 Rec#: 18113 JARAMILLO MONTANO JESSICA XIMENA </t>
  </si>
  <si>
    <t>IC-7419</t>
  </si>
  <si>
    <t xml:space="preserve">Fact#: 361065 Rec#: 18112 MARIA PIEDAD MONTALVAN CAMPOVERDE </t>
  </si>
  <si>
    <t>IC-7418</t>
  </si>
  <si>
    <t xml:space="preserve">Fact#: 359730-362245 Rec#: 18111 PONCE BURGOS NORMA ISABEL  </t>
  </si>
  <si>
    <t>IC-7417</t>
  </si>
  <si>
    <t xml:space="preserve">Fact#: 359731-362246 Rec#: 18110 PONCE BURGOS NORMA ISABEL  </t>
  </si>
  <si>
    <t>IC-7416</t>
  </si>
  <si>
    <t xml:space="preserve">Fact#: 360943 Rec#: 18109 HENRRY ALBERTO ALCIVAR AREVALO </t>
  </si>
  <si>
    <t>IC-7415</t>
  </si>
  <si>
    <t xml:space="preserve">Fact#: 361868 Rec#: 18108 YUNEZ PARRA JOSE MIGUEL </t>
  </si>
  <si>
    <t>IC-7414</t>
  </si>
  <si>
    <t xml:space="preserve">Fact#: 361866 Rec#: 18107 YUNEZ PARRA JOSE MIGUEL </t>
  </si>
  <si>
    <t>IC-7413</t>
  </si>
  <si>
    <t xml:space="preserve">Fact#: 360356-362856 Rec#: 18106 VILLACIS DE LA CADENA TEODORA </t>
  </si>
  <si>
    <t>IC-7412</t>
  </si>
  <si>
    <t xml:space="preserve">Fact#: 360355-362855 Rec#: 18105 HEINERT VILLACIS LEONARDO ANTONIO </t>
  </si>
  <si>
    <t>IC-7411</t>
  </si>
  <si>
    <t xml:space="preserve">Fact#: 359648-362164 Rec#: 18104 VERDUGA CANARTE ANTONIO ZABULON </t>
  </si>
  <si>
    <t>IC-7410</t>
  </si>
  <si>
    <t xml:space="preserve">Fact#: 356650-359120-361641 Rec#: 18103 BAÑOS BARRAGAN FLOR AMERICA </t>
  </si>
  <si>
    <t>IC-7409</t>
  </si>
  <si>
    <t xml:space="preserve">Fact#: 4428 Rec#: 18102 RODRIGUEZ GUEVARA MARIA AUGUSTA </t>
  </si>
  <si>
    <t>IC-7408</t>
  </si>
  <si>
    <t xml:space="preserve">Fact#: 362493 Rec#: 18101 PADILLA ALVAREZ JUAN LEONARDO </t>
  </si>
  <si>
    <t>IC-7407</t>
  </si>
  <si>
    <t xml:space="preserve">Fact#: 361477 Rec#: 18100 TOMALA SANCAN JORGE LUIS </t>
  </si>
  <si>
    <t>IC-7406</t>
  </si>
  <si>
    <t xml:space="preserve">Fact#: 361625 Rec#: 18099 TOMALA SANCAN JORGE LUIS </t>
  </si>
  <si>
    <t>IC-7405</t>
  </si>
  <si>
    <t xml:space="preserve">Fact#: 359450-361975 Rec#: 18098 TENORIO PRECIADO SUSANA MIRELLA </t>
  </si>
  <si>
    <t>IC-7404</t>
  </si>
  <si>
    <t xml:space="preserve">Fact#: 357051-359518-362038 Rec#: 18097 VERA VELOZ LISSETTE IRENE </t>
  </si>
  <si>
    <t>IC-7403</t>
  </si>
  <si>
    <t xml:space="preserve">Fact#: 361872 Rec#: 18096 VELASTEGUI COELLAR MICHAEL PATRICIO </t>
  </si>
  <si>
    <t>IC-7402</t>
  </si>
  <si>
    <t xml:space="preserve">Fact#: 361084 Rec#: 18095 CESAR AUGUSTO BAQUERIZO AROSEMENA </t>
  </si>
  <si>
    <t>IC-7401</t>
  </si>
  <si>
    <t xml:space="preserve">Fact#: 362167 Rec#: 18094 CASTRO AGUA MARLON JOSE </t>
  </si>
  <si>
    <t>IC-7400</t>
  </si>
  <si>
    <t xml:space="preserve">Fact#: 362418 Rec#: 18093 CUEVA VEGA EFREN </t>
  </si>
  <si>
    <t>IC-7399</t>
  </si>
  <si>
    <t>Fact#: 358565-361100 Rec#: 33288 CAROLINA AMALIA IDROVO PIEDRAHITA</t>
  </si>
  <si>
    <t>IC-7398</t>
  </si>
  <si>
    <t>Fact#: 359711-362227 Rec#: 33287 MONTES BRIONES JEFFERSON ANTONIO</t>
  </si>
  <si>
    <t>IC-7397</t>
  </si>
  <si>
    <t>Fact#: 361702 Rec#: 33286 SOXO QUICHIMBO IVONNE ALEXANDRA</t>
  </si>
  <si>
    <t>IC-7396</t>
  </si>
  <si>
    <t>Fact#: 358994-361513 Rec#: 33285 TENENUELA CEPEDA MARIA MANUELA</t>
  </si>
  <si>
    <t>IC-7395</t>
  </si>
  <si>
    <t>Fact#: 362800 Rec#: 33284 SOLANO BAIDAL ISABEL YAJAIRA</t>
  </si>
  <si>
    <t>IC-7394</t>
  </si>
  <si>
    <t>Fact#: 358334-360871 Rec#: 33283 FATIMA LEONOR AGUILAR MURILLO</t>
  </si>
  <si>
    <t>IC-7393</t>
  </si>
  <si>
    <t>Fact#: 362822 Rec#: 33282 GOMEZ AGUIRRE ANTONIO VICENTE</t>
  </si>
  <si>
    <t>IC-7392</t>
  </si>
  <si>
    <t>Fact#: 361502 Rec#: 33281 MINO DOYLET YOLANDA ABIGAIL</t>
  </si>
  <si>
    <t>IC-7391</t>
  </si>
  <si>
    <t>Fact#: 361206 Rec#: 33280 FEDERICO GUILLERMO VARAS CHIQUITO</t>
  </si>
  <si>
    <t>IC-7390</t>
  </si>
  <si>
    <t>Fact#: 359084-361602 Rec#: 33279 HERRERA DIAZ HIALINA AMALIA DE LAS ROSAS</t>
  </si>
  <si>
    <t>IC-7389</t>
  </si>
  <si>
    <t>Fact#: 357619-360094-362611 Rec#: 33278 AGUILAR TOLEDO MARCELA ALEJANDRA</t>
  </si>
  <si>
    <t>IC-7354</t>
  </si>
  <si>
    <t>Fact#: 357377-359844-362358 Rec#: 33277 STURLA GALLEGOS FELIPE NICOLAS</t>
  </si>
  <si>
    <t>IC-7353</t>
  </si>
  <si>
    <t>Fact#: 361043-361044 Rec#: 33276 LUIS DANIEL CHIANG GUERRERO</t>
  </si>
  <si>
    <t>IC-7352</t>
  </si>
  <si>
    <t xml:space="preserve">Fact#: 361432 Rec#: 18092 BEATRIZ MARIA DEL CARMEN PACHECO BALLESTEROS </t>
  </si>
  <si>
    <t>IC-7318</t>
  </si>
  <si>
    <t xml:space="preserve">Fact#: 358929-361449 Rec#: 18091 NEY AQUILES APOLINARIO RODRIGUEZ </t>
  </si>
  <si>
    <t>IC-7317</t>
  </si>
  <si>
    <t xml:space="preserve">Fact#: 358517-361052 Rec#: 18090 JULIO CESAR MONCAYO CRESPIN </t>
  </si>
  <si>
    <t>IC-7316</t>
  </si>
  <si>
    <t xml:space="preserve">Fact#: 358611-361141 Rec#: 18089 CARLOS IVAN AGUIRRE GARCIA </t>
  </si>
  <si>
    <t>IC-7315</t>
  </si>
  <si>
    <t xml:space="preserve">Fact#: 358492-361028 Rec#: 18088 HUGO RENE LUNA </t>
  </si>
  <si>
    <t>IC-7314</t>
  </si>
  <si>
    <t xml:space="preserve">Fact#: 361294 Rec#: 18087 JAVIER FEDERICO VILLON ANASTACIO </t>
  </si>
  <si>
    <t>IC-7313</t>
  </si>
  <si>
    <t xml:space="preserve">Fact#: 357819-360288-362792 Rec#: 18086 PINCAY BAQUE DAYSI PETRONILA </t>
  </si>
  <si>
    <t>IC-7312</t>
  </si>
  <si>
    <t xml:space="preserve">Fact#: 362837 Rec#: 18085 QUIMIS CHIQUITO LUPE DIONICIO </t>
  </si>
  <si>
    <t>IC-7311</t>
  </si>
  <si>
    <t xml:space="preserve">Fact#: 4322-4547 Rec#: 18084 CHAVEZ ZAMBRANO BRYAN SEBASTIAN </t>
  </si>
  <si>
    <t>IC-7310</t>
  </si>
  <si>
    <t xml:space="preserve">Fact#: 359298-361822 Rec#: 18083 INTRIAGO GANCHOZO ANGELA MERCEDES </t>
  </si>
  <si>
    <t>IC-7309</t>
  </si>
  <si>
    <t xml:space="preserve">Fact#: 360377-362879 Rec#: 18082 BAILON PEZO MERCEDES NATALIA </t>
  </si>
  <si>
    <t>IC-7308</t>
  </si>
  <si>
    <t xml:space="preserve">Fact#: 360215-362731 Rec#: 18081 GARCIA RUIZ ALEX ISRAEL </t>
  </si>
  <si>
    <t>IC-7307</t>
  </si>
  <si>
    <t xml:space="preserve">Fact#: 357335-359805-362318 Rec#: 18080 PENAFIEL MOSQUERA MIRNA LORGIA </t>
  </si>
  <si>
    <t>IC-7306</t>
  </si>
  <si>
    <t xml:space="preserve">Fact#: 359627-362144 Rec#: 18079 AMAGUAYA CHUQUI ANGEL DANIEL </t>
  </si>
  <si>
    <t>IC-7305</t>
  </si>
  <si>
    <t xml:space="preserve">Fact#: 358930-361450 Rec#: 18078 OSCAR LEONEL MONTERO HINOJOSA </t>
  </si>
  <si>
    <t>IC-7304</t>
  </si>
  <si>
    <t xml:space="preserve">Fact#: 360894 Rec#: 18077 MORAIMA SEMINARIO TOLEDO </t>
  </si>
  <si>
    <t>IC-7303</t>
  </si>
  <si>
    <t xml:space="preserve">Fact#: 355351-357735-360204 Rec#: 18076 MACKLIFF GARAYCOA EMILIO JOSE </t>
  </si>
  <si>
    <t>IC-7302</t>
  </si>
  <si>
    <t xml:space="preserve">Fact#: 362100 Rec#: 18075 GOMEZ VERA NATALY ELIZABETH </t>
  </si>
  <si>
    <t>IC-7301</t>
  </si>
  <si>
    <t xml:space="preserve">Fact#: 4341-4565 Rec#: 18074 IZA PUMASUNTA JOSSELYN LIZBETH </t>
  </si>
  <si>
    <t>IC-7300</t>
  </si>
  <si>
    <t xml:space="preserve">Fact#: 361883 Rec#: 18073 AVILA ORTIZ GEOVANNY FABRICIO </t>
  </si>
  <si>
    <t>IC-7299</t>
  </si>
  <si>
    <t xml:space="preserve">Fact#: 361223 Rec#: 18072 LUIS GALO IDROBO ACEBO </t>
  </si>
  <si>
    <t>IC-7298</t>
  </si>
  <si>
    <t xml:space="preserve">Fact#: 359138-361661 Rec#: 18071 CAZAR ERAZO RODRIGO ARTURO </t>
  </si>
  <si>
    <t>IC-7297</t>
  </si>
  <si>
    <t>Ingreso por pago Telconet en banco pacifico por dep en cta #doc 29851485</t>
  </si>
  <si>
    <t>DR-1770</t>
  </si>
  <si>
    <t>N/D PACIFICO TRANSF. CANCELACIÓN DE FACTURA#29826193 CNEL EP</t>
  </si>
  <si>
    <t>Fact#: 361079 Rec#: 33275 MARIA CRISTINA LOAIZA BREVI</t>
  </si>
  <si>
    <t>IC-7345</t>
  </si>
  <si>
    <t>Fact#: 359855-362369 Rec#: 33274 VELASQUEZ SANTANA NESTOR SIGIFREDO</t>
  </si>
  <si>
    <t>IC-7344</t>
  </si>
  <si>
    <t>Fact#: 359307-361830 Rec#: 33273 PUERO CUERO CARLOS JULIO</t>
  </si>
  <si>
    <t>IC-7343</t>
  </si>
  <si>
    <t>Fact#: 360992 Rec#: 33272 SILVIA XIMENA CHAVEZ CABRERA</t>
  </si>
  <si>
    <t>IC-7342</t>
  </si>
  <si>
    <t>Fact#: 362297 Rec#: 33271 ESPINOSA ESPINOZA HUGO STANLEY</t>
  </si>
  <si>
    <t>IC-7341</t>
  </si>
  <si>
    <t>Fact#: 4605 Rec#: 33270 CABEZAS SAMANIEGO JORGE GEOVANNY</t>
  </si>
  <si>
    <t>IC-7340</t>
  </si>
  <si>
    <t>Fact#: 362588 Rec#: 33269 TAMMY CARMEN CAAMAÑO CORNEJO</t>
  </si>
  <si>
    <t>IC-7339</t>
  </si>
  <si>
    <t>Fact#: 360848 Rec#: 33268 LOURDES DEL ROCIO CHAVEZ VELEZ</t>
  </si>
  <si>
    <t>IC-7328</t>
  </si>
  <si>
    <t>Fact#: 355820-358305-360843 Rec#: 33267 STEFFIE GALLESE DE DUNN</t>
  </si>
  <si>
    <t>IC-7327</t>
  </si>
  <si>
    <t>Fact#: 362448 Rec#: 33266 SUESCUM ROMERO  NATHALY VIRINEYA</t>
  </si>
  <si>
    <t>IC-7326</t>
  </si>
  <si>
    <t>Fact#: 358336-360873 Rec#: 33265 VICTOR ANTONIO AGUSTO ALVARADO</t>
  </si>
  <si>
    <t>IC-7325</t>
  </si>
  <si>
    <t>Fact#: 362499 Rec#: 33264 CALDERIO HECHAVARRIA DAIRON FREDDY</t>
  </si>
  <si>
    <t>IC-7324</t>
  </si>
  <si>
    <t>Fact#: 358556-361091 Rec#: 33263 MANUEL ISIDRO RICAURTE GARCES</t>
  </si>
  <si>
    <t>IC-7323</t>
  </si>
  <si>
    <t>Fact#: 359388-361914 Rec#: 33262 CEVALLOS ORVEN AMADITA</t>
  </si>
  <si>
    <t>IC-7322</t>
  </si>
  <si>
    <t>Fact#: 361697 Rec#: 33261 DUENAS RUIZ TERESA EDITH</t>
  </si>
  <si>
    <t>IC-7321</t>
  </si>
  <si>
    <t>Fact#: 362449 Rec#: 33260 DUQUE ESTEVEZ MIRKA</t>
  </si>
  <si>
    <t>IC-7320</t>
  </si>
  <si>
    <t>Fact#: 362365 Rec#: 33259 CHACON CALDERON SARITA MARIA DE LOS ANGEL</t>
  </si>
  <si>
    <t>IC-7319</t>
  </si>
  <si>
    <t>Fact#: 360418 Rec#: 33257 DVT DEL ECUADOR S.A</t>
  </si>
  <si>
    <t>IC-7249</t>
  </si>
  <si>
    <t xml:space="preserve">Fact#: 358664-361190 Rec#: 18070 TERESA LEONOR SALAZAR PLUAS </t>
  </si>
  <si>
    <t>IC-7235</t>
  </si>
  <si>
    <t xml:space="preserve">Fact#: 359291-361814 Rec#: 18069 MIRABAL RODRIGUEZ CRISTINA </t>
  </si>
  <si>
    <t>IC-7234</t>
  </si>
  <si>
    <t xml:space="preserve">Fact#: 358868-361390 Rec#: 18068 VILMA NINFA MORA MORA </t>
  </si>
  <si>
    <t>IC-7233</t>
  </si>
  <si>
    <t xml:space="preserve">Fact#: 359176-361699 Rec#: 18067 VASQUEZ DORA JUAN JOSE </t>
  </si>
  <si>
    <t>IC-7232</t>
  </si>
  <si>
    <t xml:space="preserve">Fact#: 359154-361677 Rec#: 18066 FREIRE ORTIZ PEDRO PABLO </t>
  </si>
  <si>
    <t>IC-7231</t>
  </si>
  <si>
    <t xml:space="preserve">Fact#: 1026-200-858 Rec#: 18065 TORRES MOPOSITA ELIANA ESTEFANIA </t>
  </si>
  <si>
    <t>IC-7230</t>
  </si>
  <si>
    <t xml:space="preserve">Fact#: 361534 Rec#: 18064 MORALES CASTRO SAMUEL </t>
  </si>
  <si>
    <t>IC-7229</t>
  </si>
  <si>
    <t xml:space="preserve">Fact#: 352549-354892-357287 Rec#: 18063 MORAN MERA SANDRA ISABEL </t>
  </si>
  <si>
    <t>IC-7228</t>
  </si>
  <si>
    <t xml:space="preserve">Fact#: 361836 Rec#: 18062 PINO ARROBA ALVARO ERNESTO </t>
  </si>
  <si>
    <t>IC-7227</t>
  </si>
  <si>
    <t xml:space="preserve">Fact#: 362220 Rec#: 18061 CABEZA RODRIGUEZ PETER FABRICIO </t>
  </si>
  <si>
    <t>IC-7226</t>
  </si>
  <si>
    <t xml:space="preserve">Fact#: 357755-360221-362736 Rec#: 18060 OCHOA SUAREZ MARILYN ARACELY </t>
  </si>
  <si>
    <t>IC-7225</t>
  </si>
  <si>
    <t xml:space="preserve">Fact#: 361553 Rec#: 18059 QUIÑONEZ SIMISTERRA CARLOS EFREN </t>
  </si>
  <si>
    <t>IC-7224</t>
  </si>
  <si>
    <t xml:space="preserve">Fact#: 362028 Rec#: 18058 FLORES GORDILLO LUIS EDUARDO </t>
  </si>
  <si>
    <t>IC-7223</t>
  </si>
  <si>
    <t xml:space="preserve">Fact#: 361296 Rec#: 18057 MAGDALENA CONCEPCION FRANCO CORREA </t>
  </si>
  <si>
    <t>IC-7222</t>
  </si>
  <si>
    <t xml:space="preserve">Fact#: 359068-361585 Rec#: 18056 SANCHEZ CARRIEL NARCISA DE JESUS </t>
  </si>
  <si>
    <t>IC-7221</t>
  </si>
  <si>
    <t xml:space="preserve">Fact#: 360120-362640 Rec#: 18055 SOLIS CHUTO RAUL XAVIER </t>
  </si>
  <si>
    <t>IC-7220</t>
  </si>
  <si>
    <t xml:space="preserve">Fact#: 361979 Rec#: 18054 ROBALINO VALENCIA  SPARTA SUSANA  </t>
  </si>
  <si>
    <t>IC-7219</t>
  </si>
  <si>
    <t xml:space="preserve">Fact#: 362825 Rec#: 18053 ICAZA RIVAS ENRIQUE MEDARDO </t>
  </si>
  <si>
    <t>IC-7218</t>
  </si>
  <si>
    <t xml:space="preserve">Fact#: 361447 Rec#: 18052 MAYI CECIBEL VILLACRES GUZMAN </t>
  </si>
  <si>
    <t>IC-7217</t>
  </si>
  <si>
    <t xml:space="preserve">Fact#: 361614 Rec#: 18051 LUQUE RIVAS MARIA ROSA </t>
  </si>
  <si>
    <t>IC-7216</t>
  </si>
  <si>
    <t xml:space="preserve">Fact#: 359801-362314 Rec#: 18050 GALLEGOS VERA ALEX AUGUSTO </t>
  </si>
  <si>
    <t>IC-7215</t>
  </si>
  <si>
    <t xml:space="preserve">Fact#: 360758 Rec#: 18049 ASISTENCA TECNICA INDUSTRIAL ATEIND S.A.  </t>
  </si>
  <si>
    <t>IC-7214</t>
  </si>
  <si>
    <t>N/D PACIFICO TRANSF. CANCELACIÓN DE FACTURA#1698 COMSADIMTELCO S.A.</t>
  </si>
  <si>
    <t>Fact#: 362156 Rec#: 33258 ARANA BARROS AMBAR GEOVANA</t>
  </si>
  <si>
    <t>IC-7250</t>
  </si>
  <si>
    <t>Fact#: 361812 Rec#: 33256 MANRIQUE OSORIO XAVIER ENRIQUE</t>
  </si>
  <si>
    <t>IC-7213</t>
  </si>
  <si>
    <t>Fact#: 361992 Rec#: 33255 GUERRERO RENDON VICTORIA EDITA</t>
  </si>
  <si>
    <t>IC-7212</t>
  </si>
  <si>
    <t>Fact#: 359183-361706 Rec#: 33254 ARIAS SALAZAR KATHERINE JUSETH</t>
  </si>
  <si>
    <t>IC-7211</t>
  </si>
  <si>
    <t>Fact#: 359817-362330 Rec#: 33253 SANCHEZ MEDINA FELIX</t>
  </si>
  <si>
    <t>IC-7210</t>
  </si>
  <si>
    <t>Fact#: 362502 Rec#: 33252 SILVA ESPINOZA CARLOTA ELIZABETH</t>
  </si>
  <si>
    <t>IC-7209</t>
  </si>
  <si>
    <t>Fact#: 361728 Rec#: 33251 PERALTA CASTILLO ELSA DEL ROCIO</t>
  </si>
  <si>
    <t>IC-7208</t>
  </si>
  <si>
    <t>Fact#: 358387-360923 Rec#: 33250 LOURDES JANET BRITO GUILLEN</t>
  </si>
  <si>
    <t>IC-7207</t>
  </si>
  <si>
    <t>Fact#: 355861-358344-360880 Rec#: 33249 LUIS EDUARDO BAQUERIZO BRAND</t>
  </si>
  <si>
    <t>IC-7206</t>
  </si>
  <si>
    <t>Fact#: 360875 Rec#: 33248 ARTURO ALFONSO VELASCO TUTIVEN</t>
  </si>
  <si>
    <t>IC-7205</t>
  </si>
  <si>
    <t>Fact#: 361083 Rec#: 33247 JAIME RICARDO ZUÑIGA RODRIGUEZ</t>
  </si>
  <si>
    <t>IC-7204</t>
  </si>
  <si>
    <t>Fact#: 361540 Rec#: 33246 LOPEZ PALACIOS DANNY CHRISTIAN</t>
  </si>
  <si>
    <t>IC-7203</t>
  </si>
  <si>
    <t>Fact#: 360861 Rec#: 33245 GIOVANNY NARVAEZ PORTILLA</t>
  </si>
  <si>
    <t>IC-7202</t>
  </si>
  <si>
    <t xml:space="preserve">Fact#: 360874 Rec#: 33244 MANUEL ALFREDO MENDOZA RODRIGUEZ </t>
  </si>
  <si>
    <t>IC-7193</t>
  </si>
  <si>
    <t xml:space="preserve">Fact#: 355854-358337 Rec#: 33243 MANUEL ALFREDO MENDOZA RODRIGUEZ </t>
  </si>
  <si>
    <t>IC-7192</t>
  </si>
  <si>
    <t xml:space="preserve">Fact#: 360116-362636 Rec#: 33242 ARIAS ALVAREZ GLADYS MERCEDES </t>
  </si>
  <si>
    <t>IC-7184</t>
  </si>
  <si>
    <t xml:space="preserve">Fact#: 358980-361501 Rec#: 33241 IBAÑEZ VASCONES MARIA CECILIA </t>
  </si>
  <si>
    <t>IC-7183</t>
  </si>
  <si>
    <t xml:space="preserve">Fact#: 361249 Rec#: 33240 ENRIQUE FEDERICO ARENAS PILATAXI </t>
  </si>
  <si>
    <t>IC-7182</t>
  </si>
  <si>
    <t xml:space="preserve">Fact#: 358943-359941 Rec#: 33239 ANGEL ROGELIO PUMA MEDINA </t>
  </si>
  <si>
    <t>IC-7181</t>
  </si>
  <si>
    <t xml:space="preserve">Fact#: 358609-361139 Rec#: 33238 GIOMAR PAOLA CHOEZ CATUTO </t>
  </si>
  <si>
    <t>IC-7180</t>
  </si>
  <si>
    <t xml:space="preserve">Fact#: 358996 Rec#: 33237 ORTIZ CARRILLO ROBERTO JAVIER </t>
  </si>
  <si>
    <t>IC-7179</t>
  </si>
  <si>
    <t xml:space="preserve">Fact#: 360613 Rec#: 33236 PAYLESS SHOESOURCE ECUADOR CIA. LTDA. </t>
  </si>
  <si>
    <t>IC-7176</t>
  </si>
  <si>
    <t xml:space="preserve">Fact#: 357088-359553-362071 Rec#: 18048 TACURY CALDERON CARLOS ALBERTO </t>
  </si>
  <si>
    <t>IC-7167</t>
  </si>
  <si>
    <t xml:space="preserve">Fact#: 357508-359976-362491 Rec#: 18047 CASTRO YEPEZ CARMEN CAROLINA </t>
  </si>
  <si>
    <t>IC-7166</t>
  </si>
  <si>
    <t xml:space="preserve">Fact#: 361995 Rec#: 18046 FERNANDEZ ZAMBRANO ELSA VIOLETA </t>
  </si>
  <si>
    <t>IC-7165</t>
  </si>
  <si>
    <t xml:space="preserve">Fact#: 324826-339166-342161-345685-348188 Rec#: 18045 TAPIA ONOFRE MARCOS ANDRES </t>
  </si>
  <si>
    <t>IC-7164</t>
  </si>
  <si>
    <t xml:space="preserve">Fact#: 356381-358859-361381 Rec#: 18044 SARA DEL CONSUELO OCHOA VELASCO </t>
  </si>
  <si>
    <t>IC-7163</t>
  </si>
  <si>
    <t xml:space="preserve">Fact#: 356913-359376-361904 Rec#: 18043 GUERRERO AMAYA DIEGO ANDRES </t>
  </si>
  <si>
    <t>IC-7162</t>
  </si>
  <si>
    <t xml:space="preserve">Fact#: 352273-354613-357019 Rec#: 18042 ZAMBRANO COLLAGUAZO HECTOR FABIAN </t>
  </si>
  <si>
    <t>IC-7159</t>
  </si>
  <si>
    <t xml:space="preserve">Fact#: 349491-351693-354027 Rec#: 18041 EDGAR HERNAN PEREZ MONTERO </t>
  </si>
  <si>
    <t>IC-7158</t>
  </si>
  <si>
    <t>Fact#: 360476 Rec#: 33235 YARECUADOR CIA. LTDA</t>
  </si>
  <si>
    <t>IC-7161</t>
  </si>
  <si>
    <t>Fact#: 358471 Rec#: 33234 VINUEZA GALLARDO CARLOS ENRIQUE</t>
  </si>
  <si>
    <t>IC-7157</t>
  </si>
  <si>
    <t>Fact#: 358354 Rec#: 33233 NORMA ELISA YEPEZ JIMENEZ</t>
  </si>
  <si>
    <t>IC-7156</t>
  </si>
  <si>
    <t>Fact#: 359874 Rec#: 33232 VELASCO ROMERO MARIA DEL CARMEN</t>
  </si>
  <si>
    <t>IC-7146</t>
  </si>
  <si>
    <t xml:space="preserve">Fact#: 359074 Rec#: 18040 CEVALLOS PLUAS JULIT LORENA </t>
  </si>
  <si>
    <t>IC-7127</t>
  </si>
  <si>
    <t xml:space="preserve">Fact#: 356664-359135 Rec#: 18039 MOLINA ALCIVAR CESAR RAUL </t>
  </si>
  <si>
    <t>IC-7126</t>
  </si>
  <si>
    <t xml:space="preserve">Fact#: 356465-358942 Rec#: 18038 VERONICA JAYONARA TENORIO QUIÑONEZ </t>
  </si>
  <si>
    <t>IC-7125</t>
  </si>
  <si>
    <t xml:space="preserve">Fact#: 360291 Rec#: 18037 COELLO ACOSTA JUSTINA SUSANA </t>
  </si>
  <si>
    <t>IC-7124</t>
  </si>
  <si>
    <t xml:space="preserve">Fact#: 360723 Rec#: 18036 LOPEZ FLOREZ CARLOS RAFAEL </t>
  </si>
  <si>
    <t>IC-7123</t>
  </si>
  <si>
    <t xml:space="preserve">Fact#: 357000-359467 Rec#: 18035 CALONGE GUERRERO JAIR </t>
  </si>
  <si>
    <t>IC-7122</t>
  </si>
  <si>
    <t xml:space="preserve">Fact#: 358538 Rec#: 18034 JENNIFER MARITZA BAJAÑA MERCHAN </t>
  </si>
  <si>
    <t>IC-7121</t>
  </si>
  <si>
    <t xml:space="preserve">Fact#: 358758 Rec#: 18033 DELFIN NESTOR CALDERON GARCIA </t>
  </si>
  <si>
    <t>IC-7120</t>
  </si>
  <si>
    <t xml:space="preserve">Fact#: 357155-359618 Rec#: 18032 GUAMANQUISPE FLORES ESPERANZA ANTONIETA </t>
  </si>
  <si>
    <t>IC-7119</t>
  </si>
  <si>
    <t xml:space="preserve">Fact#: 358397 Rec#: 18031 VICENTE GABRIEL VINUEZA MERINO </t>
  </si>
  <si>
    <t>IC-7118</t>
  </si>
  <si>
    <t xml:space="preserve">Fact#: 358899 Rec#: 18030 ALEXANDRA JACKELINE SANCHEZ ZAMBRANO </t>
  </si>
  <si>
    <t>IC-7117</t>
  </si>
  <si>
    <t xml:space="preserve">Fact#: 359759 Rec#: 18029 MORENO TELLO CELI DURINDANA </t>
  </si>
  <si>
    <t>IC-7116</t>
  </si>
  <si>
    <t>SANCHEZ TIMM RAFAEL ANDRES CANCELA TELEFONO 3930293 ABONA SGTE FACTURA, BCO PACIFICO POR VENTANILLA</t>
  </si>
  <si>
    <t>AT-3286</t>
  </si>
  <si>
    <t>Fact#: 360774 Rec#: 33230 ADMINASES S A</t>
  </si>
  <si>
    <t>IC-7131</t>
  </si>
  <si>
    <t>Fact#: 358647 Rec#: 33229 SANDRA DEL ROCIO PESANTES GONZALEZ</t>
  </si>
  <si>
    <t>IC-7130</t>
  </si>
  <si>
    <t>Fact#: 359656 Rec#: 33228 ARCENTALES DOMINGUEZ JOSE LEONIDAS</t>
  </si>
  <si>
    <t>IC-7129</t>
  </si>
  <si>
    <t>Fact#: 358369 Rec#: 33227 LAURO DAVID TORRES CARRILLO</t>
  </si>
  <si>
    <t>IC-7128</t>
  </si>
  <si>
    <t xml:space="preserve">Fact#: 356246-358728 Rec#: 33226 ANA KARINA GOMEZ ATIENCIA </t>
  </si>
  <si>
    <t>IC-7113</t>
  </si>
  <si>
    <t>Fact#: 356907-359370 Rec#: 33225 MORENO OVIEDO LUIS ITALO</t>
  </si>
  <si>
    <t>IC-7112</t>
  </si>
  <si>
    <t>Fact#: 358349 Rec#: 33224 SERGIO ANDRES SEMMINARIO VALENZUELA</t>
  </si>
  <si>
    <t>IC-7109</t>
  </si>
  <si>
    <t xml:space="preserve">Fact#: 360682 Rec#: 18028 SOLIS REYES OMAR MICHAEL </t>
  </si>
  <si>
    <t>IC-7108</t>
  </si>
  <si>
    <t xml:space="preserve">Fact#: 356228-358710 Rec#: 18027 PAOLA MARIA AURELIA BARBA BAILON </t>
  </si>
  <si>
    <t>IC-7107</t>
  </si>
  <si>
    <t xml:space="preserve">Fact#: 357803-360273 Rec#: 18026 BRAVO VILLAMAR JOHNNY VICENTE </t>
  </si>
  <si>
    <t>IC-7106</t>
  </si>
  <si>
    <t xml:space="preserve">Fact#: 353979-356393-358869 Rec#: 18025 LOURDES DEL ROCIO JIMENEZ ACOSTA </t>
  </si>
  <si>
    <t>IC-7105</t>
  </si>
  <si>
    <t xml:space="preserve">Fact#: 360365 Rec#: 18024 GRACIA LOOR ANGEL FRANCISCO </t>
  </si>
  <si>
    <t>IC-7104</t>
  </si>
  <si>
    <t xml:space="preserve">Fact#: 359825 Rec#: 18023 NEIRA CUENCA MAGNER RICHARD </t>
  </si>
  <si>
    <t>IC-7103</t>
  </si>
  <si>
    <t xml:space="preserve">Fact#: 354638-357043-359509 Rec#: 18022 SANCHEZ PARRA MAYURI EMILIA </t>
  </si>
  <si>
    <t>IC-7102</t>
  </si>
  <si>
    <t xml:space="preserve">Fact#: 354747-357147-359610 Rec#: 18021 MITE VERGARA EDISON CLAUDIO </t>
  </si>
  <si>
    <t>IC-7101</t>
  </si>
  <si>
    <t xml:space="preserve">Fact#: 347227-349702-351921 Rec#: 18020 PIZARRO CARDENAS MIGUEL MODESTO </t>
  </si>
  <si>
    <t>IC-7100</t>
  </si>
  <si>
    <t xml:space="preserve">Fact#: 359697 Rec#: 18019 CABRERA GOMEZ MARTHA INES </t>
  </si>
  <si>
    <t>IC-7099</t>
  </si>
  <si>
    <t xml:space="preserve">Fact#: 360428 Rec#: 18018 IGLESIA DE JESUCRISTO SUD </t>
  </si>
  <si>
    <t>IC-7098</t>
  </si>
  <si>
    <t xml:space="preserve">Fact#: 356749-359223 Rec#: 18017 ROCAFUERTE FIGUEROA DILGLA MARIANELA </t>
  </si>
  <si>
    <t>IC-7095</t>
  </si>
  <si>
    <t xml:space="preserve">Fact#: 360331 Rec#: 18016 TORRES YEPEZ MARCELA VIRGINIA </t>
  </si>
  <si>
    <t>IC-7094</t>
  </si>
  <si>
    <t xml:space="preserve">Fact#: 357170-359633 Rec#: 18015 VITE CALDERON PEDRO PABLO </t>
  </si>
  <si>
    <t>IC-7093</t>
  </si>
  <si>
    <t xml:space="preserve">Fact#: 359485 Rec#: 18014 SANCHEZ QUINCHUELA INES MONICA </t>
  </si>
  <si>
    <t>IC-7092</t>
  </si>
  <si>
    <t>SANGUNA RON TANIA GRICELDA CANCELA TELEFONO 023923204 ABONA SGTE FACTURA, PAGO WESTERN UNION</t>
  </si>
  <si>
    <t>AT-3285</t>
  </si>
  <si>
    <t>PAGO TARJ. CORP. CUOTA MES DE MAYO-2021</t>
  </si>
  <si>
    <t>NDL-66</t>
  </si>
  <si>
    <t xml:space="preserve">Fact#: 357480-359948-362463 Rec#: 33605 MORALES MORALES ALEXANDRA MARISELA </t>
  </si>
  <si>
    <t>IC-9400</t>
  </si>
  <si>
    <t>Fact#: 360412 Rec#: 33223 LAUDE S.A. LAUDESA ADMINISTRADORA DE FONDOS Y FIDEICOMISOS</t>
  </si>
  <si>
    <t>IC-7088</t>
  </si>
  <si>
    <t>Fact#: 4307 Rec#: 33222 ZAPATA FLORES GILMAR FABRICIO</t>
  </si>
  <si>
    <t>IC-7086</t>
  </si>
  <si>
    <t>VALERO CEPEDA IVONNE MARIA CANCELA TELEFONO 3909808 ABONA SGTE FACTURA, BCO PACIFICO POR VENTANILLA</t>
  </si>
  <si>
    <t>AT-3283</t>
  </si>
  <si>
    <t>N/D PACIFICO TRANSF. ARCOTEL DIFERENCIA DERECHO CONCESION 1ER TRIMESTRE</t>
  </si>
  <si>
    <t>Fact#: 360765 Rec#: 18013 PROVEEDORA ANDINA DE ALARMAS INCORPORADAS S.A. PRANAINC</t>
  </si>
  <si>
    <t>IC-7075</t>
  </si>
  <si>
    <t>Fact#: 353911-356330-358807 Rec#: 33221 VICENTE ANTONIO VITERI GOMEZ</t>
  </si>
  <si>
    <t>IC-7074</t>
  </si>
  <si>
    <t>Fact#: 358386 Rec#: 33220 BENILDA JESUS ACOSTA ZAMBRANO</t>
  </si>
  <si>
    <t>IC-7073</t>
  </si>
  <si>
    <t>Fact#: 359151 Rec#: 33219 LOZANO OTERO RICARDO REIMONDI LOZANO OTERO</t>
  </si>
  <si>
    <t>IC-7072</t>
  </si>
  <si>
    <t>Fact#: 358494 Rec#: 33218 ITURRALDE TORRES EDUARDO ANIBAL</t>
  </si>
  <si>
    <t>IC-7071</t>
  </si>
  <si>
    <t>Fact#: 358329 Rec#: 33217 RAFAEL VICENTE ERAZO FALQUEZ</t>
  </si>
  <si>
    <t>IC-7070</t>
  </si>
  <si>
    <t>Fact#: 358382 Rec#: 33216 GLORIA ISABEL MITE LEON</t>
  </si>
  <si>
    <t>IC-7069</t>
  </si>
  <si>
    <t>Fact#: 359403 Rec#: 33215 MERA ESPINOZA LEONEL ANTONIO</t>
  </si>
  <si>
    <t>IC-7068</t>
  </si>
  <si>
    <t>Fact#: 360737 Rec#: 33214 INDUSTRIAL JUVENALIS S.A.</t>
  </si>
  <si>
    <t>IC-7067</t>
  </si>
  <si>
    <t xml:space="preserve">Fact#: 322074-324814-327588-330384-333265-336206-339152-342147-345671-348174 Rec#: 18012 TAMAYO SANCHEZ ZOILA KATTIA </t>
  </si>
  <si>
    <t>IC-7066</t>
  </si>
  <si>
    <t xml:space="preserve">Fact#: 352119-354459-356863 Rec#: 18011 VARGAS TAPIA ANGELICA THALIA </t>
  </si>
  <si>
    <t>IC-7065</t>
  </si>
  <si>
    <t xml:space="preserve">Fact#: 358757 Rec#: 18010 CESAR ORLANDO VALLEJO VERA </t>
  </si>
  <si>
    <t>IC-7064</t>
  </si>
  <si>
    <t xml:space="preserve">Fact#: 359750 Rec#: 18009 SANTANA MORENO SAUL AUGUSTO </t>
  </si>
  <si>
    <t>IC-7063</t>
  </si>
  <si>
    <t xml:space="preserve">Fact#: 358323 Rec#: 18008 EDDA GLADYS PARRALES GOMEZ </t>
  </si>
  <si>
    <t>IC-7062</t>
  </si>
  <si>
    <t xml:space="preserve">Fact#: 352498-354843-357243 Rec#: 18007 PONCE GANCHOZO MARICELA RAQUEL  </t>
  </si>
  <si>
    <t>IC-7061</t>
  </si>
  <si>
    <t xml:space="preserve">Fact#: 358993 Rec#: 18006 ESTUPIÑAN BAJAÑA JORDAN EDWARD </t>
  </si>
  <si>
    <t>IC-7060</t>
  </si>
  <si>
    <t xml:space="preserve">Fact#: 358941 Rec#: 18005 JOSE ANTONIO CABEZAS BURGOS </t>
  </si>
  <si>
    <t>IC-7059</t>
  </si>
  <si>
    <t xml:space="preserve">Fact#: 360086 Rec#: 18004 SANCHEZ MENDOZA ANA ADELA </t>
  </si>
  <si>
    <t>IC-7058</t>
  </si>
  <si>
    <t xml:space="preserve">Fact#: 359875 Rec#: 18003 TRUJILL0 ELJURI ROBERTO FARID </t>
  </si>
  <si>
    <t>IC-7057</t>
  </si>
  <si>
    <t xml:space="preserve">Fact#: 360370 Rec#: 18002 BANCHON GONZALEZ YANINA DENISSE </t>
  </si>
  <si>
    <t>IC-7056</t>
  </si>
  <si>
    <t xml:space="preserve">Fact#: 357773-360244 Rec#: 18001 CAMACHO RONQUILLO WASHINGTON LEONARDO </t>
  </si>
  <si>
    <t>IC-7055</t>
  </si>
  <si>
    <t xml:space="preserve">Fact#: 360741 Rec#: 18000 SEGURIDAD &amp; PROTECCION TECNICA SEPROTECSECURITY CIA. LTDA.  </t>
  </si>
  <si>
    <t>IC-7054</t>
  </si>
  <si>
    <t xml:space="preserve">Fact#: 357194-359658 Rec#: 17999 VERA DOMINGUEZ JOSE MARCELO </t>
  </si>
  <si>
    <t>IC-7053</t>
  </si>
  <si>
    <t xml:space="preserve">Fact#: 357396-359865 Rec#: 17998 VERA VELA ANA MARIA </t>
  </si>
  <si>
    <t>IC-7052</t>
  </si>
  <si>
    <t xml:space="preserve">Fact#: 358672 Rec#: 17997 WILLINGTON HUGO ROSALES MEDINA </t>
  </si>
  <si>
    <t>IC-7051</t>
  </si>
  <si>
    <t xml:space="preserve">Fact#: 359856 Rec#: 17996 JIMENEZ OCHOA LUIS ENRIQUE </t>
  </si>
  <si>
    <t>IC-7050</t>
  </si>
  <si>
    <t xml:space="preserve">Fact#: 354150-356561-359036 Rec#: 17995 QUIÑONEZ SIMISTERRA CARLOS EFREN </t>
  </si>
  <si>
    <t>IC-7049</t>
  </si>
  <si>
    <t>Fact#: 349070-351256-353586 Rec#: 33213 RODRIGUEZ Y DUQUE JORGE</t>
  </si>
  <si>
    <t>IC-7029</t>
  </si>
  <si>
    <t xml:space="preserve">Fact#: 356470-358947 Rec#: 33212 DANIELA MELISSA MORAN RUGEL </t>
  </si>
  <si>
    <t>IC-7028</t>
  </si>
  <si>
    <t>N/D PACIFICO TRANSF. CANCELACIÓN DERECHO DE CONCESIONES 0.50% 1ER  TRIMESTRE ENE A MAR 2020, TELEFONIA LARGA DISTANCIA INTERNACIONAL FACTURA#233201</t>
  </si>
  <si>
    <t>N/D PACIFICO TRANSF. CANCELACIÓN DERECHO DE CONCESIONES 0.50% 1ER TRIMESTRE ENE A MAR 2020, TELEFONIA FIJA LOCAL FACTURA#233200</t>
  </si>
  <si>
    <t>NDL-59</t>
  </si>
  <si>
    <t>N/D PACIFICO TRANSF. PAGO DE FONDOS DE RESERVA MES DE ABRIL 2021</t>
  </si>
  <si>
    <t xml:space="preserve">Fact#: 358688 Rec#: 17994 CARLOS ENRIQUE TAPIA TAPIA </t>
  </si>
  <si>
    <t>IC-7012</t>
  </si>
  <si>
    <t xml:space="preserve">Fact#: 351626-353956-356371 Rec#: 17993 DIOCELINA JACQUELINE HERNANDEZ CRUZ </t>
  </si>
  <si>
    <t>IC-7011</t>
  </si>
  <si>
    <t xml:space="preserve">Fact#: 358449 Rec#: 17992 ROSA MARGARITA  BARRIGA CANTOS </t>
  </si>
  <si>
    <t>IC-7010</t>
  </si>
  <si>
    <t xml:space="preserve">Fact#: 358615 Rec#: 17991 MARIA DEL ROSARIO GUZMAN MASPONS </t>
  </si>
  <si>
    <t>IC-7009</t>
  </si>
  <si>
    <t xml:space="preserve">Fact#: 354766-357166-359629 Rec#: 17990 LARA MARURI SANDRA ELIZABETH </t>
  </si>
  <si>
    <t>IC-7008</t>
  </si>
  <si>
    <t xml:space="preserve">Fact#: 4274 Rec#: 17989 CRUZ SANTANA MARCOS BOLIVAR </t>
  </si>
  <si>
    <t>IC-7007</t>
  </si>
  <si>
    <t xml:space="preserve">Fact#: 360647 Rec#: 17988 GUACHO LEMA JORGE LUIS </t>
  </si>
  <si>
    <t>IC-7006</t>
  </si>
  <si>
    <t xml:space="preserve">Fact#: 358948 Rec#: 17987 PRISCILA NORALMA DELA AVENDANO </t>
  </si>
  <si>
    <t>IC-7005</t>
  </si>
  <si>
    <t xml:space="preserve">Fact#: 4319 Rec#: 17986 ZABALA BARRIONUEVO RITA CECILIA </t>
  </si>
  <si>
    <t>IC-7004</t>
  </si>
  <si>
    <t xml:space="preserve">Fact#: 353796-356218-358700 Rec#: 17985 BRYAN JOEL BURGOS GALARZA </t>
  </si>
  <si>
    <t>IC-7003</t>
  </si>
  <si>
    <t xml:space="preserve">Fact#: 354504-356910-359373 Rec#: 17984 CAMPUZANO CASTILLO TOMAS ROLANDO </t>
  </si>
  <si>
    <t>IC-7002</t>
  </si>
  <si>
    <t xml:space="preserve">Fact#: 353931-356348-358826 Rec#: 17983 ALEX EMILIO TELLO CEDEÑO </t>
  </si>
  <si>
    <t>IC-7001</t>
  </si>
  <si>
    <t xml:space="preserve">Fact#: 358447 Rec#: 17982 MARIA DEL CARMEN VERA VALVERDE </t>
  </si>
  <si>
    <t>IC-7000</t>
  </si>
  <si>
    <t xml:space="preserve">Fact#: 360506 Rec#: 17981 FILUS S.A </t>
  </si>
  <si>
    <t>IC-6999</t>
  </si>
  <si>
    <t xml:space="preserve">Fact#: 360505 Rec#: 17980 FILUS S.A </t>
  </si>
  <si>
    <t>IC-6998</t>
  </si>
  <si>
    <t xml:space="preserve">Fact#: 4468 Rec#: 17979 INKA BURGER </t>
  </si>
  <si>
    <t>IC-6997</t>
  </si>
  <si>
    <t xml:space="preserve">Fact#: 356136-358618 Rec#: 17978 RAUL ARTURO LEON ORTIZ </t>
  </si>
  <si>
    <t>IC-6996</t>
  </si>
  <si>
    <t xml:space="preserve">Fact#: 356672-359144 Rec#: 17977 RAMIREZ RUIZ MILTON EMILIO </t>
  </si>
  <si>
    <t>IC-6995</t>
  </si>
  <si>
    <t xml:space="preserve">Fact#: 359063 Rec#: 17976 CARRILLO ANCHUNDIA FLOR MARIA </t>
  </si>
  <si>
    <t>IC-6994</t>
  </si>
  <si>
    <t xml:space="preserve">Fact#: 360626 Rec#: 17975 CORPORACION DE TRANSPORTISTAS DEL ECUADOR S.A. </t>
  </si>
  <si>
    <t>IC-6993</t>
  </si>
  <si>
    <t xml:space="preserve">Fact#: 356276-358754 Rec#: 17974 RAMIRO RAMON TOALA GARCIA </t>
  </si>
  <si>
    <t>IC-6992</t>
  </si>
  <si>
    <t xml:space="preserve">Fact#: 358783 Rec#: 17973 FELIX EDUARDO CARRERA CEDEÑO </t>
  </si>
  <si>
    <t>IC-6991</t>
  </si>
  <si>
    <t xml:space="preserve">Fact#: 354014-356427-358903 Rec#: 17972 RAWAD MACHLB BZEIH BARAKAT </t>
  </si>
  <si>
    <t>IC-6990</t>
  </si>
  <si>
    <t xml:space="preserve">Fact#: 356787-359259 Rec#: 17971 GUTIERREZ HERNANDEZ RICARDO ALBERTO </t>
  </si>
  <si>
    <t>IC-6989</t>
  </si>
  <si>
    <t>Fact#: 353390-355821-358306 Rec#: 33211 LORENA VANONI ARMIJOS</t>
  </si>
  <si>
    <t>IC-6988</t>
  </si>
  <si>
    <t>Fact#: 359106 Rec#: 33210 SORIANO SUAREZ GUILBERT SAUL</t>
  </si>
  <si>
    <t>IC-6987</t>
  </si>
  <si>
    <t>Fact#: 358400 Rec#: 33209 FAUSTO LEONARDO  ORTIZ DE LA CADENA</t>
  </si>
  <si>
    <t>IC-6986</t>
  </si>
  <si>
    <t>Fact#: 355932-358413 Rec#: 33208 NELSON SAVITRI  VELASCO PAZMIÑO</t>
  </si>
  <si>
    <t>IC-6985</t>
  </si>
  <si>
    <t>Fact#: 356139-358622 Rec#: 33207 EDISON GEOVANNY MEDINA SANGOLUISA</t>
  </si>
  <si>
    <t>IC-6984</t>
  </si>
  <si>
    <t>Fact#: 358409 Rec#: 33206 HUGO ANTONIO SALMERON ACOSTA</t>
  </si>
  <si>
    <t>IC-6983</t>
  </si>
  <si>
    <t>Fact#: 359833 Rec#: 33205 CASTRO ESPINALES LUCELINA PRIMITIVA</t>
  </si>
  <si>
    <t>IC-6982</t>
  </si>
  <si>
    <t>Fact#: 358313 Rec#: 33204 JORGE ALFREDO FRANCO MORAN</t>
  </si>
  <si>
    <t>IC-6981</t>
  </si>
  <si>
    <t>Fact#: 357496-359964 Rec#: 33203 ANDRADE FLORENCIA  EMILIO JOSE</t>
  </si>
  <si>
    <t>IC-6980</t>
  </si>
  <si>
    <t>Fact#: 359207 Rec#: 33202 PAZMINO PRIETO SIXTO JAVIER</t>
  </si>
  <si>
    <t>IC-6978</t>
  </si>
  <si>
    <t xml:space="preserve">Fact#: 343124-346152 Rec#: 33201 ROSERO CRUZ MARIA AUXILIADORA </t>
  </si>
  <si>
    <t>IC-6956</t>
  </si>
  <si>
    <t xml:space="preserve">Fact#: 357932-357934-360469-360471 Rec#: 33200 JUAYATABC TELEVISION S.A. </t>
  </si>
  <si>
    <t>IC-6955</t>
  </si>
  <si>
    <t>Fact#: 360577 Rec#: 33199 DATA TOOLS S.A.</t>
  </si>
  <si>
    <t>IC-6954</t>
  </si>
  <si>
    <t>Fact#: 360477 Rec#: 33198 WANHAI LINES ECUADOR S.A.</t>
  </si>
  <si>
    <t>IC-6953</t>
  </si>
  <si>
    <t>N/D PACIFICO TRANSF. CANCELACIÓN FODETEL 1% 1ER TRIMESTRE ENE A MAR 2021 POR TELEFONIA LARGA DISTANCIA INTERNACIONAL</t>
  </si>
  <si>
    <t>N/D PACIFICO TRANSF. CANCELACIÓN FODETEL 1% 4TO TRIMESTRES ENE A MAR 2021 TELEFONIA FIJA LOCAL</t>
  </si>
  <si>
    <t>NDL-57</t>
  </si>
  <si>
    <t xml:space="preserve">Fact#: 359935 Rec#: 17970 MAYORGA ASPIAZU DARWIN RODY </t>
  </si>
  <si>
    <t>IC-6933</t>
  </si>
  <si>
    <t xml:space="preserve">Fact#: 357825-360293 Rec#: 17969 REYES ZAMBRANO MAYDA TRINIDAD </t>
  </si>
  <si>
    <t>IC-6932</t>
  </si>
  <si>
    <t xml:space="preserve">Fact#: 359372 Rec#: 17968 BERMELLO PONCE SALBADOR ATILIO </t>
  </si>
  <si>
    <t>IC-6931</t>
  </si>
  <si>
    <t xml:space="preserve">Fact#: 321848-324595-327377-330148-333008-335932-338877-341873-345396-347898 Rec#: 17967 JIMENEZ BARBERAN DANIELA JESSICA </t>
  </si>
  <si>
    <t>IC-6930</t>
  </si>
  <si>
    <t xml:space="preserve">Fact#: 352540-354883-357279 Rec#: 17966 RIVADENEIRA ZAMBRANO ANGEL FAUSTO </t>
  </si>
  <si>
    <t>IC-6929</t>
  </si>
  <si>
    <t xml:space="preserve">Fact#: 357234-359699 Rec#: 17965 HERRERA LOOR GUILLERMO NILBERTO </t>
  </si>
  <si>
    <t>IC-6928</t>
  </si>
  <si>
    <t xml:space="preserve">Fact#: 359899 Rec#: 17964 PARADA PARRA MIGUEL ANGEL </t>
  </si>
  <si>
    <t>IC-6927</t>
  </si>
  <si>
    <t>Fact#: 359318 Rec#: 33197 GUZMAN CELLERI GINGER DEL ROCIO</t>
  </si>
  <si>
    <t>IC-6944</t>
  </si>
  <si>
    <t>N/D PACIFICO TRANSF. ANTICIPO A FACTURA DE MAYO 2021 A PABLO BAQUERIZO POR HONORARIOS PROFESIONALES</t>
  </si>
  <si>
    <t>N/D PACIFICO TRANSF. ROLES DE PAGO 1ERA QUINCENA MES DE MAYO 2021</t>
  </si>
  <si>
    <t>N/D PACIFICO TRANSF. REEMBOLSO A MANUEL MERELO POR MOVILIZACIÓN DÍAS 03 AL  07 MAY 2021, MOUSE Y DETALLE POR EL DÍA DE LA MADRE</t>
  </si>
  <si>
    <t>N/D PACIFICO TRANSF. CANCELACIÓN DE FACTURA#5249737 CNEL EP</t>
  </si>
  <si>
    <t>N/D PACIFICO TRANSF. CANCELACIÓN DE FACTURA#29704036 CNEL EP</t>
  </si>
  <si>
    <t>NDL-16</t>
  </si>
  <si>
    <t>N/D PACIFICO TRANSF. CANCELACIÓN DE FACTURA CNEL EP COD:200017298429, PORTAL AL SOL, C.T.V.</t>
  </si>
  <si>
    <t>N/D PACIFICO TRANSF. CANCELACIÓN DE FACTURA#29749038 CNEL EP</t>
  </si>
  <si>
    <t>N/D PACIFICO TRANSF. CANCELACIÓN DE FACTURA#29750806 CNEL EP</t>
  </si>
  <si>
    <t>Fact#: 360406 Rec#: 33196 LG ELECTRONICS PANAMA S.A</t>
  </si>
  <si>
    <t>IC-6942</t>
  </si>
  <si>
    <t>Fact#: 360578 Rec#: 33195 FERRUX S.A.</t>
  </si>
  <si>
    <t>IC-6941</t>
  </si>
  <si>
    <t>Fact#: 358716 Rec#: 17963 LORENA LISSET NUÑEZ RODRIGUEZ</t>
  </si>
  <si>
    <t>IC-6926</t>
  </si>
  <si>
    <t>Fact#: 4258 Rec#: 17962 CACUANGO LINCANGO EDISON FABIAN</t>
  </si>
  <si>
    <t>IC-6925</t>
  </si>
  <si>
    <t>Fact#: 359377 Rec#: 17961 VALENCIA NIEVES BYRON BOLIVAR</t>
  </si>
  <si>
    <t>IC-6924</t>
  </si>
  <si>
    <t>Fact#: 354136-356546-359021 Rec#: 17960 CORTEZ ORDOÑEZ GABY GERALDINE</t>
  </si>
  <si>
    <t>IC-6923</t>
  </si>
  <si>
    <t>Fact#: 360709 Rec#: 17959 MIRANDA COPPIANO JUAN CARLOS</t>
  </si>
  <si>
    <t>IC-6922</t>
  </si>
  <si>
    <t>Fact#: 354839-357239-359704 Rec#: 17958 BARZOLA ARREAGA IVAN ABEL</t>
  </si>
  <si>
    <t>IC-6921</t>
  </si>
  <si>
    <t>Fact#: 324686-327478-330250-333111-336038-338984-341979-345502-348005 Rec#: 17957 RODRIGUEZ Y DUQUE JORGE</t>
  </si>
  <si>
    <t>IC-6920</t>
  </si>
  <si>
    <t>Fact#: 354674-357075-359543 Rec#: 17956 BIMBELA HEREDIA AXEL AARON</t>
  </si>
  <si>
    <t>IC-6919</t>
  </si>
  <si>
    <t>Fact#: 360276 Rec#: 17955 FALQUEZ SALAVARRIA PATRICIA AZUCENA</t>
  </si>
  <si>
    <t>IC-6918</t>
  </si>
  <si>
    <t>Fact#: 1341-1547-1746-1936-2141-2357-2581-2894-3144-3389 Rec#: 33194 CENTRO DE CAPACITACION ECUADOR CCDE CIA. LTDA.</t>
  </si>
  <si>
    <t>IC-6917</t>
  </si>
  <si>
    <t>Fact#: 1336 Rec#: 33193 CENTRO DE CAPACITACION ECUADOR CCDE CIA. LTDA.</t>
  </si>
  <si>
    <t>IC-6916</t>
  </si>
  <si>
    <t>Fact#: 356708-359180 Rec#: 33192 PAZ SANCHEZ ROXANA MICHELLE</t>
  </si>
  <si>
    <t>IC-6915</t>
  </si>
  <si>
    <t>Fact#: 360203 Rec#: 33191 CORAIZACA RODRIGUEZ ROBINSON UBALDO</t>
  </si>
  <si>
    <t>IC-6914</t>
  </si>
  <si>
    <t>Fact#: 360405 Rec#: 33190 DORCIEN S.A</t>
  </si>
  <si>
    <t>IC-6913</t>
  </si>
  <si>
    <t>SALAZAR TELLO NICOLAS EDUARDO CANCELA TELEFONO 3900172 ABONA SGTE FACTURA, PAGO WESTERN UNION</t>
  </si>
  <si>
    <t>AT-3281</t>
  </si>
  <si>
    <t>Fact#: 354716-357115-359581 Rec#: 17954 GUARANDA SALAZAR MILTON JUAN</t>
  </si>
  <si>
    <t>IC-6889</t>
  </si>
  <si>
    <t>Fact#: 357132-359597 Rec#: 17953 CORTEZ CANTOS  PEDRO PABLO</t>
  </si>
  <si>
    <t>IC-6888</t>
  </si>
  <si>
    <t>Fact#: 359594 Rec#: 17952 CHUCA CHANCAY ANDREA BETZABETH</t>
  </si>
  <si>
    <t>IC-6887</t>
  </si>
  <si>
    <t>Fact#: 358402 Rec#: 17951 SANDRA PATRICIA MOREJON LLANOS</t>
  </si>
  <si>
    <t>IC-6886</t>
  </si>
  <si>
    <t>Fact#: 359131 Rec#: 17950 CASTRO DORADO MARJORIE LUCIA</t>
  </si>
  <si>
    <t>IC-6885</t>
  </si>
  <si>
    <t>Fact#: 356440-358916 Rec#: 17949 ELIDA DEL CARMEN MOREIRA VELEZ</t>
  </si>
  <si>
    <t>IC-6884</t>
  </si>
  <si>
    <t>Fact#: 359715 Rec#: 17948 CERCADO MENDOZA MARIA AUXILIADORA</t>
  </si>
  <si>
    <t>IC-6883</t>
  </si>
  <si>
    <t>Fact#: 356800-359272 Rec#: 17947 CORTEZ AVILES PEDRO ROGELIO</t>
  </si>
  <si>
    <t>IC-6882</t>
  </si>
  <si>
    <t>Fact#: 360206 Rec#: 17946 MORANTE AVILA CESAR HIPOLITO</t>
  </si>
  <si>
    <t>IC-6881</t>
  </si>
  <si>
    <t>Fact#: 360676 Rec#: 17945 REX PLASTICS S.A.</t>
  </si>
  <si>
    <t>IC-6880</t>
  </si>
  <si>
    <t>Fact#: 356731-359205 Rec#: 33189 PERALTA CASTILLO ELSA DEL ROCIO</t>
  </si>
  <si>
    <t>IC-6879</t>
  </si>
  <si>
    <t>Fact#: 360503 Rec#: 33188 ELECTROMOOM S.A.</t>
  </si>
  <si>
    <t>IC-6878</t>
  </si>
  <si>
    <t>Fact#: 359753 Rec#: 17944 ZAMBRANO RIVERA EDINSON EDGAR</t>
  </si>
  <si>
    <t>IC-6877</t>
  </si>
  <si>
    <t>Fact#: 4321 Rec#: 17943 SALINAS GONZALEZ JAIME PATRICIO</t>
  </si>
  <si>
    <t>IC-6876</t>
  </si>
  <si>
    <t>Fact#: 359565 Rec#: 17942 CASTRO BARZOLA KEVIN JONATHAN</t>
  </si>
  <si>
    <t>IC-6875</t>
  </si>
  <si>
    <t>Fact#: 358366 Rec#: 17941 MICHELLE LAI YIM LOPEZ CORDOVA</t>
  </si>
  <si>
    <t>IC-6874</t>
  </si>
  <si>
    <t>Fact#: 357162-359625 Rec#: 17940 BERMEO ANDRADE RITA AZUCENA</t>
  </si>
  <si>
    <t>IC-6871</t>
  </si>
  <si>
    <t>Fact#: 355977-358459 Rec#: 17939 ENCALADA SANCHEZ NIEVES ELIZABETH</t>
  </si>
  <si>
    <t>IC-6870</t>
  </si>
  <si>
    <t xml:space="preserve">Fact#: 357620 Rec#: 33187 CAMPOSANO VACA GLENDA MARJORIE </t>
  </si>
  <si>
    <t>IC-6858</t>
  </si>
  <si>
    <t>ZAMBRANO MOREIRA LUIS ALFREDO  CANCLEA TELEFONO 3906819 ABONA SGTE FACTURA, PAGO WESTERN UNION</t>
  </si>
  <si>
    <t>AT-3280</t>
  </si>
  <si>
    <t>N/D PACIFICO CANCELACION DE FACTURA#75163979 OTECEL S.A. CUOTA 11/24</t>
  </si>
  <si>
    <t>Fact#: 360823 Rec#: 17937 T &amp; C ECUADOR SETCEC S.A.</t>
  </si>
  <si>
    <t>IC-6979</t>
  </si>
  <si>
    <t>Fact#: 357841-360314 Rec#: 33182 ROMERO SORNOZA LUIS ALFREDO</t>
  </si>
  <si>
    <t>IC-6846</t>
  </si>
  <si>
    <t>Fact#: 356363-358843 Rec#: 33186 RICARDO ARMANDO COLOMA MOLINA</t>
  </si>
  <si>
    <t>IC-6845</t>
  </si>
  <si>
    <t>Fact#: 359892 Rec#: 33185 JAIME ALBERTO  RINCON GOMEZ</t>
  </si>
  <si>
    <t>IC-6844</t>
  </si>
  <si>
    <t>Fact#: 360535 Rec#: 33184 JORGE ARTURO ZANABRIA VILLAMAR</t>
  </si>
  <si>
    <t>IC-6843</t>
  </si>
  <si>
    <t>Fact#: 356400-358875 Rec#: 33183 XAVIER ALFREDO ZANABRIA VILLAMAR</t>
  </si>
  <si>
    <t>IC-6842</t>
  </si>
  <si>
    <t>Fact#: 339736-343279 Rec#: 33181 COBREXLEG SA</t>
  </si>
  <si>
    <t>IC-6841</t>
  </si>
  <si>
    <t>Fact#: 360385 Rec#: 33180 ASOC. DE PROPIETARIOS URB. VIA AL SOL</t>
  </si>
  <si>
    <t>IC-6840</t>
  </si>
  <si>
    <t>Fact#: 359158 Rec#: 17938 YANEZ ARROYO LUIS ALBERTO</t>
  </si>
  <si>
    <t>IC-6839</t>
  </si>
  <si>
    <t>Fact#: 359268 Rec#: 17936 CHAVEZ ZAMBRANO MARIA DOLORES</t>
  </si>
  <si>
    <t>IC-6837</t>
  </si>
  <si>
    <t>Fact#: 358282-360820 Rec#: 17935 KAT SUSPENSION AUTOMOTRIZ S.A.</t>
  </si>
  <si>
    <t>IC-6836</t>
  </si>
  <si>
    <t>Fact#: 353811-356233-358715 Rec#: 17934 SANDRA ELIZABETH BARBERAN GUADAMUD</t>
  </si>
  <si>
    <t>IC-6835</t>
  </si>
  <si>
    <t>Fact#: 357437-359905 Rec#: 17933 SANCHEZ CONSTANTE RICHARD ALBERTO</t>
  </si>
  <si>
    <t>IC-6834</t>
  </si>
  <si>
    <t>Fact#: 357379-359848 Rec#: 17932 VERA DEL PEZO DOLORES VICTORIA</t>
  </si>
  <si>
    <t>IC-6833</t>
  </si>
  <si>
    <t>Fact#: 357047-359514 Rec#: 17931 BALSECA CALVA GRACIELA RAQUEL</t>
  </si>
  <si>
    <t>IC-6832</t>
  </si>
  <si>
    <t>Fact#: 356293-358770 Rec#: 17930 ALONSO RIGOBERTO VALENCIA CHICA</t>
  </si>
  <si>
    <t>IC-6831</t>
  </si>
  <si>
    <t>Fact#: 354446-356850-359319 Rec#: 17929 ASTUDILLO JARA ISRAEL WILLIAM</t>
  </si>
  <si>
    <t>IC-6829</t>
  </si>
  <si>
    <t>Fact#: 359045 Rec#: 17928 PINO MATAMOROS GALO EFRAIN</t>
  </si>
  <si>
    <t>IC-6828</t>
  </si>
  <si>
    <t>Fact#: 359231 Rec#: 17927 PARRALES GONZALEZ NIXA JASMIN</t>
  </si>
  <si>
    <t>IC-6827</t>
  </si>
  <si>
    <t>Fact#: 357003-359470 Rec#: 17926 ANDRADE AMOROZO AUGUSTO GUIDO</t>
  </si>
  <si>
    <t>IC-6826</t>
  </si>
  <si>
    <t>Fact#: 356177-358660 Rec#: 17925 MAGALY BETSABETH NAVARRETE LOOR</t>
  </si>
  <si>
    <t>IC-6825</t>
  </si>
  <si>
    <t>Fact#: 344439-347184-349660 Rec#: 17924 ARIAS RIVERA SONIA CARMEN</t>
  </si>
  <si>
    <t>IC-6824</t>
  </si>
  <si>
    <t>Fact#: 356451-358928 Rec#: 17923 NARCISA MIRELLA ANDRADE SALTOS</t>
  </si>
  <si>
    <t>IC-6823</t>
  </si>
  <si>
    <t>Fact#: 360688 Rec#: 17922 ALVARADO BASURTO SEGUNDO GABRIEL</t>
  </si>
  <si>
    <t>IC-6822</t>
  </si>
  <si>
    <t>Fact#: 357063-359532 Rec#: 17921 MARIN CESAR EDUARDO</t>
  </si>
  <si>
    <t>IC-6821</t>
  </si>
  <si>
    <t>Fact#: 358284-360822 Rec#: 17920 SAKURA HATSUMI INTERNACIONAL EXPORTADORA S.A</t>
  </si>
  <si>
    <t>IC-6820</t>
  </si>
  <si>
    <t>Fact#: 359252 Rec#: 17919 RIVADENEIRA SACON GRACE ALEXANDRA</t>
  </si>
  <si>
    <t>IC-6819</t>
  </si>
  <si>
    <t>Fact#: 359821 Rec#: 17918 JOSE ANTONIO  DIAZ ACOSTA</t>
  </si>
  <si>
    <t>IC-6818</t>
  </si>
  <si>
    <t>Fact#: 354347-356751-359225 Rec#: 17917 PENA PAREDES PEDRO PABLO</t>
  </si>
  <si>
    <t>IC-6817</t>
  </si>
  <si>
    <t>JOMALUNKA S.A CANCELA TELEFONO 3902004 ABONA SGTE FACTURA, PAGO WESTERN UNION</t>
  </si>
  <si>
    <t>AT-3278</t>
  </si>
  <si>
    <t>N/D PACIFICO TRANSF. PAGO PLLAS. IESS NORMAL MES DE ABRIL 2021, COMP#142536655 A PABLO BAQUERIZO</t>
  </si>
  <si>
    <t>N/D PACIFICO TRANSF. PAGO PLLAS. FONDOS DE RESERVA MES DE ABRIL 2021, COMP#21024488</t>
  </si>
  <si>
    <t>N/D PACIFICO TRANSF. PAGO PLLAS. IESS PREST. QUIROGRAFARIO MES DE ABRIL 2021, COMP#34073952</t>
  </si>
  <si>
    <t>N/D PACIFICO TRANSF. PAGO PLLAS. IESS PREST. HIPOTECARIO MES DE ABRIL 2021, COMP#11410924</t>
  </si>
  <si>
    <t>N/D PACIFICO TRANSF. PAGO DE PLLAS. AJUSTE MES DE ABRIL 2021, COMP#142499334</t>
  </si>
  <si>
    <t>N/D PACIFICO TRANSF. PAGO DE PLLAS. IESS NORMALES MES DE ABRIL-2021, COMP#142498289</t>
  </si>
  <si>
    <t>N/D PACIFICO TRANSF. CANCELACIÓN DE FACTURA#5301942 CNEL EP</t>
  </si>
  <si>
    <t>N/D PACIFICO TRANSF. CANCELACIÓN DE FACTURA#5115490 CNEL EP</t>
  </si>
  <si>
    <t>N/D PACIFICO TRANSF. CANCELACIÓN DE FACTURAS#172386605, 172386606, 172386607, 172386608 CNT EP</t>
  </si>
  <si>
    <t>N/D PACIFICO TRANSF. CANCELACIÓN DE FACTURA#172386609 CNT EP</t>
  </si>
  <si>
    <t>Fact#: 360771 Rec#: 33231 REPROLIMIT CIA.LTDA</t>
  </si>
  <si>
    <t>IC-7139</t>
  </si>
  <si>
    <t>Fact#: 352668-355014-357407 Rec#: 17916 RIZZO BASTIDAS CECILIA ELIZABETH</t>
  </si>
  <si>
    <t>IC-6806</t>
  </si>
  <si>
    <t>Fact#: 357183-359646 Rec#: 17915 FREIRE ANDRADE PAOLA MARIA</t>
  </si>
  <si>
    <t>IC-6805</t>
  </si>
  <si>
    <t>Fact#: 354272-356681-359153 Rec#: 17914 SALAZAR MONTIEL ABEL OLIMPO</t>
  </si>
  <si>
    <t>IC-6804</t>
  </si>
  <si>
    <t>Fact#: 354921-357317-359787 Rec#: 17913 IZQUIERDO NOBOA ANDREA STEFANIA</t>
  </si>
  <si>
    <t>IC-6803</t>
  </si>
  <si>
    <t>Fact#: 357307-359777 Rec#: 17912 LOPEZ MALDONADO CARLOS ROLANDO</t>
  </si>
  <si>
    <t>IC-6802</t>
  </si>
  <si>
    <t>Fact#: 358675 Rec#: 17911 ULISES MARTIN VARGAS FIGUEROA</t>
  </si>
  <si>
    <t>IC-6801</t>
  </si>
  <si>
    <t>Fact#: 4145-4361 Rec#: 17910 ALVAREZ MOLINA PAUL ALEJANDRO</t>
  </si>
  <si>
    <t>IC-6800</t>
  </si>
  <si>
    <t>Fact#: 358199-360735 Rec#: 17909 FERNANDEZ CEVALLOS S.A FERCEVSA</t>
  </si>
  <si>
    <t>IC-6799</t>
  </si>
  <si>
    <t>Fact#: 358198-360734 Rec#: 17908 FERNANDEZ CEVALLOS S.A FERCEVSA</t>
  </si>
  <si>
    <t>IC-6798</t>
  </si>
  <si>
    <t>Fact#: 4003-4221-4447 Rec#: 17907 BORJA UYANA DANIEL GENARO</t>
  </si>
  <si>
    <t>IC-6797</t>
  </si>
  <si>
    <t>Fact#: 360396 Rec#: 17906 ASOCIACION DE PROPIETARIOS VALLE ALTO ETAPA PARIS</t>
  </si>
  <si>
    <t>IC-6796</t>
  </si>
  <si>
    <t>Fact#: 358820 Rec#: 17905 NANCY ESTHELA SANCHEZ</t>
  </si>
  <si>
    <t>IC-6795</t>
  </si>
  <si>
    <t>Fact#: 356236-358718 Rec#: 17904 ALEXANDER WELLINGTON ALVARADO CARRIEL</t>
  </si>
  <si>
    <t>IC-6794</t>
  </si>
  <si>
    <t>Fact#: 359533 Rec#: 17903 SARMIENTO VIVEROS ALEXANDRA ELIZABETH</t>
  </si>
  <si>
    <t>IC-6793</t>
  </si>
  <si>
    <t>Fact#: 356389-358865 Rec#: 17902 JAVIER JOHNNY VALLEJO NUÑEZ</t>
  </si>
  <si>
    <t>IC-6792</t>
  </si>
  <si>
    <t>Fact#: 358490 Rec#: 17901 LOPEZ LOPEZ WASHINGTON FERMIN</t>
  </si>
  <si>
    <t>IC-6791</t>
  </si>
  <si>
    <t>Fact#: 359922 Rec#: 17900 PILLIGUA ANCHUNDIA SEGUNDO BAUDILLO</t>
  </si>
  <si>
    <t>IC-6790</t>
  </si>
  <si>
    <t>Fact#: 328604-331430-334343-337277-340268-343798 Rec#: 33179 KEVIN ALEXANDER PINO BERMELLO</t>
  </si>
  <si>
    <t>IC-6789</t>
  </si>
  <si>
    <t>Fact#: 360481 Rec#: 33178 AUTOMERCADO S.A.</t>
  </si>
  <si>
    <t>IC-6788</t>
  </si>
  <si>
    <t>Fact#: 360482 Rec#: 33177 AUTOMERCADO S.A.</t>
  </si>
  <si>
    <t>IC-6787</t>
  </si>
  <si>
    <t>Fact#: 360485 Rec#: 33176 ANEMASA S.A.</t>
  </si>
  <si>
    <t>IC-6786</t>
  </si>
  <si>
    <t>Fact#: 360519 Rec#: 33175 CHRISTIAN JAVIER MIDEROS ROMERO</t>
  </si>
  <si>
    <t>IC-6785</t>
  </si>
  <si>
    <t>Fact#: 360683 Rec#: 17899 JARRIN LOPEZ VERONICA ELIZABETH</t>
  </si>
  <si>
    <t>IC-6778</t>
  </si>
  <si>
    <t>Fact#: 360713 Rec#: 17898 MERCHAN BALON CHRISTOPHER FERNANDO</t>
  </si>
  <si>
    <t>IC-6777</t>
  </si>
  <si>
    <t>Fact#: 353997-356411-358886 Rec#: 17897 CARMEN LUISA PORTUGAL JACOME</t>
  </si>
  <si>
    <t>IC-6776</t>
  </si>
  <si>
    <t>Fact#: 356883-359347 Rec#: 17896 VELASTEGUI COELLAR MICHAEL PATRICIO</t>
  </si>
  <si>
    <t>IC-6775</t>
  </si>
  <si>
    <t>Fact#: 354797-357196-359660 Rec#: 17895 FRANCO RODRIGUEZ FEDERICO ENRIQUE</t>
  </si>
  <si>
    <t>IC-6774</t>
  </si>
  <si>
    <t>Fact#: 357459-359927 Rec#: 17894 FLORES ORTEGA MERCEDES ROCIO</t>
  </si>
  <si>
    <t>IC-6772</t>
  </si>
  <si>
    <t>Fact#: 356799-359271 Rec#: 17893 CASTILLO PAZMINO ANTHONI AARON</t>
  </si>
  <si>
    <t>IC-6771</t>
  </si>
  <si>
    <t>Fact#: 357628-360103 Rec#: 17892 BARBERAN BRIONES CARMEN ASUNCION</t>
  </si>
  <si>
    <t>IC-6770</t>
  </si>
  <si>
    <t>Fact#: 355902-358381 Rec#: 17891 EDDY MANUEL CHAVEZ CEDEÑO</t>
  </si>
  <si>
    <t>IC-6768</t>
  </si>
  <si>
    <t>Fact#: 354364-356769-359242 Rec#: 17890 VALLE GONZALEZ LIDIA ELIZABETH</t>
  </si>
  <si>
    <t>IC-6767</t>
  </si>
  <si>
    <t>Fact#: 357172-359635 Rec#: 17889 ALZAMORA ALVARADO HECTOR JAVIER</t>
  </si>
  <si>
    <t>IC-6766</t>
  </si>
  <si>
    <t>Fact#: 356402-358877 Rec#: 17888 ALEX RICARDO POLIT LUNA</t>
  </si>
  <si>
    <t>IC-6765</t>
  </si>
  <si>
    <t>Fact#: 358429 Rec#: 17887 HAYDEE GANDIOSA  FALUGIANI MORA</t>
  </si>
  <si>
    <t>IC-6764</t>
  </si>
  <si>
    <t>Fact#: 356144-358627 Rec#: 17886 FREDY JHOVANY VARGAS LEON</t>
  </si>
  <si>
    <t>IC-6763</t>
  </si>
  <si>
    <t>Fact#: 356607-359078 Rec#: 17885 GOMEZ LOPEZ SAMUEL ELEODORO</t>
  </si>
  <si>
    <t>IC-6762</t>
  </si>
  <si>
    <t>Fact#: 354227-356634-359103 Rec#: 17884 PINCAY RUIZ VICENTA MARLENE</t>
  </si>
  <si>
    <t>IC-6761</t>
  </si>
  <si>
    <t>Fact#: 356723-359197 Rec#: 17883 MENDEZ VILLON CARMEN MARISOL</t>
  </si>
  <si>
    <t>IC-6760</t>
  </si>
  <si>
    <t>Fact#: 4064-4285 Rec#: 17882 ZAMBRANO OLMEDO VERONICA PATRICIA</t>
  </si>
  <si>
    <t>IC-6759</t>
  </si>
  <si>
    <t>Fact#: 356949-359414 Rec#: 17881 ANZULES LEMA JUAN GABRIEL</t>
  </si>
  <si>
    <t>IC-6758</t>
  </si>
  <si>
    <t>Fact#: 359721 Rec#: 17880 LAURIDO ROMERO MOISES ARGENIS</t>
  </si>
  <si>
    <t>IC-6757</t>
  </si>
  <si>
    <t xml:space="preserve">Fact#: 776-777 Rec#: 33174 F.V - AREA ANDINA S.A. </t>
  </si>
  <si>
    <t>IC-6755</t>
  </si>
  <si>
    <t xml:space="preserve">Fact#: 357554-360018 Rec#: 33173 ESTACIO NAPA HECTOR RICARDO </t>
  </si>
  <si>
    <t>IC-6754</t>
  </si>
  <si>
    <t>Fact#: 358295 Rec#: 33172 Corporación Nacional de Telecomunicaciones-CNT EP</t>
  </si>
  <si>
    <t>IC-6726</t>
  </si>
  <si>
    <t>Fact#: 358296 Rec#: 33171 Corporación Nacional de Telecomunicaciones-CNT EP</t>
  </si>
  <si>
    <t>IC-6725</t>
  </si>
  <si>
    <t>Fact#: 357565-360030 Rec#: 33170 CAMACHO SILVA JAVIER ENRIQUE</t>
  </si>
  <si>
    <t>IC-6723</t>
  </si>
  <si>
    <t>CHACON CALDERON SARITA MARIA DE LOS ANGEL CANCELA TELEFONO 3908129 ABONA SGTE FACTURA, BCO PACIFICO POR VENTANILLA</t>
  </si>
  <si>
    <t>AT-3277</t>
  </si>
  <si>
    <t>Fact#: 359421 Rec#: 33169 VILLON SORIANO DIOSELINA SOLEDAD</t>
  </si>
  <si>
    <t>IC-6712</t>
  </si>
  <si>
    <t>Fact#: 360597 Rec#: 33168 DELGADO VINTIMILLA CARLOS FERNANDO</t>
  </si>
  <si>
    <t>IC-6711</t>
  </si>
  <si>
    <t>Fact#: 358496 Rec#: 33167 VILLAO JURADO ANDREA BELEN</t>
  </si>
  <si>
    <t>IC-6710</t>
  </si>
  <si>
    <t>Fact#: 358424 Rec#: 33166 CARMEN NARCISA  JURADO PAREDES</t>
  </si>
  <si>
    <t>IC-6709</t>
  </si>
  <si>
    <t>Fact#: 356663-359134 Rec#: 33165 SUQUILANDA VERA MICHAEL ANTONIO</t>
  </si>
  <si>
    <t>IC-6708</t>
  </si>
  <si>
    <t>Fact#: 357410-359878 Rec#: 33164 SALTOS MATA FILADELFO VLADIMIR</t>
  </si>
  <si>
    <t>IC-6707</t>
  </si>
  <si>
    <t>Fact#: 360539 Rec#: 33163 CONSTRU-YA S.A.</t>
  </si>
  <si>
    <t>IC-6706</t>
  </si>
  <si>
    <t>Fact#: 360461-360462 Rec#: 33162 REFRIGERACIÓN INDUSTRIAL CORNEJO REFRICOR-EC CIA.</t>
  </si>
  <si>
    <t>IC-6705</t>
  </si>
  <si>
    <t>Fact#: 360742 Rec#: 33161 EMPRESA PUBLICA MUNICIPAL PARA LA GESTIÓN DE LA INNOVACIÓN  Y LA COMPETITIVIDAD, EP</t>
  </si>
  <si>
    <t>IC-6704</t>
  </si>
  <si>
    <t>Fact#: 4204-4430 Rec#: 17879 AGUILAR ECHEVERRIA LUIS FERNANDO</t>
  </si>
  <si>
    <t>IC-6702</t>
  </si>
  <si>
    <t>Fact#: 357775-360246 Rec#: 17878 REDROBAN MORA MAXIMO PATRICIO</t>
  </si>
  <si>
    <t>IC-6701</t>
  </si>
  <si>
    <t>Fact#: 359278 Rec#: 17877 AGUIRRE HURTADO KATHERINE ELIZABETH</t>
  </si>
  <si>
    <t>IC-6699</t>
  </si>
  <si>
    <t>Fact#: 359056 Rec#: 17876 MERCHAN  PEREZ FABIAN BERNARDINO</t>
  </si>
  <si>
    <t>IC-6698</t>
  </si>
  <si>
    <t>Fact#: 360351 Rec#: 17875 ASTUDILLO PIURI DOLORES LUZMILA</t>
  </si>
  <si>
    <t>IC-6697</t>
  </si>
  <si>
    <t>Fact#: 353826-356248-358730 Rec#: 17874 JONATHAN SAHI ALVES BAUTISTA</t>
  </si>
  <si>
    <t>IC-6696</t>
  </si>
  <si>
    <t>Fact#: 3138-3383-3589 Rec#: 17873 ROSO SANCHEZ JHONATAN ALFONSO</t>
  </si>
  <si>
    <t>IC-6695</t>
  </si>
  <si>
    <t>Fact#: 354713-357112-359578 Rec#: 17872 REYES PINCAY JORGE VICTOR</t>
  </si>
  <si>
    <t>IC-6694</t>
  </si>
  <si>
    <t>Fact#: 353781-356203-358685 Rec#: 17871 ANGEL FERNANDO ERAS GALARZA</t>
  </si>
  <si>
    <t>IC-6693</t>
  </si>
  <si>
    <t>Fact#: 359887 Rec#: 17870 ZAPATA ROMERO ROBERTO DRUVAL</t>
  </si>
  <si>
    <t>IC-6692</t>
  </si>
  <si>
    <t>Fact#: 359720 Rec#: 17869 CHOEZ BRAVO JOSE ANTONIO</t>
  </si>
  <si>
    <t>IC-6691</t>
  </si>
  <si>
    <t>Fact#: 351859-354200-356608 Rec#: 17868 CORNEJO PRIMO CRISTIAN XAVIER</t>
  </si>
  <si>
    <t>IC-6690</t>
  </si>
  <si>
    <t>Fact#: 355704-358166-360701 Rec#: 17867 VASQUEZ MOREIRA HILDA VIVIANA</t>
  </si>
  <si>
    <t>IC-6689</t>
  </si>
  <si>
    <t>Fact#: 355705-358167-360702 Rec#: 17866 VASQUEZ MOREIRA HILDA VIVIANA</t>
  </si>
  <si>
    <t>IC-6688</t>
  </si>
  <si>
    <t>Fact#: 357336-359806 Rec#: 17865 FERRIN ANDRADE ERICKA MARIUXI</t>
  </si>
  <si>
    <t>IC-6687</t>
  </si>
  <si>
    <t>Fact#: 354226-356633-359102 Rec#: 17864 CASTRO RIVERA JONATHAN GEOVANNY</t>
  </si>
  <si>
    <t>IC-6686</t>
  </si>
  <si>
    <t>Fact#: 360755 Rec#: 17863 LANDIVAR VELIZ CARLOS ALEX</t>
  </si>
  <si>
    <t>IC-6685</t>
  </si>
  <si>
    <t>Fact#: 360144 Rec#: 17862 PACHECO SOLEDISPA BORIS ALEXIS</t>
  </si>
  <si>
    <t>IC-6684</t>
  </si>
  <si>
    <t>Fact#: 357622-360097 Rec#: 17861 ANDRADE TOBAR MIGUEL ANTONIO</t>
  </si>
  <si>
    <t>IC-6683</t>
  </si>
  <si>
    <t>Fact#: 359398 Rec#: 17860 CRUZ MONTANO CLAUDIA JOHANNA</t>
  </si>
  <si>
    <t>IC-6682</t>
  </si>
  <si>
    <t>Fact#: 356220-358702 Rec#: 17859 DIEGO FRANCISCO PONCE MENDOZA</t>
  </si>
  <si>
    <t>IC-6681</t>
  </si>
  <si>
    <t>Fact#: 359867 Rec#: 17858 MORA FUENTES ALONSO GABRIEL</t>
  </si>
  <si>
    <t>IC-6680</t>
  </si>
  <si>
    <t>Fact#: 354884-357280-359749 Rec#: 33160 ROSERO TEJADA RICARDO EMILIO</t>
  </si>
  <si>
    <t>IC-6678</t>
  </si>
  <si>
    <t>Fact#: 360342 Rec#: 33159 URAGA AYALA ROBERTO JOSE</t>
  </si>
  <si>
    <t>IC-6673</t>
  </si>
  <si>
    <t>INZHIVOTKINA YANA CANCELA TELEFONO 3908534 ABONA SGTE FACTURA, BCO PACIFICO POR VENTANILLA</t>
  </si>
  <si>
    <t>AT-3276</t>
  </si>
  <si>
    <t>SERCOBCIM S.A. CANCELA TELEFONO 3901284 ABONA SGTE FACTURA, PAGO WETSERN UNION</t>
  </si>
  <si>
    <t>AT-3275</t>
  </si>
  <si>
    <t xml:space="preserve">Fact#: 359188 Rec#: 33151 LOGROÑO REYES VICENTE JAVIER </t>
  </si>
  <si>
    <t>IC-6633</t>
  </si>
  <si>
    <t xml:space="preserve">Fact#: 355354-357738-360207 Rec#: 33150 JIMENEZ ICAZA JULIO CESAR </t>
  </si>
  <si>
    <t>IC-6632</t>
  </si>
  <si>
    <t xml:space="preserve">Fact#: 360563 Rec#: 33149 CIPORT &amp; TECNAC CIPTE C.L </t>
  </si>
  <si>
    <t>IC-6631</t>
  </si>
  <si>
    <t>N/d por comisiones de western union por recaudacion 03/05/2021 al 06/05/2021</t>
  </si>
  <si>
    <t>Fact#: 358465 Rec#: 33158 RIOS ORELLANA INGRID DE LA CRUZ</t>
  </si>
  <si>
    <t>IC-6657</t>
  </si>
  <si>
    <t>Fact#: 358257-360799 Rec#: 33157 LUZURIAGA CAMPOVERDE MILTON JAIRO</t>
  </si>
  <si>
    <t>IC-6656</t>
  </si>
  <si>
    <t>Fact#: 358256-360798 Rec#: 33156 LUZURIAGA CAMPOVERDE MILTON JAIRO</t>
  </si>
  <si>
    <t>IC-6655</t>
  </si>
  <si>
    <t>Fact#: 358574 Rec#: 33155 HENRY LENY BETANCOURT VITERI</t>
  </si>
  <si>
    <t>IC-6654</t>
  </si>
  <si>
    <t>Fact#: 358370 Rec#: 33154 ALVARO CORNEJO RODRIGUEZ</t>
  </si>
  <si>
    <t>IC-6653</t>
  </si>
  <si>
    <t>Fact#: 356458-358935 Rec#: 33153 WENDY LORENA QUIMIS CHOEZ</t>
  </si>
  <si>
    <t>IC-6652</t>
  </si>
  <si>
    <t>Fact#: 358394 Rec#: 33152 FERNANDO GABRIEL AVILES USCOCOVICH</t>
  </si>
  <si>
    <t>IC-6651</t>
  </si>
  <si>
    <t>Fact#: 359226 Rec#: 17857 ROMAN ALVARADO LILIAN ISIDORA</t>
  </si>
  <si>
    <t>IC-6650</t>
  </si>
  <si>
    <t>Fact#: 354316-356722-359196 Rec#: 17856 ROMERO VERA MARIANA DE LAS MERCEDES</t>
  </si>
  <si>
    <t>IC-6649</t>
  </si>
  <si>
    <t>Fact#: 360712 Rec#: 17855 BRODERIN S.A</t>
  </si>
  <si>
    <t>IC-6648</t>
  </si>
  <si>
    <t>Fact#: 356034-358514 Rec#: 17854 BELLA FRANCISCA FARIAS BANEGAS</t>
  </si>
  <si>
    <t>IC-6647</t>
  </si>
  <si>
    <t>Fact#: 359549 Rec#: 17853 CABELLO CHIRIGUAYA DAVID ELIAS</t>
  </si>
  <si>
    <t>IC-6646</t>
  </si>
  <si>
    <t>Fact#: 359536 Rec#: 17852 MALDONADO VILLAMAR HUMBERTO MARTIN</t>
  </si>
  <si>
    <t>IC-6645</t>
  </si>
  <si>
    <t>Fact#: 351844-354185-356594 Rec#: 17851 GUERRERO HOLGUIN JAIME GUSTAVO</t>
  </si>
  <si>
    <t>IC-6644</t>
  </si>
  <si>
    <t>Fact#: 356121-358604 Rec#: 17850 NUBIA CICELY LOPEZ CONTRERAS</t>
  </si>
  <si>
    <t>IC-6643</t>
  </si>
  <si>
    <t>Fact#: 358771 Rec#: 17849 JAVIER FEDERICO VILLON ANASTACIO</t>
  </si>
  <si>
    <t>IC-6642</t>
  </si>
  <si>
    <t>Fact#: 356974-359439 Rec#: 17848 BENITEZ SIGUENZA CECILIA DEL CARMEN</t>
  </si>
  <si>
    <t>IC-6641</t>
  </si>
  <si>
    <t>Fact#: 358108-360645 Rec#: 17847 VIOSCULPT ECUADOR S.A.</t>
  </si>
  <si>
    <t>IC-6640</t>
  </si>
  <si>
    <t>Fact#: 358291-359495 Rec#: 17846 DUQUE ROMERO LENIN EFRAIN</t>
  </si>
  <si>
    <t>IC-6639</t>
  </si>
  <si>
    <t>Fact#: 357783-360254 Rec#: 17845 ROURA SEMINARIO MARIA LEONOR</t>
  </si>
  <si>
    <t>IC-6638</t>
  </si>
  <si>
    <t>Fact#: 359040 Rec#: 17844 AGUILAR AVILES ANDREA CAROLINA</t>
  </si>
  <si>
    <t>IC-6637</t>
  </si>
  <si>
    <t>Fact#: 352953-355309-357698 Rec#: 17843 MATEO SANTILLAN FERNANDO XAVIER</t>
  </si>
  <si>
    <t>IC-6636</t>
  </si>
  <si>
    <t>Fact#: 359069 Rec#: 17842 GAVINO LARREATEGUI  JUAN ALFREDO</t>
  </si>
  <si>
    <t>IC-6635</t>
  </si>
  <si>
    <t>Fact#: 357048-359515 Rec#: 17841 MORALES MARCILLO YESENIA MONICA</t>
  </si>
  <si>
    <t>IC-6634</t>
  </si>
  <si>
    <t>Fact#: 4453 Rec#: 33147 HERRERA CIFUENTES ESTUARDO WLADIMIR</t>
  </si>
  <si>
    <t>IC-6560</t>
  </si>
  <si>
    <t>Fact#: 358105-358121-358122-358123 Rec#: 33146 RUIZ ROMAN ROMMEL ELIAS</t>
  </si>
  <si>
    <t>IC-6530</t>
  </si>
  <si>
    <t>Fact#: 358200-360736 Rec#: 33145 MÜLLER CARDENAS MICHAEL</t>
  </si>
  <si>
    <t>IC-6528</t>
  </si>
  <si>
    <t>Fact#: 355910-358391 Rec#: 17840 MARCOS ROBERTO CALDERON VELASQUEZ</t>
  </si>
  <si>
    <t>IC-6518</t>
  </si>
  <si>
    <t>Fact#: 354898-357292-359761 Rec#: 17839 ONETO LERTORA CARMEN MARIA</t>
  </si>
  <si>
    <t>IC-6517</t>
  </si>
  <si>
    <t>Fact#: 357970-360508 Rec#: 17838 FORMICONSTRUC S.A.</t>
  </si>
  <si>
    <t>IC-6516</t>
  </si>
  <si>
    <t>Fact#: 359589 Rec#: 17837 BHURANI SUMEET</t>
  </si>
  <si>
    <t>IC-6515</t>
  </si>
  <si>
    <t>Fact#: 355733-358195-360731 Rec#: 17836 VDS C.C.C</t>
  </si>
  <si>
    <t>IC-6514</t>
  </si>
  <si>
    <t>Fact#: 358322 Rec#: 17835 LIDIA JUDITH OJEDA RUIZ</t>
  </si>
  <si>
    <t>IC-6513</t>
  </si>
  <si>
    <t>Fact#: 352099-354439-356843 Rec#: 17834 PINO ARROBA ALVARO ERNESTO</t>
  </si>
  <si>
    <t>IC-6512</t>
  </si>
  <si>
    <t>Fact#: 356292-358769 Rec#: 17833 NANCY GREGORIA DELGADO MEZA</t>
  </si>
  <si>
    <t>IC-6511</t>
  </si>
  <si>
    <t>Fact#: 358473 Rec#: 17832 NELIS MARIA PINARGOTE YEPEZ</t>
  </si>
  <si>
    <t>IC-6510</t>
  </si>
  <si>
    <t>Fact#: 359149 Rec#: 17831 ZAMBRANO MOREIRA LUIS ALFREDO</t>
  </si>
  <si>
    <t>IC-6509</t>
  </si>
  <si>
    <t>Fact#: 357028-359493 Rec#: 17830 FIGUEROA RIOS MIGUEL IBSEN</t>
  </si>
  <si>
    <t>IC-6508</t>
  </si>
  <si>
    <t>Fact#: 336276-339236-342240-345764-348267 Rec#: 17829 CONTRERAS PEREZ MARTHA YOLANDA</t>
  </si>
  <si>
    <t>IC-6507</t>
  </si>
  <si>
    <t>Fact#: 358912 Rec#: 17828 BEATRIZ MARIA DEL CARMEN PACHECO BALLESTEROS</t>
  </si>
  <si>
    <t>IC-6506</t>
  </si>
  <si>
    <t>Fact#: 4286 Rec#: 17827 SILVA REA OLIVO AMADO</t>
  </si>
  <si>
    <t>IC-6505</t>
  </si>
  <si>
    <t>Fact#: 359136 Rec#: 17826 ARROBA VALENCIA  JULIO ZENON</t>
  </si>
  <si>
    <t>IC-6504</t>
  </si>
  <si>
    <t>Fact#: 356358-358838 Rec#: 17825 RUTH ANGELICA VERDEZOTO GAIBOR</t>
  </si>
  <si>
    <t>IC-6503</t>
  </si>
  <si>
    <t>Fact#: 358277-360815 Rec#: 17824 BAUMAN</t>
  </si>
  <si>
    <t>IC-6502</t>
  </si>
  <si>
    <t>Fact#: 358172-360707 Rec#: 17823 TRSC ENTERPRISES S.A</t>
  </si>
  <si>
    <t>IC-6501</t>
  </si>
  <si>
    <t>Fact#: 358972 Rec#: 17822 YAGUAL GOMEZ JOHAN ALEJANDRO</t>
  </si>
  <si>
    <t>IC-6500</t>
  </si>
  <si>
    <t>Fact#: 312885-315551-318244 Rec#: 17821 PIZARRO CARDENAS PEDRO ANTONIO</t>
  </si>
  <si>
    <t>IC-6499</t>
  </si>
  <si>
    <t>Fact#: 359249 Rec#: 17820 VELASQUEZ POLIT NINA NATASHA</t>
  </si>
  <si>
    <t>IC-6498</t>
  </si>
  <si>
    <t>Fact#: 360093 Rec#: 17819 CHICALA GARCIA GEOVANNY PATRICIO</t>
  </si>
  <si>
    <t>IC-6497</t>
  </si>
  <si>
    <t>Fact#: 359971 Rec#: 17818 GONZALEZ BARRERA ANABEL NATALI</t>
  </si>
  <si>
    <t>IC-6496</t>
  </si>
  <si>
    <t>Fact#: 360694 Rec#: 17817 ALVARADO COBOS ALDO MANUEL</t>
  </si>
  <si>
    <t>IC-6495</t>
  </si>
  <si>
    <t>Fact#: 356154-358637 Rec#: 17816 SARA YAZMIN MOLINA ASENCIO</t>
  </si>
  <si>
    <t>IC-6494</t>
  </si>
  <si>
    <t>Fact#: 358427 Rec#: 17815 LAURA BEATRIZ  ENCALADA ESPINOZA</t>
  </si>
  <si>
    <t>IC-6493</t>
  </si>
  <si>
    <t>Fact#: 360541 Rec#: 17814 JOMALUNKA S.A</t>
  </si>
  <si>
    <t>IC-6492</t>
  </si>
  <si>
    <t>Fact#: 325352-333814-336758-339752-343295-346323-348773 Rec#: 33144 PASEABORDO S.A</t>
  </si>
  <si>
    <t>IC-6491</t>
  </si>
  <si>
    <t>Fact#: 360393 Rec#: 33143 ASOC. PRO. NEW YORK 12 DE SEPTIEMBRE</t>
  </si>
  <si>
    <t>IC-6490</t>
  </si>
  <si>
    <t>Fact#: 360386 Rec#: 33142 ASOC. PRO. NEW YORK 12 DE SEPTIEMBRE</t>
  </si>
  <si>
    <t>IC-6489</t>
  </si>
  <si>
    <t>Fact#: 4263 Rec#: 33141 GUATEMAL COLIMBA JUAN BAUTISTA</t>
  </si>
  <si>
    <t>IC-6488</t>
  </si>
  <si>
    <t>Fact#: 360397 Rec#: 33140 ASOCIACION DE PROPIETARIOS III ETAPA LONDRES</t>
  </si>
  <si>
    <t>IC-6487</t>
  </si>
  <si>
    <t>Fact#: 358324 Rec#: 33139 GIOVANNY NARVAEZ PORTILLA</t>
  </si>
  <si>
    <t>IC-6486</t>
  </si>
  <si>
    <t>Fact#: 358364 Rec#: 33138 JAVIER MAURICIO RODRIGO ALBAN</t>
  </si>
  <si>
    <t>IC-6485</t>
  </si>
  <si>
    <t>Fact#: 359308 Rec#: 33137 REIMBERG BADUY PETER PAUL</t>
  </si>
  <si>
    <t>IC-6484</t>
  </si>
  <si>
    <t>Fact#: 358426 Rec#: 33136 CAROLINA JEANNETTE  BORDES ESTRADA</t>
  </si>
  <si>
    <t>IC-6483</t>
  </si>
  <si>
    <t>Fact#: 355491-360495 Rec#: 33135 OPENGROUP S.A.</t>
  </si>
  <si>
    <t>IC-6455</t>
  </si>
  <si>
    <t>Fact#: 360430 Rec#: 33133 SOLUCIONES SEGURAS S.A</t>
  </si>
  <si>
    <t>IC-6453</t>
  </si>
  <si>
    <t>Fact#: 358293 Rec#: 33132 OTECEL</t>
  </si>
  <si>
    <t>IC-6451</t>
  </si>
  <si>
    <t>Fact#: 4422 Rec#: 33131 CABEZAS GUERRA MARIA DEL CARMEN</t>
  </si>
  <si>
    <t>IC-6450</t>
  </si>
  <si>
    <t>Fact#: 357683-360156 Rec#: 33130 VILLAMAR SALAZAR CESAR ANTONIO</t>
  </si>
  <si>
    <t>IC-6449</t>
  </si>
  <si>
    <t>Fact#: 357973-360511 Rec#: 33129 SOLUCIONESVERDES S A</t>
  </si>
  <si>
    <t>IC-6448</t>
  </si>
  <si>
    <t>Fact#: 360575 Rec#: 33124 SINERGIA MARIN SANCHEZ S.A. SINERMASA</t>
  </si>
  <si>
    <t>IC-6436</t>
  </si>
  <si>
    <t>Fact#: 356066-358548 Rec#: 33121 JAIME RICARDO ZUÑIGA RODRIGUEZ</t>
  </si>
  <si>
    <t>IC-6285</t>
  </si>
  <si>
    <t>Fact#: 4338 Rec#: 33120 SANGUNA RON TANIA GRICELDA</t>
  </si>
  <si>
    <t>IC-6284</t>
  </si>
  <si>
    <t>Fact#: 359932 Rec#: 33119 SUESCUM ROMERO  NATHALY VIRINEYA</t>
  </si>
  <si>
    <t>IC-6283</t>
  </si>
  <si>
    <t>Fact#: 358709 Rec#: 33118 CAROLINA ALICIA EGAS NUÑEZ</t>
  </si>
  <si>
    <t>IC-6282</t>
  </si>
  <si>
    <t>Fact#: 358097-360633 Rec#: 33117 SERVICIO &amp; MANTENIMIENTO INDUSTRIAL MANSEINSAJAB S.A</t>
  </si>
  <si>
    <t>IC-6281</t>
  </si>
  <si>
    <t>Fact#: 357801-360271 Rec#: 17813 CALLE JULCA KARLA MILENE</t>
  </si>
  <si>
    <t>IC-6226</t>
  </si>
  <si>
    <t>Fact#: 358617 Rec#: 17812 MIRIAM ANTONIETA MARIDUEÑA VALENZUELA</t>
  </si>
  <si>
    <t>IC-6225</t>
  </si>
  <si>
    <t>Fact#: 358393 Rec#: 17811 BELINDA LEONOR QUIJANO GOMEZ</t>
  </si>
  <si>
    <t>IC-6224</t>
  </si>
  <si>
    <t>Fact#: 356289-358766 Rec#: 17810 MATILDE PILAR MORA QUIROZ</t>
  </si>
  <si>
    <t>IC-6223</t>
  </si>
  <si>
    <t>Fact#: 357501-359969 Rec#: 17809 ALAVA CORNEJO JOSE ISRAEL</t>
  </si>
  <si>
    <t>IC-6222</t>
  </si>
  <si>
    <t>Fact#: 357650-360125 Rec#: 17808 HIDROVO BARREIRO JOSE MIGUEL RUBEN</t>
  </si>
  <si>
    <t>IC-6221</t>
  </si>
  <si>
    <t>Fact#: 357096-359561 Rec#: 17807 ALVAREZ BORRERO JUAN CARLOS</t>
  </si>
  <si>
    <t>IC-6220</t>
  </si>
  <si>
    <t>Fact#: 359148 Rec#: 17806 DIAZ CHAMBA WALTER OVIDIO</t>
  </si>
  <si>
    <t>IC-6218</t>
  </si>
  <si>
    <t>Fact#: 359617 Rec#: 17805 MACIAS PENAFIEL KATTY MARIBEL</t>
  </si>
  <si>
    <t>IC-6217</t>
  </si>
  <si>
    <t>Fact#: 354489-356894-359360 Rec#: 17804 CEDENO VILLAVICENCIO ROBERTO ANTONIO</t>
  </si>
  <si>
    <t>IC-6216</t>
  </si>
  <si>
    <t>Fact#: 318913-321615-324368-327146-329915-332774-335699-338643-341636-345160-347660 Rec#: 17803 FERNANDEZ ASSAN CESAR ENRIQUE</t>
  </si>
  <si>
    <t>IC-6215</t>
  </si>
  <si>
    <t>Fact#: 355000-357392-359861 Rec#: 17802 LLERAS EVARISTO RAFAEL GUSTAVO</t>
  </si>
  <si>
    <t>IC-6214</t>
  </si>
  <si>
    <t>Fact#: 4023-4240-4465 Rec#: 17801 CANETE GARCIA RICARDO RAMON</t>
  </si>
  <si>
    <t>IC-6213</t>
  </si>
  <si>
    <t>Fact#: 3182-3428-3618 Rec#: 17800 CANETE GARCIA RICARDO RAMON</t>
  </si>
  <si>
    <t>IC-6212</t>
  </si>
  <si>
    <t>Fact#: 356349-358828 Rec#: 17799 EDISON FERNANDO MERA CASTAÑEDA</t>
  </si>
  <si>
    <t>IC-6211</t>
  </si>
  <si>
    <t>Fact#: 351895-354233-356640 Rec#: 17798 PERALTA GODOY JORGE DAVID</t>
  </si>
  <si>
    <t>IC-6210</t>
  </si>
  <si>
    <t>Fact#: 356840-359310 Rec#: 17797 CHOLOTA OQUENDO JORDAN GONZALO</t>
  </si>
  <si>
    <t>IC-6209</t>
  </si>
  <si>
    <t>Fact#: 356779-359251 Rec#: 17796 MOLINA SALAVARRIA ADRIANO ENRIQUE</t>
  </si>
  <si>
    <t>IC-6208</t>
  </si>
  <si>
    <t>Fact#: 359775 Rec#: 17795 SANCHEZ PEREZ FRANCISCO ROBERTO</t>
  </si>
  <si>
    <t>IC-6207</t>
  </si>
  <si>
    <t>Fact#: 356809-359280 Rec#: 17794 ESCOBAR HERRERA EDISON EDUARDO</t>
  </si>
  <si>
    <t>IC-6206</t>
  </si>
  <si>
    <t>Fact#: 356655-359126 Rec#: 17793 SALEM ONETO MARIA AUXILIADORA</t>
  </si>
  <si>
    <t>IC-6205</t>
  </si>
  <si>
    <t>Fact#: 358259-360802 Rec#: 17792 MENDOZA VELEZ CARLOS DAMIAN</t>
  </si>
  <si>
    <t>IC-6204</t>
  </si>
  <si>
    <t>Fact#: 360118 Rec#: 17791 MENDOZA VELEZ CARLOS DAMIAN</t>
  </si>
  <si>
    <t>IC-6203</t>
  </si>
  <si>
    <t>Fact#: 359234 Rec#: 17790 ROMERO LOPEZ ANDRES ROBERTO</t>
  </si>
  <si>
    <t>IC-6202</t>
  </si>
  <si>
    <t>Fact#: 358722 Rec#: 17789 JAVIER ENRIQUE ARTEAGA MENENDEZ</t>
  </si>
  <si>
    <t>IC-6201</t>
  </si>
  <si>
    <t>Fact#: 356512-358987 Rec#: 17788 FREDDY PABLO  ENDARA SAAVEDRA</t>
  </si>
  <si>
    <t>IC-6200</t>
  </si>
  <si>
    <t>Fact#: 4086-4305 Rec#: 17787 CORONEL CARRION DOLY ALBERTINA DE LOURDES</t>
  </si>
  <si>
    <t>IC-6199</t>
  </si>
  <si>
    <t>Fact#: 358731 Rec#: 17786 ANGEL ANTONIO RAMIREZ NUÑEZ</t>
  </si>
  <si>
    <t>IC-6198</t>
  </si>
  <si>
    <t>Fact#: 358046-360581 Rec#: 17785 TECNOLOGIAS DE BUSINESS S.A  TECBUSINESS</t>
  </si>
  <si>
    <t>IC-6197</t>
  </si>
  <si>
    <t>Fact#: 356710-359182 Rec#: 17784 ESPINOZA ZUNIGA ISABEL MARIA</t>
  </si>
  <si>
    <t>IC-6196</t>
  </si>
  <si>
    <t>Fact#: 356614-359083 Rec#: 17783 MIGUEZ ACOSTA WILLIAM GERMAN</t>
  </si>
  <si>
    <t>IC-6195</t>
  </si>
  <si>
    <t>Fact#: 357696-360168 Rec#: 17782 BARRIGA POMA WILSON EDUARDO</t>
  </si>
  <si>
    <t>IC-6194</t>
  </si>
  <si>
    <t>Fact#: 356446-358922 Rec#: 17781 JUVIKA JOHANNA CABUYALES HUACON</t>
  </si>
  <si>
    <t>IC-6193</t>
  </si>
  <si>
    <t>Fact#: 354176-356585-359057 Rec#: 17780 MUÑOZ QUINTO MONICA ANABELLE</t>
  </si>
  <si>
    <t>IC-6192</t>
  </si>
  <si>
    <t>Fact#: 356076-358558 Rec#: 17779 LISETTE JOHANNA MEZA VEGA</t>
  </si>
  <si>
    <t>IC-6191</t>
  </si>
  <si>
    <t>Fact#: 358650 Rec#: 17778 UBALDO HELIODORO MOTOCHE MEDINA</t>
  </si>
  <si>
    <t>IC-6190</t>
  </si>
  <si>
    <t>Fact#: 4267 Rec#: 17777 GARCIA RAMOS JOSE RIGOBERTO</t>
  </si>
  <si>
    <t>IC-6189</t>
  </si>
  <si>
    <t>Fact#: 4266 Rec#: 17776 GARCIA RAMOS JOSE RIGOBERTO</t>
  </si>
  <si>
    <t>IC-6188</t>
  </si>
  <si>
    <t>Fact#: 353581-356008-358487 Rec#: 17775 MARIA EUGENIA TERAN JORDAN</t>
  </si>
  <si>
    <t>IC-6187</t>
  </si>
  <si>
    <t>Fact#: 354807-357206-359670 Rec#: 17774 SOLARTE SOLARTE HERNEY SEBASTIAN</t>
  </si>
  <si>
    <t>IC-6186</t>
  </si>
  <si>
    <t>Fact#: 4328 Rec#: 17773 GUTIERREZ ALVAREZ TERESA EUGENIA</t>
  </si>
  <si>
    <t>IC-6185</t>
  </si>
  <si>
    <t>Fact#: 356766-359239 Rec#: 17772 SIMISTERRA MICOLTA RUBEN DARIO</t>
  </si>
  <si>
    <t>IC-6184</t>
  </si>
  <si>
    <t>Fact#: 358376 Rec#: 17771 ELSIE RUTH  ZERDA BARRENO</t>
  </si>
  <si>
    <t>IC-6183</t>
  </si>
  <si>
    <t>AMERICAN EXPRESS CANCELACION DEBITO TARJETAS GUAYAQUIL-PAGO DE FACT 358572- 358883- 359012- 360625- 360627- 359266- 359520-359612  -359722- 360543-359770-359840-357976-360514-349366-351563- 353890-359772  - 357104-359569-359716-359800  -360738-359975</t>
  </si>
  <si>
    <t>VISA - MASTERCARD - PACIFICARD CANCELACION DEBITO TARJETAS GUAYAQUIL-PAGO DE FACT 358545- 360438- 358582- 358811-360515- 360516- 359003- 358816-359602- 359974- 359959- 359997- 4390- 357632- 360313  -360523</t>
  </si>
  <si>
    <t>Fact#: 359212-361735 Rec#: 33326 JARAMILLO RIVERA WILLIAN ADOLFO</t>
  </si>
  <si>
    <t>IC-7709</t>
  </si>
  <si>
    <t>Fact#: 360129 Rec#: 33134 BAZURTO MONTIEL PILAR CLARIBEL</t>
  </si>
  <si>
    <t>IC-6454</t>
  </si>
  <si>
    <t>Fact#: 360670 Rec#: 33128 MARRIOTT S.A</t>
  </si>
  <si>
    <t>IC-6446</t>
  </si>
  <si>
    <t>Fact#: 357369-359837 Rec#: 33126 VALLEJO PROANO FABIAN IGNACIO</t>
  </si>
  <si>
    <t>IC-6442</t>
  </si>
  <si>
    <t>Fact#: 335433-338375-359401 Rec#: 33125 BALLADARES ALVARADO LEONARD ANTHONY</t>
  </si>
  <si>
    <t>IC-6437</t>
  </si>
  <si>
    <t>Fact#: 360295 Rec#: 33115 GUERRERO GUERRERO DIEGO ANDRES</t>
  </si>
  <si>
    <t>IC-6280</t>
  </si>
  <si>
    <t>Fact#: 310964 Rec#: 33114 SUAREZ MAYORGA FRANK JONNATHAN</t>
  </si>
  <si>
    <t>IC-6279</t>
  </si>
  <si>
    <t>Fact#: 358819 Rec#: 33113 MELCHOR MAURICIO VALENCIA PEREZ</t>
  </si>
  <si>
    <t>IC-6278</t>
  </si>
  <si>
    <t>Fact#: 353096-355509-357974 Rec#: 33123 FOODSERVEC FOOD SERVICE ECUADOR S.A</t>
  </si>
  <si>
    <t>IC-6277</t>
  </si>
  <si>
    <t>Fact#: 354724-357123-359588 Rec#: 33122 CASTRO CASTILLO BYRON MANUEL</t>
  </si>
  <si>
    <t>IC-6276</t>
  </si>
  <si>
    <t>Fact#: 358540 Rec#: 33112 GUILLERMO IGNACIO JORGE BAQUERIZO VASQUEZ</t>
  </si>
  <si>
    <t>IC-6275</t>
  </si>
  <si>
    <t>Fact#: 358192-360728 Rec#: 33111 PAN ZI</t>
  </si>
  <si>
    <t>IC-6274</t>
  </si>
  <si>
    <t>Fact#: 358193-360729 Rec#: 33110 PAN ZI</t>
  </si>
  <si>
    <t>IC-6273</t>
  </si>
  <si>
    <t>Fact#: 356056-358537 Rec#: 33109 EVELYN ROSANGELA ARGUELLO JURADO</t>
  </si>
  <si>
    <t>IC-6272</t>
  </si>
  <si>
    <t>Fact#: 356805-359277 Rec#: 33108 DUARTE DEMERA FRANCISCO JAVIER</t>
  </si>
  <si>
    <t>IC-6271</t>
  </si>
  <si>
    <t>Fact#: 360400 Rec#: 33107 AUTOMEKANO CIA. LTDA</t>
  </si>
  <si>
    <t>IC-6270</t>
  </si>
  <si>
    <t>Fact#: 360394 Rec#: 33106 ASOC. DE PROPIETARIOS URB. TERRASOL</t>
  </si>
  <si>
    <t>IC-6269</t>
  </si>
  <si>
    <t>Fact#: 360598 Rec#: 33105 RITOMI S.A.</t>
  </si>
  <si>
    <t>IC-6268</t>
  </si>
  <si>
    <t>Fact#: 360549 Rec#: 33104 RITOMI S.A.</t>
  </si>
  <si>
    <t>IC-6267</t>
  </si>
  <si>
    <t>Fact#: 360391 Rec#: 33103 EFFICACITAS CONSULTORA CIA.LTDA.</t>
  </si>
  <si>
    <t>IC-6266</t>
  </si>
  <si>
    <t>Fact#: 360390 Rec#: 33102 EFFICACITAS CONSULTORA CIA.LTDA.</t>
  </si>
  <si>
    <t>IC-6265</t>
  </si>
  <si>
    <t>Fact#: 360389 Rec#: 33101 EFFICACITAS CONSULTORA CIA.LTDA.</t>
  </si>
  <si>
    <t>IC-6264</t>
  </si>
  <si>
    <t>Fact#: 360488 Rec#: 33100 DUPROCSA S.A.</t>
  </si>
  <si>
    <t>IC-6263</t>
  </si>
  <si>
    <t>Fact#: 360479 Rec#: 33099 BELLUSCIO S.A.</t>
  </si>
  <si>
    <t>IC-6262</t>
  </si>
  <si>
    <t>Fact#: 360580 Rec#: 33098 INDUVERIKA S.A.</t>
  </si>
  <si>
    <t>IC-6261</t>
  </si>
  <si>
    <t>Fact#: 359282 Rec#: 33097 CASTILLO PALMA DANIEL ALFREDO</t>
  </si>
  <si>
    <t>IC-6260</t>
  </si>
  <si>
    <t>Fact#: 358318 Rec#: 33096 GISELLE MARIELA CLEMENTE VERA</t>
  </si>
  <si>
    <t>IC-6259</t>
  </si>
  <si>
    <t>Fact#: 359650 Rec#: 33095 ZULVY BEDON LAGOS</t>
  </si>
  <si>
    <t>IC-6258</t>
  </si>
  <si>
    <t>Fact#: 358678 Rec#: 33094 ANTONIO IGNACIO ARTEAGA FERAUD</t>
  </si>
  <si>
    <t>IC-6257</t>
  </si>
  <si>
    <t>Fact#: 358309 Rec#: 33093 ROBERTO MUZZIO NARANJO</t>
  </si>
  <si>
    <t>IC-6256</t>
  </si>
  <si>
    <t>Fact#: 358467 Rec#: 33092 MANRIQUEZ SALAZAR MARIA PAZ</t>
  </si>
  <si>
    <t>IC-6255</t>
  </si>
  <si>
    <t>Fact#: 358874 Rec#: 33091 RICARDO PABLO FALCONI DUEÑAS</t>
  </si>
  <si>
    <t>IC-6254</t>
  </si>
  <si>
    <t>Fact#: 358414 Rec#: 33090 FRANKLIN JOAQUIN  DOMINGUEZ VARGAS</t>
  </si>
  <si>
    <t>IC-6253</t>
  </si>
  <si>
    <t>Fact#: 359809 Rec#: 33089 JOSE FRANCISCO  FERNANDEZ   ESPINOZA</t>
  </si>
  <si>
    <t>IC-6252</t>
  </si>
  <si>
    <t>Fact#: 358464 Rec#: 33088 CARLOS ALBERTO RENDON PALMA</t>
  </si>
  <si>
    <t>IC-6251</t>
  </si>
  <si>
    <t>Fact#: 358301 Rec#: 33087 EVA MARIA VINUEZA OCAÑA</t>
  </si>
  <si>
    <t>IC-6250</t>
  </si>
  <si>
    <t>Fact#: 358481 Rec#: 33086 TERESA DE LA CRUZ TOSCANO BRITO</t>
  </si>
  <si>
    <t>IC-6249</t>
  </si>
  <si>
    <t>Fact#: 358555 Rec#: 33085 LUIS CARLOS ABAD YCAZA</t>
  </si>
  <si>
    <t>IC-6248</t>
  </si>
  <si>
    <t>Fact#: 359422 Rec#: 33084 CANDO REYES JOSE MAURICIO</t>
  </si>
  <si>
    <t>IC-6247</t>
  </si>
  <si>
    <t>Fact#: 358358 Rec#: 33083 JENNY CEDEÑO CAAMAÑO</t>
  </si>
  <si>
    <t>IC-6246</t>
  </si>
  <si>
    <t>Fact#: 359523 Rec#: 33082 SUSANA HERMELINDA ANALUISA HARO</t>
  </si>
  <si>
    <t>IC-6245</t>
  </si>
  <si>
    <t>Fact#: 358357 Rec#: 33081 MONICA CRIOLLO SALAZAR</t>
  </si>
  <si>
    <t>IC-6244</t>
  </si>
  <si>
    <t>Fact#: 359410 Rec#: 33080 PERALTA BENITEZ ROBERTO ELIAS</t>
  </si>
  <si>
    <t>IC-6243</t>
  </si>
  <si>
    <t>Fact#: 358412 Rec#: 33079 FAUSTO EDUARDO  CARBO RIVERA</t>
  </si>
  <si>
    <t>IC-6242</t>
  </si>
  <si>
    <t>Fact#: 358830 Rec#: 33078 CARLOS ADALBERTO SALAVARRIA PALMA</t>
  </si>
  <si>
    <t>IC-6241</t>
  </si>
  <si>
    <t>Fact#: 358368 Rec#: 33077 LUIS CESAR GAMARRA GONZALES</t>
  </si>
  <si>
    <t>IC-6240</t>
  </si>
  <si>
    <t>Fact#: 358320 Rec#: 33076 JAIRO ALBERTO GOMEZ COELLO</t>
  </si>
  <si>
    <t>IC-6239</t>
  </si>
  <si>
    <t>Fact#: 358392 Rec#: 33075 PAULA JESUS SALAZAR MACIAS</t>
  </si>
  <si>
    <t>IC-6238</t>
  </si>
  <si>
    <t>Fact#: 359064 Rec#: 33074 GILBERT SILVA CECILIA MARIA</t>
  </si>
  <si>
    <t>IC-6237</t>
  </si>
  <si>
    <t>Fact#: 359898 Rec#: 33073 NIEVES RODRIGUEZ JORGE ELIECER</t>
  </si>
  <si>
    <t>IC-6236</t>
  </si>
  <si>
    <t>Fact#: 358455 Rec#: 33065 ANA LUCRECIA  CABRERA GARCIA</t>
  </si>
  <si>
    <t>IC-6235</t>
  </si>
  <si>
    <t>Fact#: 358547 Rec#: 33072 LUIS EDUARDO SANCHEZ TIMM</t>
  </si>
  <si>
    <t>IC-6234</t>
  </si>
  <si>
    <t>Fact#: 358535 Rec#: 33071 GISELLA MARIA YUNES ANDRADE</t>
  </si>
  <si>
    <t>IC-6233</t>
  </si>
  <si>
    <t>Fact#: 358734 Rec#: 33070 CARLOS BENJAMIN ROSALES PINO</t>
  </si>
  <si>
    <t>IC-6232</t>
  </si>
  <si>
    <t>Fact#: 358466 Rec#: 33069 UVIDIA SALTOS  CARLOS BOLIVAR</t>
  </si>
  <si>
    <t>IC-6231</t>
  </si>
  <si>
    <t>Fact#: 358624 Rec#: 33068 GUILLERMO ELOY SERRANO GOMEZ</t>
  </si>
  <si>
    <t>IC-6230</t>
  </si>
  <si>
    <t>Fact#: 358363 Rec#: 33067 JOSE JOAQUIN OLMEDO CASTELLO</t>
  </si>
  <si>
    <t>IC-6229</t>
  </si>
  <si>
    <t>Fact#: 358610 Rec#: 33066 JUAN XAVIER BENEDETI RIPALDA</t>
  </si>
  <si>
    <t>IC-6228</t>
  </si>
  <si>
    <t>Fact#: 217467-218845-220200 Rec#: 33116 JUAN CARLOS TERAN GUERRA</t>
  </si>
  <si>
    <t>IC-6227</t>
  </si>
  <si>
    <t>Fact#: 358038-360574 Rec#: 17770 SANCHEZ TIMM RAFAEL ANDRES</t>
  </si>
  <si>
    <t>IC-6182</t>
  </si>
  <si>
    <t>Fact#: 358846 Rec#: 17769 LUIS ENRIQUE COLOMBO MALTA</t>
  </si>
  <si>
    <t>IC-6180</t>
  </si>
  <si>
    <t>Fact#: 357828-360297 Rec#: 17768 FLORES CORTEZ KETTY BEATRIZ</t>
  </si>
  <si>
    <t>IC-6179</t>
  </si>
  <si>
    <t>Fact#: 359896 Rec#: 17767 LANDA SANCHEZ JAZMIN ALEXANDRA</t>
  </si>
  <si>
    <t>IC-6177</t>
  </si>
  <si>
    <t>Fact#: 357061-359530 Rec#: 17766 INFANTE MINDIOLA JULIA MARLENE</t>
  </si>
  <si>
    <t>IC-6176</t>
  </si>
  <si>
    <t>Fact#: 354502-356908-359371 Rec#: 17765 NEIRA PILLASAGUA ROSA DEL CARMEN</t>
  </si>
  <si>
    <t>IC-6174</t>
  </si>
  <si>
    <t>Fact#: 356461-358938 Rec#: 17764 LAURA MARIA NOBOA BAQUERIZO</t>
  </si>
  <si>
    <t>IC-6173</t>
  </si>
  <si>
    <t>Fact#: 358468 Rec#: 17763 ARMANDO ROBERTO  YAGUAL BRITO</t>
  </si>
  <si>
    <t>IC-6172</t>
  </si>
  <si>
    <t>Fact#: 358652 Rec#: 17762 ANDREA CANAHUATI CHAIN</t>
  </si>
  <si>
    <t>IC-6171</t>
  </si>
  <si>
    <t>Fact#: 359735 Rec#: 17761 BASANTES CHILUIZA RAUL</t>
  </si>
  <si>
    <t>IC-6170</t>
  </si>
  <si>
    <t>Fact#: 357116-359582 Rec#: 17760 GOMEZ VERA NATALY ELIZABETH</t>
  </si>
  <si>
    <t>IC-6168</t>
  </si>
  <si>
    <t>Fact#: 355117-357510-359978 Rec#: 17759 PADILLA ALVAREZ JUAN LEONARDO</t>
  </si>
  <si>
    <t>IC-6167</t>
  </si>
  <si>
    <t>Fact#: 357984 Rec#: 17758 SERCOBCIM S.A.</t>
  </si>
  <si>
    <t>IC-6166</t>
  </si>
  <si>
    <t>Fact#: 4249-4473 Rec#: 17757 YANKOVIC S.A.</t>
  </si>
  <si>
    <t>IC-6165</t>
  </si>
  <si>
    <t>Fact#: 360130 Rec#: 17756 GUARANDA MERCHAN NIEVE GRACIELA</t>
  </si>
  <si>
    <t>IC-6164</t>
  </si>
  <si>
    <t>Fact#: 359651 Rec#: 17755 CASTRO AGUA MARLON JOSE</t>
  </si>
  <si>
    <t>IC-6163</t>
  </si>
  <si>
    <t>Fact#: 357399-359868 Rec#: 17754 LETTY DEL CISNE DAVILA ROMO</t>
  </si>
  <si>
    <t>IC-6162</t>
  </si>
  <si>
    <t>Fact#: 358670 Rec#: 17753 JESSICA LORENA TRIANA VELIS</t>
  </si>
  <si>
    <t>IC-6161</t>
  </si>
  <si>
    <t>Fact#: 359267 Rec#: 17752 ORTEGA CONFORME  JANET AURORA</t>
  </si>
  <si>
    <t>IC-6160</t>
  </si>
  <si>
    <t>Fact#: 356453-358931 Rec#: 17751 PEDRO ROBERTO MERELLO LOPEZ</t>
  </si>
  <si>
    <t>IC-6159</t>
  </si>
  <si>
    <t>Fact#: 359863 Rec#: 17750 MONTEALEGRE PEDRO JOAQUIN</t>
  </si>
  <si>
    <t>IC-6158</t>
  </si>
  <si>
    <t>Fact#: 359490 Rec#: 17749 CABRERA JIMENES FAUSTO IBAN</t>
  </si>
  <si>
    <t>IC-6157</t>
  </si>
  <si>
    <t>Fact#: 359745 Rec#: 17748 FRANCO BARRAGAN MARLON JULIO</t>
  </si>
  <si>
    <t>IC-6156</t>
  </si>
  <si>
    <t>Fact#: 358933 Rec#: 17747 TANIA PAOLA ILLESCAS PIBAQUE</t>
  </si>
  <si>
    <t>IC-6155</t>
  </si>
  <si>
    <t>Fact#: 359663 Rec#: 17746 VARGAS PARRALES CARLOS JORGE</t>
  </si>
  <si>
    <t>IC-6154</t>
  </si>
  <si>
    <t>Fact#: 354829-357229-359694 Rec#: 17745 CASTRO SAENZ DIANA INDIRA</t>
  </si>
  <si>
    <t>IC-6153</t>
  </si>
  <si>
    <t>Fact#: 359306 Rec#: 17744 YUMBLA MENDIETA MONICA ELIZABETH</t>
  </si>
  <si>
    <t>IC-6151</t>
  </si>
  <si>
    <t>Fact#: 360504 Rec#: 17743 LABORATORIOS RENALABSA S A</t>
  </si>
  <si>
    <t>IC-6149</t>
  </si>
  <si>
    <t>Fact#: 360322 Rec#: 17742 ICAZA RIVAS ENRIQUE MEDARDO</t>
  </si>
  <si>
    <t>IC-6148</t>
  </si>
  <si>
    <t>Fact#: 359356 Rec#: 17741 SALAZAR TELLO NICOLAS EDUARDO</t>
  </si>
  <si>
    <t>IC-6147</t>
  </si>
  <si>
    <t>Fact#: 360536 Rec#: 17740 DANILO ROMO LEROUX ZUÑIGA</t>
  </si>
  <si>
    <t>IC-6146</t>
  </si>
  <si>
    <t>Fact#: 356998-359465 Rec#: 17739 MACAS CHAUCA CARLOS ALBERTO</t>
  </si>
  <si>
    <t>IC-6145</t>
  </si>
  <si>
    <t>Fact#: 359574 Rec#: 17738 BORBOR MORENO LUIS ANTONIO</t>
  </si>
  <si>
    <t>IC-6144</t>
  </si>
  <si>
    <t>Fact#: 356278-358756 Rec#: 17737 ISABEL RODRIGUEZ RIZO</t>
  </si>
  <si>
    <t>IC-6143</t>
  </si>
  <si>
    <t>Fact#: 358489 Rec#: 17736 ASTUDILLO AYORA CECILIA FILOMENA</t>
  </si>
  <si>
    <t>IC-6142</t>
  </si>
  <si>
    <t>Fact#: 351630-353961-356376 Rec#: 17735 YULEXI ANDREA ANGULO ROSALES</t>
  </si>
  <si>
    <t>IC-6141</t>
  </si>
  <si>
    <t>Fact#: 359427 Rec#: 17734 BORJA MESIAS SEGUNDO ALFREDO</t>
  </si>
  <si>
    <t>IC-6140</t>
  </si>
  <si>
    <t>Fact#: 357349-359818 Rec#: 17733 ARAUJO AGUIRRE JUAN JOSE</t>
  </si>
  <si>
    <t>IC-6139</t>
  </si>
  <si>
    <t>Fact#: 356108-358591 Rec#: 17732 EVELYN DAYANA LINO DELGADO</t>
  </si>
  <si>
    <t>IC-6138</t>
  </si>
  <si>
    <t>Fact#: 359473 Rec#: 33064 VINUEZA GARCIA EDISON EDUARDO</t>
  </si>
  <si>
    <t>IC-6100</t>
  </si>
  <si>
    <t>Fact#: 359235 Rec#: 33063 ESPANA BAJANA STEFANIA ELIZABETH</t>
  </si>
  <si>
    <t>IC-6099</t>
  </si>
  <si>
    <t>Fact#: 358330 Rec#: 33062 ISABEL ROSARIO QUINDE SORIANO</t>
  </si>
  <si>
    <t>IC-6098</t>
  </si>
  <si>
    <t>Fact#: 359773 Rec#: 33060 GABINO MIRANDA DAVID EDUARDO</t>
  </si>
  <si>
    <t>IC-6083</t>
  </si>
  <si>
    <t>Fact#: 357969-360507 Rec#: 33059 WILMER JONAS MEJIA LEON</t>
  </si>
  <si>
    <t>IC-6080</t>
  </si>
  <si>
    <t>Fact#: 357669-360143 Rec#: 33058 TIGUA QUIMIZ DENNYS XAVIER</t>
  </si>
  <si>
    <t>IC-6076</t>
  </si>
  <si>
    <t>Fact#: 356431-358907 Rec#: 33061 MEIBOL CRUZ VELEZ SANCHEZ</t>
  </si>
  <si>
    <t>IC-6084</t>
  </si>
  <si>
    <t>Fact#: 359728 Rec#: 33057 GUALAN HIDALGO MARCO ANTONIO</t>
  </si>
  <si>
    <t>IC-6075</t>
  </si>
  <si>
    <t>Fact#: 354860-354861-359729 Rec#: 33056 GUALAN HIDALGO MARCO ANTONIO</t>
  </si>
  <si>
    <t>IC-6074</t>
  </si>
  <si>
    <t>Fact#: 356502-358977 Rec#: 17731 ROBAYO GONZALEZ ROBERTO JAVIER</t>
  </si>
  <si>
    <t>IC-6059</t>
  </si>
  <si>
    <t>Fact#: 359795 Rec#: 17730 MORAN MOSQUERA JORGE RAMON</t>
  </si>
  <si>
    <t>IC-6058</t>
  </si>
  <si>
    <t>Fact#: 358640 Rec#: 17729 DENISSE JUDITH FLORES HUERTA</t>
  </si>
  <si>
    <t>IC-6057</t>
  </si>
  <si>
    <t>Fact#: 359531 Rec#: 17728 PARRALES CABRERA TEOFILO CELESTINO</t>
  </si>
  <si>
    <t>IC-6056</t>
  </si>
  <si>
    <t>Fact#: 359411 Rec#: 17727 NEIRA LOY EDISON GUSTAVO</t>
  </si>
  <si>
    <t>IC-6055</t>
  </si>
  <si>
    <t>Fact#: 358958 Rec#: 17726 MONCADA MORA WENDY GINA</t>
  </si>
  <si>
    <t>IC-6054</t>
  </si>
  <si>
    <t>Fact#: 359973 Rec#: 17725 PALACIOS ALVARADO JULIO RAMON</t>
  </si>
  <si>
    <t>IC-6053</t>
  </si>
  <si>
    <t>Fact#: 359554 Rec#: 17724 CHELE TORO OSCAR EULICES</t>
  </si>
  <si>
    <t>IC-6052</t>
  </si>
  <si>
    <t>Fact#: 357989 Rec#: 17723 ALLINPUBLICIDAD&amp;MARKETING S A</t>
  </si>
  <si>
    <t>IC-6051</t>
  </si>
  <si>
    <t>Fact#: 356538-359013 Rec#: 17722 ARIAS FLORES ENRIQUE SEBASTIAN</t>
  </si>
  <si>
    <t>IC-6050</t>
  </si>
  <si>
    <t>Fact#: 359123 Rec#: 17721 FIGUEROA RUIZ NAIDDA ELIZABETH</t>
  </si>
  <si>
    <t>IC-6049</t>
  </si>
  <si>
    <t>Fact#: 355179-357573-360039 Rec#: 33055 IRIGOYEN NEGRON MARIA TERESA</t>
  </si>
  <si>
    <t>IC-6048</t>
  </si>
  <si>
    <t>Fact#: 359072 Rec#: 33054 VARGAS TORRES ZENIA</t>
  </si>
  <si>
    <t>IC-6047</t>
  </si>
  <si>
    <t>Fact#: 359317 Rec#: 33053 VALERO CEPEDA IVONNE MARIA</t>
  </si>
  <si>
    <t>IC-6046</t>
  </si>
  <si>
    <t>Fact#: 357411-359880 Rec#: 33052 CADENA CHONG SEGUNDO NAPOLEON</t>
  </si>
  <si>
    <t>IC-6045</t>
  </si>
  <si>
    <t>Fact#: 358338 Rec#: 33051 ARTURO ALFONSO VELASCO TUTIVEN</t>
  </si>
  <si>
    <t>IC-6044</t>
  </si>
  <si>
    <t>Fact#: 359297 Rec#: 33050 UBILLA MORAN MARIANA JACQUELINE</t>
  </si>
  <si>
    <t>IC-6043</t>
  </si>
  <si>
    <t>Fact#: 360139 Rec#: 33049 SOLEDISPA CHIPRE SANDRA GISELA</t>
  </si>
  <si>
    <t>IC-6042</t>
  </si>
  <si>
    <t>Fact#: 358521 Rec#: 33048 GRACIELA GUADALUPE MEREJILDO VERA</t>
  </si>
  <si>
    <t>IC-6041</t>
  </si>
  <si>
    <t>Fact#: 356462-358939 Rec#: 33047 LISETTE VICTORIA FRANCO CASTRO</t>
  </si>
  <si>
    <t>IC-6040</t>
  </si>
  <si>
    <t>Fact#: 358797 Rec#: 33046 AIMARA RODRIGUEZ FERNANDEZ</t>
  </si>
  <si>
    <t>IC-6039</t>
  </si>
  <si>
    <t>Fact#: 359476 Rec#: 33045 HERNANDEZ GOMEZ EDDY MAXIMO</t>
  </si>
  <si>
    <t>IC-6038</t>
  </si>
  <si>
    <t>Fact#: 359005 Rec#: 33044 QUINTO BAZAN JOHNN HENRY</t>
  </si>
  <si>
    <t>IC-6037</t>
  </si>
  <si>
    <t>Fact#: 359174 Rec#: 33043 DUENAS RUIZ TERESA EDITH</t>
  </si>
  <si>
    <t>IC-6036</t>
  </si>
  <si>
    <t>Fact#: 359851 Rec#: 33042 CHACON CALDERON SARITA MARIA DE LOS ANGEL</t>
  </si>
  <si>
    <t>IC-6035</t>
  </si>
  <si>
    <t>Fact#: 360298 Rec#: 33041 SOLANO BAIDAL ISABEL YAJAIRA</t>
  </si>
  <si>
    <t>IC-6034</t>
  </si>
  <si>
    <t>Fact#: 359209 Rec#: 17720 PILAY QUINDE ALEXI ANDRES</t>
  </si>
  <si>
    <t>IC-6033</t>
  </si>
  <si>
    <t>Fact#: 360117 Rec#: 33040 INZHIVOTKINA YANA</t>
  </si>
  <si>
    <t>IC-6032</t>
  </si>
  <si>
    <t>Fact#: 359681 Rec#: 17719 AVILES PEREZ ALFONSO</t>
  </si>
  <si>
    <t>IC-6031</t>
  </si>
  <si>
    <t>Fact#: 359257 Rec#: 17718 CALI PINCAY SANDRA ELIZABETH</t>
  </si>
  <si>
    <t>IC-6030</t>
  </si>
  <si>
    <t>Fact#: 358406 Rec#: 17717 MARCOS ALFREDO CHANG HI FONG</t>
  </si>
  <si>
    <t>IC-6029</t>
  </si>
  <si>
    <t>Fact#: 343842-346792-349256 Rec#: 17716 RODOLFO JAVIER CASSAGNE VERA</t>
  </si>
  <si>
    <t>IC-6028</t>
  </si>
  <si>
    <t>Fact#: 358359 Rec#: 17715 MORAIMA SEMINARIO TOLEDO</t>
  </si>
  <si>
    <t>IC-6027</t>
  </si>
  <si>
    <t>Fact#: 359950 Rec#: 17714 GANCINO TOAPANTA NAPOLEON ISRAEL</t>
  </si>
  <si>
    <t>IC-6024</t>
  </si>
  <si>
    <t>Fact#: 346836-349300-351489 Rec#: 17713 BERNABE LEONEL MARCILLO MARCILLO</t>
  </si>
  <si>
    <t>IC-6023</t>
  </si>
  <si>
    <t>Fact#: 357574-360044 Rec#: 33039 REYES HERRERA SILVIA LORENA</t>
  </si>
  <si>
    <t>IC-6018</t>
  </si>
  <si>
    <t>AT-3271</t>
  </si>
  <si>
    <t>Fact#: 359953 Rec#: 33037 CAGUANA VELESACA NORMA ALEXANDRA</t>
  </si>
  <si>
    <t>IC-5964</t>
  </si>
  <si>
    <t>May/2021</t>
  </si>
  <si>
    <t>at-3291</t>
  </si>
  <si>
    <t xml:space="preserve">LA CASA DEL MEDICO LACASADELME          </t>
  </si>
  <si>
    <t xml:space="preserve">KEVIN ALEXANDER PINO BERMELLO           </t>
  </si>
  <si>
    <t xml:space="preserve">MAXIPAPER SA                            </t>
  </si>
  <si>
    <t xml:space="preserve">CARRIEL DELGADO SIRLYS JADIRA           </t>
  </si>
  <si>
    <t xml:space="preserve">SOLANO BAIDAL ISABEL YAJAIRA            </t>
  </si>
  <si>
    <t xml:space="preserve">GOMEZ AGUIRRE ANTONIO VICENTE           </t>
  </si>
  <si>
    <t xml:space="preserve">CALDERIO HECHAVARRIA DAIRON FR          </t>
  </si>
  <si>
    <t>at-3286</t>
  </si>
  <si>
    <t xml:space="preserve">SANDRA DEL ROCIO PESANTES GONZ          </t>
  </si>
  <si>
    <t>at-3283</t>
  </si>
  <si>
    <t>3930057</t>
  </si>
  <si>
    <t>3906821</t>
  </si>
  <si>
    <t>3906070</t>
  </si>
  <si>
    <t>3960276</t>
  </si>
  <si>
    <t>3960373</t>
  </si>
  <si>
    <t xml:space="preserve">CENTRO DE CAPACITACION ECUADOR          </t>
  </si>
  <si>
    <t xml:space="preserve">ROMERO SORNOZA LUIS ALFREDO             </t>
  </si>
  <si>
    <t>at-3277</t>
  </si>
  <si>
    <t>at-3276</t>
  </si>
  <si>
    <t xml:space="preserve">LUZURIAGA CAMPOVERDE MILTON JA          </t>
  </si>
  <si>
    <t xml:space="preserve">WENDY LORENA QUIMIS CHOEZ               </t>
  </si>
  <si>
    <t xml:space="preserve">ASOCIACION DE PROPIETARIOS III          </t>
  </si>
  <si>
    <t xml:space="preserve">PASEABORDO SA                           </t>
  </si>
  <si>
    <t xml:space="preserve">CAROLINA JEANNETTE  BORDES EST          </t>
  </si>
  <si>
    <t xml:space="preserve">GUERRERO GUERRERO DIEGO ANDRES          </t>
  </si>
  <si>
    <t xml:space="preserve">SUAREZ MAYORGA FRANK JONNATHAN          </t>
  </si>
  <si>
    <t xml:space="preserve">FOODSERVEC FOOD SERVICE ECUADO          </t>
  </si>
  <si>
    <t xml:space="preserve">JUAN CARLOS TERAN GUERRA                </t>
  </si>
  <si>
    <t xml:space="preserve">IRIGOYEN NEGRON MARIA TERESA            </t>
  </si>
  <si>
    <t xml:space="preserve">LISETTE VICTORIA FRANCO CASTRO          </t>
  </si>
  <si>
    <t>BCO PACIFICO MES DE MAYO</t>
  </si>
  <si>
    <t>SALDO SEGÚN ESTADO DE CUENTA AL 30 DE ABRIL DEL 2021</t>
  </si>
  <si>
    <t>SALDO SEGÚN LIBRO BANCOS AL 30 DE ABRIL DEL 2021</t>
  </si>
  <si>
    <t>SALDO SEGÚN LIBRO BANCOS AL 31 DE MAYO DEL 2021</t>
  </si>
  <si>
    <t>SALDO SEGÚN ESTADO DE CUENTA AL 31 DE MAYO DEL 2021</t>
  </si>
  <si>
    <t>b</t>
  </si>
  <si>
    <t>DEPOSITO#4545</t>
  </si>
  <si>
    <t>DEPOSITO</t>
  </si>
  <si>
    <t>DEPOSITO USER CASH</t>
  </si>
  <si>
    <t>DEPOSITO MC CORRECCIONAL</t>
  </si>
  <si>
    <t>INTERMATICO#1040542971</t>
  </si>
  <si>
    <t>INTERMATICO#1053327691</t>
  </si>
  <si>
    <t>INTERMATICO#188597</t>
  </si>
  <si>
    <t>INTERMATICO#1049837109</t>
  </si>
  <si>
    <t>REC-011-VD5Z-378500</t>
  </si>
  <si>
    <t>09:14:18</t>
  </si>
  <si>
    <t>20210531</t>
  </si>
  <si>
    <t>REC-191-A381-702482</t>
  </si>
  <si>
    <t>10:04:07</t>
  </si>
  <si>
    <t>0917142572</t>
  </si>
  <si>
    <t>3907812</t>
  </si>
  <si>
    <t>REC-7731-B239-1548</t>
  </si>
  <si>
    <t>10:52:28</t>
  </si>
  <si>
    <t>REC-096-ZU7N-274946</t>
  </si>
  <si>
    <t>10:53:40</t>
  </si>
  <si>
    <t>REC-3371-LD0C-317127</t>
  </si>
  <si>
    <t>11:06:52</t>
  </si>
  <si>
    <t>0918644352</t>
  </si>
  <si>
    <t>3909351</t>
  </si>
  <si>
    <t>REC-3201-Y46O-452819</t>
  </si>
  <si>
    <t>11:10:02</t>
  </si>
  <si>
    <t>REC-944-ZF9M-222953</t>
  </si>
  <si>
    <t>11:15:54</t>
  </si>
  <si>
    <t>REC-061-SPOX-308961</t>
  </si>
  <si>
    <t>11:28:42</t>
  </si>
  <si>
    <t>REC-3412-PTE5-709663</t>
  </si>
  <si>
    <t>11:40:16</t>
  </si>
  <si>
    <t>REC-3295-1T8A-222634</t>
  </si>
  <si>
    <t>REC-3792-A24Z-587408</t>
  </si>
  <si>
    <t>12:54:23</t>
  </si>
  <si>
    <t>REC-5695-A2E3-35250</t>
  </si>
  <si>
    <t>14:03:14</t>
  </si>
  <si>
    <t>REC-3187-A2UB-177732</t>
  </si>
  <si>
    <t>14:11:02</t>
  </si>
  <si>
    <t>REC-048-QNCI-647388</t>
  </si>
  <si>
    <t>14:16:40</t>
  </si>
  <si>
    <t>0953633773</t>
  </si>
  <si>
    <t>3900274</t>
  </si>
  <si>
    <t>REC-048-QNCI-647392</t>
  </si>
  <si>
    <t>14:22:21</t>
  </si>
  <si>
    <t>REC-061-AEU1-205122</t>
  </si>
  <si>
    <t>14:51:24</t>
  </si>
  <si>
    <t>REC-5310-Z4YZ-721389</t>
  </si>
  <si>
    <t>14:57:22</t>
  </si>
  <si>
    <t>REC-543-U5H7-587562</t>
  </si>
  <si>
    <t>15:12:40</t>
  </si>
  <si>
    <t>0910363589</t>
  </si>
  <si>
    <t>3909405</t>
  </si>
  <si>
    <t>REC-2004-CNH2-611892</t>
  </si>
  <si>
    <t>15:13:24</t>
  </si>
  <si>
    <t>REC-223-V7XD-301001</t>
  </si>
  <si>
    <t>16:33:16</t>
  </si>
  <si>
    <t>REC-096-DCIZ-481839</t>
  </si>
  <si>
    <t>16:39:25</t>
  </si>
  <si>
    <t>REC-3392-A39W-434423</t>
  </si>
  <si>
    <t>16:51:21</t>
  </si>
  <si>
    <t>REC-3182-YQHD-287216</t>
  </si>
  <si>
    <t>17:19:43</t>
  </si>
  <si>
    <t>0923692636001</t>
  </si>
  <si>
    <t>3903275</t>
  </si>
  <si>
    <t>REC-7381-RR35-730491</t>
  </si>
  <si>
    <t>17:23:04</t>
  </si>
  <si>
    <t>REC-7314-A6GU-39412</t>
  </si>
  <si>
    <t>19:40:10</t>
  </si>
  <si>
    <t>REC-7911-A7NS-591</t>
  </si>
  <si>
    <t>20:34:29</t>
  </si>
  <si>
    <t>at-3289</t>
  </si>
  <si>
    <t>REC-3792-A24Z-587312</t>
  </si>
  <si>
    <t>11:22:48</t>
  </si>
  <si>
    <t>20210530</t>
  </si>
  <si>
    <t>REC-3295-1T8E-245966</t>
  </si>
  <si>
    <t>11:35:37</t>
  </si>
  <si>
    <t>1712482304</t>
  </si>
  <si>
    <t>3930275</t>
  </si>
  <si>
    <t>REC-223-B7CD-607704</t>
  </si>
  <si>
    <t>12:37:17</t>
  </si>
  <si>
    <t>0951370675</t>
  </si>
  <si>
    <t>REC-6017-A48G-692590</t>
  </si>
  <si>
    <t>14:29:46</t>
  </si>
  <si>
    <t>REC-3422-A25Y-115514</t>
  </si>
  <si>
    <t>15:26:16</t>
  </si>
  <si>
    <t>REC-3370-A6JI-283102</t>
  </si>
  <si>
    <t>19:46:14</t>
  </si>
  <si>
    <t>REC-3201-Y46O-452578</t>
  </si>
  <si>
    <t>10:21:16</t>
  </si>
  <si>
    <t>20210529</t>
  </si>
  <si>
    <t>REC-3808-A3Z9-548354</t>
  </si>
  <si>
    <t>10:43:02</t>
  </si>
  <si>
    <t>at-3288</t>
  </si>
  <si>
    <t>REC-072-AJ3R-266764</t>
  </si>
  <si>
    <t>11:18:04</t>
  </si>
  <si>
    <t>REC-226-B7CC-744818</t>
  </si>
  <si>
    <t>12:07:21</t>
  </si>
  <si>
    <t>REC-048-QNCI-647285</t>
  </si>
  <si>
    <t>13:47:51</t>
  </si>
  <si>
    <t>REC-3370-A6JI-283022</t>
  </si>
  <si>
    <t>13:52:42</t>
  </si>
  <si>
    <t>REC-4303-IAI3-682777</t>
  </si>
  <si>
    <t>15:31:09</t>
  </si>
  <si>
    <t>0500179346</t>
  </si>
  <si>
    <t>3903254</t>
  </si>
  <si>
    <t>REC-3421-A2OB-467734</t>
  </si>
  <si>
    <t>16:25:57</t>
  </si>
  <si>
    <t>REC-609-A3AI-109203</t>
  </si>
  <si>
    <t>17:06:49</t>
  </si>
  <si>
    <t>REC-536-TDSM-170490</t>
  </si>
  <si>
    <t>17:18:09</t>
  </si>
  <si>
    <t>REC-5310-Z4YZ-685021</t>
  </si>
  <si>
    <t>17:22:50</t>
  </si>
  <si>
    <t>0960270536</t>
  </si>
  <si>
    <t>3909522</t>
  </si>
  <si>
    <t>REC-048-AFEP-265141</t>
  </si>
  <si>
    <t>19:06:54</t>
  </si>
  <si>
    <t>REC-5987-GFL4-643852</t>
  </si>
  <si>
    <t>09:30:31</t>
  </si>
  <si>
    <t>20210528</t>
  </si>
  <si>
    <t>REC-543-U5H7-587235</t>
  </si>
  <si>
    <t>09:54:25</t>
  </si>
  <si>
    <t>0919591594</t>
  </si>
  <si>
    <t>3907298</t>
  </si>
  <si>
    <t>REC-2004-CNH2-611609</t>
  </si>
  <si>
    <t>10:15:07</t>
  </si>
  <si>
    <t>REC-678-3V18-589648</t>
  </si>
  <si>
    <t>10:42:51</t>
  </si>
  <si>
    <t>REC-568-YYC0-1589728</t>
  </si>
  <si>
    <t>11:04:42</t>
  </si>
  <si>
    <t>REC-061-A6S3-223208</t>
  </si>
  <si>
    <t>11:30:16</t>
  </si>
  <si>
    <t>REC-568-YXPM-439383</t>
  </si>
  <si>
    <t>12:05:36</t>
  </si>
  <si>
    <t>REC-3301-CTQ4-652951</t>
  </si>
  <si>
    <t>12:12:29</t>
  </si>
  <si>
    <t>REC-7911-A7NS-569</t>
  </si>
  <si>
    <t>12:14:16</t>
  </si>
  <si>
    <t>REC-4810-FSJ5-653491</t>
  </si>
  <si>
    <t>12:23:47</t>
  </si>
  <si>
    <t>1202953137</t>
  </si>
  <si>
    <t>3902279</t>
  </si>
  <si>
    <t>REC-3371-A1DS-235756</t>
  </si>
  <si>
    <t>12:24:33</t>
  </si>
  <si>
    <t>REC-3187-YWS5-626141</t>
  </si>
  <si>
    <t>13:01:05</t>
  </si>
  <si>
    <t>REC-3301-CTQ4-658542</t>
  </si>
  <si>
    <t>14:18:24</t>
  </si>
  <si>
    <t>REC-3022-FNNL-563532</t>
  </si>
  <si>
    <t>15:40:02</t>
  </si>
  <si>
    <t>REC-3371-EGEG-279845</t>
  </si>
  <si>
    <t>15:46:56</t>
  </si>
  <si>
    <t>REC-3200-SAMK-247833</t>
  </si>
  <si>
    <t>16:09:19</t>
  </si>
  <si>
    <t>REC-096-ZU7N-274876</t>
  </si>
  <si>
    <t>REC-4392-A1LW-39824</t>
  </si>
  <si>
    <t>16:30:23</t>
  </si>
  <si>
    <t>REC-046-AFER-642632</t>
  </si>
  <si>
    <t>18:16:48</t>
  </si>
  <si>
    <t>REC-096-DCIZ-481634</t>
  </si>
  <si>
    <t>19:15:18</t>
  </si>
  <si>
    <t>0903988715</t>
  </si>
  <si>
    <t>3906472</t>
  </si>
  <si>
    <t>REC-011-JVA0-534343</t>
  </si>
  <si>
    <t>19:15:40</t>
  </si>
  <si>
    <t>REC-3774-ABA2-669781</t>
  </si>
  <si>
    <t>20:23:28</t>
  </si>
  <si>
    <t>REC-7779-SS95-636142</t>
  </si>
  <si>
    <t>18:16:02</t>
  </si>
  <si>
    <t>20210527</t>
  </si>
  <si>
    <t>REC-5919-PRA9-637396</t>
  </si>
  <si>
    <t>18:55:25</t>
  </si>
  <si>
    <t>REC-1051-B059-1142</t>
  </si>
  <si>
    <t>09:43:02</t>
  </si>
  <si>
    <t>REC-536-TDSM-170251</t>
  </si>
  <si>
    <t>09:56:52</t>
  </si>
  <si>
    <t>REC-3187-A2UB-177464</t>
  </si>
  <si>
    <t>10:39:37</t>
  </si>
  <si>
    <t>REC-348-AB9D-171937</t>
  </si>
  <si>
    <t>10:44:19</t>
  </si>
  <si>
    <t>REC-3412-PTE5-614228</t>
  </si>
  <si>
    <t>10:50:22</t>
  </si>
  <si>
    <t>REC-7545-PS31-12769</t>
  </si>
  <si>
    <t>10:59:25</t>
  </si>
  <si>
    <t>REC-3371-EGEG-279691</t>
  </si>
  <si>
    <t>11:17:28</t>
  </si>
  <si>
    <t>REC-355-N45U-595038</t>
  </si>
  <si>
    <t>11:25:13</t>
  </si>
  <si>
    <t>REC-355-N45U-595039</t>
  </si>
  <si>
    <t>11:25:44</t>
  </si>
  <si>
    <t>0916662547</t>
  </si>
  <si>
    <t>3920558</t>
  </si>
  <si>
    <t>REC-224-B7CE-22671</t>
  </si>
  <si>
    <t>11:49:43</t>
  </si>
  <si>
    <t>REC-3994-A5HO-60446</t>
  </si>
  <si>
    <t>12:48:20</t>
  </si>
  <si>
    <t>REC-3994-A5HO-60447</t>
  </si>
  <si>
    <t>12:48:37</t>
  </si>
  <si>
    <t>0903891224</t>
  </si>
  <si>
    <t>3909489</t>
  </si>
  <si>
    <t>REC-061-A6S4-164667</t>
  </si>
  <si>
    <t>12:49:06</t>
  </si>
  <si>
    <t>0910815927</t>
  </si>
  <si>
    <t>3909488</t>
  </si>
  <si>
    <t>REC-061-A6S4-164668</t>
  </si>
  <si>
    <t>REC-011-JVA0-534220</t>
  </si>
  <si>
    <t>REC-3577-A1IU-175683</t>
  </si>
  <si>
    <t>13:36:59</t>
  </si>
  <si>
    <t>REC-3214-A160-107911</t>
  </si>
  <si>
    <t>14:42:32</t>
  </si>
  <si>
    <t>0919730671</t>
  </si>
  <si>
    <t>3908333</t>
  </si>
  <si>
    <t>REC-536-TDSM-170318</t>
  </si>
  <si>
    <t>15:47:30</t>
  </si>
  <si>
    <t>REC-678-3V18-589622</t>
  </si>
  <si>
    <t>16:13:31</t>
  </si>
  <si>
    <t>REC-678-3V18-589623</t>
  </si>
  <si>
    <t>16:14:10</t>
  </si>
  <si>
    <t>REC-678-3V18-589626</t>
  </si>
  <si>
    <t>16:29:47</t>
  </si>
  <si>
    <t>REC-4319-A1H6-24193</t>
  </si>
  <si>
    <t>16:37:46</t>
  </si>
  <si>
    <t>REC-3187-YWS5-626104</t>
  </si>
  <si>
    <t>16:41:18</t>
  </si>
  <si>
    <t>REC-3022-A364-149047</t>
  </si>
  <si>
    <t>16:46:36</t>
  </si>
  <si>
    <t>REC-986-B099-2754</t>
  </si>
  <si>
    <t>17:32:38</t>
  </si>
  <si>
    <t>REC-3187-A2UB-177551</t>
  </si>
  <si>
    <t>17:46:54</t>
  </si>
  <si>
    <t>REC-3792-A24Z-586855</t>
  </si>
  <si>
    <t>09:28:13</t>
  </si>
  <si>
    <t>20210526</t>
  </si>
  <si>
    <t>REC-008-PB65-402986</t>
  </si>
  <si>
    <t>10:28:02</t>
  </si>
  <si>
    <t>REC-4007-OIT2-579954</t>
  </si>
  <si>
    <t>11:15:25</t>
  </si>
  <si>
    <t>REC-165-LOA2-177567</t>
  </si>
  <si>
    <t>11:34:05</t>
  </si>
  <si>
    <t>1100604543</t>
  </si>
  <si>
    <t>3945304</t>
  </si>
  <si>
    <t>REC-061-ZGFI-109641</t>
  </si>
  <si>
    <t>11:34:40</t>
  </si>
  <si>
    <t>REC-090-9SKJ-473338</t>
  </si>
  <si>
    <t>11:51:16</t>
  </si>
  <si>
    <t>1304576554</t>
  </si>
  <si>
    <t>3909385</t>
  </si>
  <si>
    <t>REC-3371-EFX5-198074</t>
  </si>
  <si>
    <t>12:24:48</t>
  </si>
  <si>
    <t>REC-072-A6LX-227065</t>
  </si>
  <si>
    <t>12:26:08</t>
  </si>
  <si>
    <t>REC-7100-A70T-14519</t>
  </si>
  <si>
    <t>13:53:11</t>
  </si>
  <si>
    <t>REC-3022-A364-148935</t>
  </si>
  <si>
    <t>14:20:36</t>
  </si>
  <si>
    <t>0910334069</t>
  </si>
  <si>
    <t>3909515</t>
  </si>
  <si>
    <t>REC-1110-B132-499</t>
  </si>
  <si>
    <t>14:21:41</t>
  </si>
  <si>
    <t>REC-4960-A1QG-119648</t>
  </si>
  <si>
    <t>14:44:39</t>
  </si>
  <si>
    <t>REC-3172-YIGY-293939</t>
  </si>
  <si>
    <t>15:43:05</t>
  </si>
  <si>
    <t>0918068024</t>
  </si>
  <si>
    <t>3902757</t>
  </si>
  <si>
    <t>REC-7894-VL41-6050</t>
  </si>
  <si>
    <t>15:46:42</t>
  </si>
  <si>
    <t>REC-191-A381-594245</t>
  </si>
  <si>
    <t>16:05:22</t>
  </si>
  <si>
    <t>REC-3371-EGEG-279640</t>
  </si>
  <si>
    <t>16:12:39</t>
  </si>
  <si>
    <t>0912013919</t>
  </si>
  <si>
    <t>3909264</t>
  </si>
  <si>
    <t>REC-049-A518-1582533</t>
  </si>
  <si>
    <t>16:18:29</t>
  </si>
  <si>
    <t>REC-5585-A2XB-88752</t>
  </si>
  <si>
    <t>16:40:53</t>
  </si>
  <si>
    <t>REC-674-3K2R-1496905</t>
  </si>
  <si>
    <t>17:39:32</t>
  </si>
  <si>
    <t>REC-3792-A24Z-586966</t>
  </si>
  <si>
    <t>17:44:29</t>
  </si>
  <si>
    <t>REC-048-QNCI-647136</t>
  </si>
  <si>
    <t>17:46:48</t>
  </si>
  <si>
    <t>REC-5635-A2YS-48796</t>
  </si>
  <si>
    <t>19:24:19</t>
  </si>
  <si>
    <t>REC-3520-A1CH-290348</t>
  </si>
  <si>
    <t>09:44:39</t>
  </si>
  <si>
    <t>20210525</t>
  </si>
  <si>
    <t>REC-3370-A6JI-282437</t>
  </si>
  <si>
    <t>10:21:56</t>
  </si>
  <si>
    <t>REC-390-BBF4-330958</t>
  </si>
  <si>
    <t>10:23:25</t>
  </si>
  <si>
    <t>REC-3577-A1IU-175399</t>
  </si>
  <si>
    <t>10:25:05</t>
  </si>
  <si>
    <t>REC-4164-A19X-173689</t>
  </si>
  <si>
    <t>10:26:35</t>
  </si>
  <si>
    <t>1721188058</t>
  </si>
  <si>
    <t>23923096</t>
  </si>
  <si>
    <t>REC-5897-A35R-7090</t>
  </si>
  <si>
    <t>10:32:15</t>
  </si>
  <si>
    <t>REC-3371-LD0C-316441</t>
  </si>
  <si>
    <t>10:47:26</t>
  </si>
  <si>
    <t>REC-4961-A24R-55533</t>
  </si>
  <si>
    <t>11:01:40</t>
  </si>
  <si>
    <t>0911934503</t>
  </si>
  <si>
    <t>3902947</t>
  </si>
  <si>
    <t>REC-223-B7CD-606881</t>
  </si>
  <si>
    <t>11:10:08</t>
  </si>
  <si>
    <t>REC-3201-Y46O-452057</t>
  </si>
  <si>
    <t>1208582302</t>
  </si>
  <si>
    <t>3909289</t>
  </si>
  <si>
    <t>REC-3109-TTH2-705995</t>
  </si>
  <si>
    <t>11:46:07</t>
  </si>
  <si>
    <t>REC-678-3V18-589435</t>
  </si>
  <si>
    <t>11:53:15</t>
  </si>
  <si>
    <t>REC-223-B7CD-606900</t>
  </si>
  <si>
    <t>11:57:17</t>
  </si>
  <si>
    <t>REC-3994-A5HO-60219</t>
  </si>
  <si>
    <t>12:58:28</t>
  </si>
  <si>
    <t>REC-3303-CTQ6-553058</t>
  </si>
  <si>
    <t>14:54:08</t>
  </si>
  <si>
    <t>REC-3161-KURB-458519</t>
  </si>
  <si>
    <t>15:27:49</t>
  </si>
  <si>
    <t>REC-008-PB65-402922</t>
  </si>
  <si>
    <t>15:30:13</t>
  </si>
  <si>
    <t>0905163127</t>
  </si>
  <si>
    <t>3909448</t>
  </si>
  <si>
    <t>REC-165-LOA2-177490</t>
  </si>
  <si>
    <t>15:31:18</t>
  </si>
  <si>
    <t>REC-3187-YWS5-625930</t>
  </si>
  <si>
    <t>15:38:59</t>
  </si>
  <si>
    <t>REC-3577-A26V-550836</t>
  </si>
  <si>
    <t>16:30:01</t>
  </si>
  <si>
    <t>REC-027-A40B-91441</t>
  </si>
  <si>
    <t>17:56:36</t>
  </si>
  <si>
    <t>REC-4960-A1QG-119561</t>
  </si>
  <si>
    <t>18:02:10</t>
  </si>
  <si>
    <t>REC-3792-A24Z-586638</t>
  </si>
  <si>
    <t>09:45:09</t>
  </si>
  <si>
    <t>20210524</t>
  </si>
  <si>
    <t>REC-7316-RQ67-4283</t>
  </si>
  <si>
    <t>10:13:19</t>
  </si>
  <si>
    <t>0930776562</t>
  </si>
  <si>
    <t>3907690</t>
  </si>
  <si>
    <t>REC-3371-LD0C-316374</t>
  </si>
  <si>
    <t>12:47:07</t>
  </si>
  <si>
    <t>REC-3792-A24Z-586677</t>
  </si>
  <si>
    <t>13:25:53</t>
  </si>
  <si>
    <t>REC-7314-A6GU-38710</t>
  </si>
  <si>
    <t>16:28:04</t>
  </si>
  <si>
    <t>REC-3412-PTE5-517764</t>
  </si>
  <si>
    <t>16:39:35</t>
  </si>
  <si>
    <t>REC-4257-A219-175525</t>
  </si>
  <si>
    <t>13:26:03</t>
  </si>
  <si>
    <t>20210522</t>
  </si>
  <si>
    <t>0912212453</t>
  </si>
  <si>
    <t>3908983</t>
  </si>
  <si>
    <t>REC-3022-A364-148618</t>
  </si>
  <si>
    <t>11:32:12</t>
  </si>
  <si>
    <t>20210521</t>
  </si>
  <si>
    <t>REC-3370-A6JI-281903</t>
  </si>
  <si>
    <t>09:13:30</t>
  </si>
  <si>
    <t>20210520</t>
  </si>
  <si>
    <t>REC-3577-A26V-550256</t>
  </si>
  <si>
    <t>11:36:23</t>
  </si>
  <si>
    <t>REC-3808-A3Z9-547698</t>
  </si>
  <si>
    <t>11:37:23</t>
  </si>
  <si>
    <t>REC-348-1R2Q-464830</t>
  </si>
  <si>
    <t>12:13:14</t>
  </si>
  <si>
    <t>REC-3422-A3IU-654324</t>
  </si>
  <si>
    <t>13:55:54</t>
  </si>
  <si>
    <t>REC-3392-A39W-433581</t>
  </si>
  <si>
    <t>14:28:07</t>
  </si>
  <si>
    <t>REC-609-A1M3-341846</t>
  </si>
  <si>
    <t>14:44:09</t>
  </si>
  <si>
    <t>REC-3170-YGVG-344298</t>
  </si>
  <si>
    <t>14:45:14</t>
  </si>
  <si>
    <t>REC-7305-RQ50-7367</t>
  </si>
  <si>
    <t>14:55:01</t>
  </si>
  <si>
    <t>at-3285</t>
  </si>
  <si>
    <t>REC-7100-A69T-18059</t>
  </si>
  <si>
    <t>16:48:08</t>
  </si>
  <si>
    <t>REC-3187-YWS5-625561</t>
  </si>
  <si>
    <t>17:05:08</t>
  </si>
  <si>
    <t>REC-3510-A4F9-261298</t>
  </si>
  <si>
    <t>17:36:26</t>
  </si>
  <si>
    <t>REC-3175-A3LN-155178</t>
  </si>
  <si>
    <t>18:24:40</t>
  </si>
  <si>
    <t>REC-072-4PW8-222787</t>
  </si>
  <si>
    <t>10:15:44</t>
  </si>
  <si>
    <t>20210519</t>
  </si>
  <si>
    <t>REC-008-PB65-402319</t>
  </si>
  <si>
    <t>10:53:29</t>
  </si>
  <si>
    <t>0910497791</t>
  </si>
  <si>
    <t>3909357</t>
  </si>
  <si>
    <t>REC-5909-PRA3-367106</t>
  </si>
  <si>
    <t>10:54:12</t>
  </si>
  <si>
    <t>REC-049-A2U2-69546</t>
  </si>
  <si>
    <t>11:34:15</t>
  </si>
  <si>
    <t>0915679260</t>
  </si>
  <si>
    <t>3909500</t>
  </si>
  <si>
    <t>REC-3792-A39T-139478</t>
  </si>
  <si>
    <t>11:40:30</t>
  </si>
  <si>
    <t>0702901653</t>
  </si>
  <si>
    <t>3907842</t>
  </si>
  <si>
    <t>REC-267-GPG5-1448335</t>
  </si>
  <si>
    <t>11:55:42</t>
  </si>
  <si>
    <t>REC-3172-LIO5-580839</t>
  </si>
  <si>
    <t>REC-3371-EGEG-278827</t>
  </si>
  <si>
    <t>13:55:19</t>
  </si>
  <si>
    <t>0915310155</t>
  </si>
  <si>
    <t>3903634</t>
  </si>
  <si>
    <t>REC-4105-A138-20838</t>
  </si>
  <si>
    <t>15:26:29</t>
  </si>
  <si>
    <t>REC-223-B7CD-606055</t>
  </si>
  <si>
    <t>15:33:32</t>
  </si>
  <si>
    <t>REC-3295-1T8E-245170</t>
  </si>
  <si>
    <t>16:07:26</t>
  </si>
  <si>
    <t>REC-7699-SS50-385862</t>
  </si>
  <si>
    <t>16:17:38</t>
  </si>
  <si>
    <t>0915752745</t>
  </si>
  <si>
    <t>3909460</t>
  </si>
  <si>
    <t>REC-3022-FNNL-562828</t>
  </si>
  <si>
    <t>17:03:09</t>
  </si>
  <si>
    <t>REC-3187-YWS5-625413</t>
  </si>
  <si>
    <t>17:09:06</t>
  </si>
  <si>
    <t>REC-944-LRJW-306513</t>
  </si>
  <si>
    <t>17:47:55</t>
  </si>
  <si>
    <t>0991248013001</t>
  </si>
  <si>
    <t>3902724</t>
  </si>
  <si>
    <t>REC-011-VD5Z-377299</t>
  </si>
  <si>
    <t>18:38:21</t>
  </si>
  <si>
    <t>20210518</t>
  </si>
  <si>
    <t>0914465000</t>
  </si>
  <si>
    <t>3903601</t>
  </si>
  <si>
    <t>REC-3412-PTE5-311581</t>
  </si>
  <si>
    <t>08:37:41</t>
  </si>
  <si>
    <t>1207105204</t>
  </si>
  <si>
    <t>3901936</t>
  </si>
  <si>
    <t>REC-072-KBN0-288071</t>
  </si>
  <si>
    <t>08:45:26</t>
  </si>
  <si>
    <t>REC-3170-YGVG-344021</t>
  </si>
  <si>
    <t>09:18:14</t>
  </si>
  <si>
    <t>REC-5987-GFL4-315212</t>
  </si>
  <si>
    <t>09:32:51</t>
  </si>
  <si>
    <t>REC-3175-C8JC-332830</t>
  </si>
  <si>
    <t>10:44:32</t>
  </si>
  <si>
    <t>REC-7699-SS50-323382</t>
  </si>
  <si>
    <t>11:05:43</t>
  </si>
  <si>
    <t>REC-191-A381-324276</t>
  </si>
  <si>
    <t>11:16:36</t>
  </si>
  <si>
    <t>0917827750</t>
  </si>
  <si>
    <t>3908989</t>
  </si>
  <si>
    <t>REC-072-4PW8-222696</t>
  </si>
  <si>
    <t>11:49:29</t>
  </si>
  <si>
    <t>REC-3808-A3Z9-547523</t>
  </si>
  <si>
    <t>REC-342-VEHD-492175</t>
  </si>
  <si>
    <t>12:51:06</t>
  </si>
  <si>
    <t>0921154555</t>
  </si>
  <si>
    <t>3909504</t>
  </si>
  <si>
    <t>REC-5568-A20P-53682</t>
  </si>
  <si>
    <t>14:38:25</t>
  </si>
  <si>
    <t>0940404809</t>
  </si>
  <si>
    <t>3909319</t>
  </si>
  <si>
    <t>REC-3172-LIO4-260644</t>
  </si>
  <si>
    <t>15:08:04</t>
  </si>
  <si>
    <t>REC-7699-SS50-342938</t>
  </si>
  <si>
    <t>15:42:29</t>
  </si>
  <si>
    <t>REC-609-A1M3-341655</t>
  </si>
  <si>
    <t>15:50:32</t>
  </si>
  <si>
    <t>REC-072-KBN0-288219</t>
  </si>
  <si>
    <t>16:09:53</t>
  </si>
  <si>
    <t>REC-3295-1T8E-245056</t>
  </si>
  <si>
    <t>16:59:46</t>
  </si>
  <si>
    <t>REC-7894-VL41-5658</t>
  </si>
  <si>
    <t>17:01:59</t>
  </si>
  <si>
    <t>REC-678-3V18-588913</t>
  </si>
  <si>
    <t>18:20:25</t>
  </si>
  <si>
    <t>REC-3172-LIO7-130405</t>
  </si>
  <si>
    <t>10:16:32</t>
  </si>
  <si>
    <t>20210517</t>
  </si>
  <si>
    <t>0926074998</t>
  </si>
  <si>
    <t>3908915</t>
  </si>
  <si>
    <t>REC-072-TTF1-335009</t>
  </si>
  <si>
    <t>10:22:45</t>
  </si>
  <si>
    <t>REC-223-V7XD-298908</t>
  </si>
  <si>
    <t>10:45:01</t>
  </si>
  <si>
    <t>REC-4025-OIU9-268440</t>
  </si>
  <si>
    <t>10:59:53</t>
  </si>
  <si>
    <t>REC-342-VEHD-491988</t>
  </si>
  <si>
    <t>11:00:11</t>
  </si>
  <si>
    <t>REC-5243-RP46-4095</t>
  </si>
  <si>
    <t>REC-5310-Z4YZ-273472</t>
  </si>
  <si>
    <t>11:47:56</t>
  </si>
  <si>
    <t>REC-5635-A2YS-47233</t>
  </si>
  <si>
    <t>REC-3214-H8Z8-346407</t>
  </si>
  <si>
    <t>14:08:44</t>
  </si>
  <si>
    <t>REC-3022-A364-148210</t>
  </si>
  <si>
    <t>14:31:09</t>
  </si>
  <si>
    <t>REC-6397-A5XK-26953</t>
  </si>
  <si>
    <t>14:44:12</t>
  </si>
  <si>
    <t>REC-061-A6S4-164028</t>
  </si>
  <si>
    <t>14:51:45</t>
  </si>
  <si>
    <t>REC-4319-A1H6-23977</t>
  </si>
  <si>
    <t>14:58:04</t>
  </si>
  <si>
    <t>REC-072-A6LX-226226</t>
  </si>
  <si>
    <t>15:12:13</t>
  </si>
  <si>
    <t>REC-072-A6LX-226227</t>
  </si>
  <si>
    <t>15:12:34</t>
  </si>
  <si>
    <t>REC-620-VWAG-135421</t>
  </si>
  <si>
    <t>15:21:12</t>
  </si>
  <si>
    <t>REC-4961-A24R-54970</t>
  </si>
  <si>
    <t>15:47:57</t>
  </si>
  <si>
    <t>REC-609-A3AI-108295</t>
  </si>
  <si>
    <t>15:51:32</t>
  </si>
  <si>
    <t>REC-3170-YGVG-343953</t>
  </si>
  <si>
    <t>15:52:45</t>
  </si>
  <si>
    <t>REC-3175-C8JC-332725</t>
  </si>
  <si>
    <t>15:59:56</t>
  </si>
  <si>
    <t>REC-061-ZGFI-109268</t>
  </si>
  <si>
    <t>16:46:39</t>
  </si>
  <si>
    <t>REC-3370-A6JI-281535</t>
  </si>
  <si>
    <t>17:42:20</t>
  </si>
  <si>
    <t>REC-011-JVA0-533205</t>
  </si>
  <si>
    <t>18:40:29</t>
  </si>
  <si>
    <t>REC-223-V7XD-299133</t>
  </si>
  <si>
    <t>18:42:38</t>
  </si>
  <si>
    <t>0913907697</t>
  </si>
  <si>
    <t>3901219</t>
  </si>
  <si>
    <t>REC-5796-A31Y-6270</t>
  </si>
  <si>
    <t>08:52:22</t>
  </si>
  <si>
    <t>20210514</t>
  </si>
  <si>
    <t>0918516196</t>
  </si>
  <si>
    <t>3909391</t>
  </si>
  <si>
    <t>REC-191-A381-207752</t>
  </si>
  <si>
    <t>09:47:24</t>
  </si>
  <si>
    <t>REC-3792-A39T-138953</t>
  </si>
  <si>
    <t>10:00:09</t>
  </si>
  <si>
    <t>0926629544</t>
  </si>
  <si>
    <t>3906892</t>
  </si>
  <si>
    <t>REC-072-A6LX-226041</t>
  </si>
  <si>
    <t>10:08:38</t>
  </si>
  <si>
    <t>REC-609-A3AI-108087</t>
  </si>
  <si>
    <t>11:28:52</t>
  </si>
  <si>
    <t>REC-355-J4YM-696135</t>
  </si>
  <si>
    <t>11:45:23</t>
  </si>
  <si>
    <t>REC-061-AEU1-204177</t>
  </si>
  <si>
    <t>12:59:58</t>
  </si>
  <si>
    <t>REC-944-ZF9M-221588</t>
  </si>
  <si>
    <t>13:02:11</t>
  </si>
  <si>
    <t>REC-3033-M7YJ-90182</t>
  </si>
  <si>
    <t>13:29:11</t>
  </si>
  <si>
    <t>REC-3172-LIO3-86148</t>
  </si>
  <si>
    <t>REC-944-PR10-446899</t>
  </si>
  <si>
    <t>15:31:52</t>
  </si>
  <si>
    <t>at'3281</t>
  </si>
  <si>
    <t>REC-3422-A3IU-653777</t>
  </si>
  <si>
    <t>15:44:42</t>
  </si>
  <si>
    <t>REC-3175-A3LN-154653</t>
  </si>
  <si>
    <t>16:01:26</t>
  </si>
  <si>
    <t>REC-7349-RR00-231805</t>
  </si>
  <si>
    <t>16:30:57</t>
  </si>
  <si>
    <t>0916020084</t>
  </si>
  <si>
    <t>3907436</t>
  </si>
  <si>
    <t>REC-3370-A6JI-281318</t>
  </si>
  <si>
    <t>16:32:32</t>
  </si>
  <si>
    <t>REC-096-DCIZ-480669</t>
  </si>
  <si>
    <t>16:52:03</t>
  </si>
  <si>
    <t>REC-3512-A4FC-297224</t>
  </si>
  <si>
    <t>18:17:18</t>
  </si>
  <si>
    <t>REC-5552-A944-198957</t>
  </si>
  <si>
    <t>18:11:40</t>
  </si>
  <si>
    <t>20210513</t>
  </si>
  <si>
    <t>REC-4316-IOU4-200451</t>
  </si>
  <si>
    <t>18:52:52</t>
  </si>
  <si>
    <t>REC-678-3V18-588359</t>
  </si>
  <si>
    <t>08:59:22</t>
  </si>
  <si>
    <t>REC-223-B7CD-605053</t>
  </si>
  <si>
    <t>08:59:34</t>
  </si>
  <si>
    <t>REC-3023-IZCF-596888</t>
  </si>
  <si>
    <t>09:08:07</t>
  </si>
  <si>
    <t>REC-3808-A3Z9-547200</t>
  </si>
  <si>
    <t>09:15:13</t>
  </si>
  <si>
    <t>REC-049-A518-1581663</t>
  </si>
  <si>
    <t>09:18:47</t>
  </si>
  <si>
    <t>REC-7276-RQ45-173671</t>
  </si>
  <si>
    <t>10:17:44</t>
  </si>
  <si>
    <t>REC-4392-A1LW-39462</t>
  </si>
  <si>
    <t>10:21:57</t>
  </si>
  <si>
    <t>REC-011-JVA0-532826</t>
  </si>
  <si>
    <t>10:22:06</t>
  </si>
  <si>
    <t>at-3280</t>
  </si>
  <si>
    <t>REC-090-9SKJ-471672</t>
  </si>
  <si>
    <t>11:12:54</t>
  </si>
  <si>
    <t>REC-3182-YQHG-244942</t>
  </si>
  <si>
    <t>11:36:56</t>
  </si>
  <si>
    <t>REC-7057-A66Z-23544</t>
  </si>
  <si>
    <t>12:44:40</t>
  </si>
  <si>
    <t>REC-678-3V18-588423</t>
  </si>
  <si>
    <t>14:43:19</t>
  </si>
  <si>
    <t>REC-7451-QPQ1-18052</t>
  </si>
  <si>
    <t>16:08:09</t>
  </si>
  <si>
    <t>REC-4235-A1BQ-30553</t>
  </si>
  <si>
    <t>16:35:35</t>
  </si>
  <si>
    <t>REC-3371-A1DS-235175</t>
  </si>
  <si>
    <t>17:06:08</t>
  </si>
  <si>
    <t>REC-3554-PTY2-132347</t>
  </si>
  <si>
    <t>09:43:14</t>
  </si>
  <si>
    <t>20210512</t>
  </si>
  <si>
    <t>0992979259001</t>
  </si>
  <si>
    <t>3909439</t>
  </si>
  <si>
    <t>REC-944-PR10-446624</t>
  </si>
  <si>
    <t>10:14:25</t>
  </si>
  <si>
    <t>REC-5001-A1C1-17379</t>
  </si>
  <si>
    <t>10:18:07</t>
  </si>
  <si>
    <t>0993295426001</t>
  </si>
  <si>
    <t>3909416</t>
  </si>
  <si>
    <t>REC-536-TDSM-169127</t>
  </si>
  <si>
    <t>10:19:54</t>
  </si>
  <si>
    <t>REC-7492-A6NE-24083</t>
  </si>
  <si>
    <t>10:35:29</t>
  </si>
  <si>
    <t>REC-048-AFEP-263533</t>
  </si>
  <si>
    <t>10:43:48</t>
  </si>
  <si>
    <t>REC-5585-A2XB-87536</t>
  </si>
  <si>
    <t>10:44:42</t>
  </si>
  <si>
    <t>REC-245-BEJI-696971</t>
  </si>
  <si>
    <t>10:56:48</t>
  </si>
  <si>
    <t>REC-3422-A25Y-113921</t>
  </si>
  <si>
    <t>11:17:35</t>
  </si>
  <si>
    <t>REC-3769-A26U-9872</t>
  </si>
  <si>
    <t>11:22:42</t>
  </si>
  <si>
    <t>at-3278</t>
  </si>
  <si>
    <t>REC-5310-Z4YZ-141657</t>
  </si>
  <si>
    <t>11:40:53</t>
  </si>
  <si>
    <t>REC-4960-A1QG-118080</t>
  </si>
  <si>
    <t>REC-3172-YIGY-293012</t>
  </si>
  <si>
    <t>12:48:08</t>
  </si>
  <si>
    <t>REC-061-AF82-287152</t>
  </si>
  <si>
    <t>13:06:54</t>
  </si>
  <si>
    <t>REC-4721-A1WI-14776</t>
  </si>
  <si>
    <t>13:58:45</t>
  </si>
  <si>
    <t>0917404840</t>
  </si>
  <si>
    <t>3930315</t>
  </si>
  <si>
    <t>REC-3143-AWFJ-350572</t>
  </si>
  <si>
    <t>14:18:14</t>
  </si>
  <si>
    <t>REC-3792-A24Z-585377</t>
  </si>
  <si>
    <t>15:05:11</t>
  </si>
  <si>
    <t>REC-4961-A24R-54615</t>
  </si>
  <si>
    <t>15:42:06</t>
  </si>
  <si>
    <t>REC-3182-YQHD-285998</t>
  </si>
  <si>
    <t>15:57:15</t>
  </si>
  <si>
    <t>0993112712001</t>
  </si>
  <si>
    <t>3909431</t>
  </si>
  <si>
    <t>REC-5680-PS51-155937</t>
  </si>
  <si>
    <t>15:58:55</t>
  </si>
  <si>
    <t>REC-5762-FE91-159576</t>
  </si>
  <si>
    <t>17:06:04</t>
  </si>
  <si>
    <t>REC-3370-A6JI-281076</t>
  </si>
  <si>
    <t>18:08:33</t>
  </si>
  <si>
    <t>REC-536-2GEZ-366121</t>
  </si>
  <si>
    <t>18:23:11</t>
  </si>
  <si>
    <t>REC-5585-A2XB-87380</t>
  </si>
  <si>
    <t>08:00:16</t>
  </si>
  <si>
    <t>20210511</t>
  </si>
  <si>
    <t>REC-3834-A4T5-111695</t>
  </si>
  <si>
    <t>08:20:37</t>
  </si>
  <si>
    <t>REC-536-TDSM-169018</t>
  </si>
  <si>
    <t>08:58:47</t>
  </si>
  <si>
    <t>REC-048-AFEP-263417</t>
  </si>
  <si>
    <t>09:42:55</t>
  </si>
  <si>
    <t>REC-7456-JM27-3693</t>
  </si>
  <si>
    <t>10:54:10</t>
  </si>
  <si>
    <t>REC-3175-A3LN-154372</t>
  </si>
  <si>
    <t>10:58:54</t>
  </si>
  <si>
    <t>REC-7601-SS26-420536</t>
  </si>
  <si>
    <t>11:01:18</t>
  </si>
  <si>
    <t>REC-3295-1T8D-188485</t>
  </si>
  <si>
    <t>REC-3295-1T8D-188486</t>
  </si>
  <si>
    <t>11:11:09</t>
  </si>
  <si>
    <t>REC-7529-A12D-19750</t>
  </si>
  <si>
    <t>11:17:29</t>
  </si>
  <si>
    <t>REC-1129-B167-10</t>
  </si>
  <si>
    <t>11:35:04</t>
  </si>
  <si>
    <t>REC-008-PB65-401593</t>
  </si>
  <si>
    <t>11:37:39</t>
  </si>
  <si>
    <t>REC-4415-LGO1-99364</t>
  </si>
  <si>
    <t>11:39:32</t>
  </si>
  <si>
    <t>REC-3784-ATA2-190078</t>
  </si>
  <si>
    <t>12:11:19</t>
  </si>
  <si>
    <t>REC-3187-A2UB-175926</t>
  </si>
  <si>
    <t>12:13:48</t>
  </si>
  <si>
    <t>REC-342-VEHD-491436</t>
  </si>
  <si>
    <t>12:48:26</t>
  </si>
  <si>
    <t>REC-045-VMU0-366400</t>
  </si>
  <si>
    <t>13:36:33</t>
  </si>
  <si>
    <t>REC-4976-A25U-8124</t>
  </si>
  <si>
    <t>13:47:03</t>
  </si>
  <si>
    <t>REC-4976-A25U-8125</t>
  </si>
  <si>
    <t>13:57:33</t>
  </si>
  <si>
    <t>REC-3187-A2UB-175941</t>
  </si>
  <si>
    <t>14:02:25</t>
  </si>
  <si>
    <t>REC-223-V7XD-298280</t>
  </si>
  <si>
    <t>14:19:36</t>
  </si>
  <si>
    <t>REC-7492-A6NE-23979</t>
  </si>
  <si>
    <t>14:23:45</t>
  </si>
  <si>
    <t>0801397001</t>
  </si>
  <si>
    <t>3902612</t>
  </si>
  <si>
    <t>REC-3792-A39T-138609</t>
  </si>
  <si>
    <t>14:24:53</t>
  </si>
  <si>
    <t>REC-3023-IZCF-596666</t>
  </si>
  <si>
    <t>15:06:34</t>
  </si>
  <si>
    <t>REC-3371-EGEG-277974</t>
  </si>
  <si>
    <t>15:17:17</t>
  </si>
  <si>
    <t>REC-3260-CTO1-114101</t>
  </si>
  <si>
    <t>15:43:00</t>
  </si>
  <si>
    <t>REC-3161-KURB-456801</t>
  </si>
  <si>
    <t>16:04:30</t>
  </si>
  <si>
    <t>REC-4164-A1LY-153642</t>
  </si>
  <si>
    <t>16:18:17</t>
  </si>
  <si>
    <t>REC-3792-A39T-138640</t>
  </si>
  <si>
    <t>16:41:41</t>
  </si>
  <si>
    <t>REC-3370-A6JI-280926</t>
  </si>
  <si>
    <t>17:05:29</t>
  </si>
  <si>
    <t>REC-3295-1T8E-244543</t>
  </si>
  <si>
    <t>17:13:53</t>
  </si>
  <si>
    <t>REC-3109-TTH2-704817</t>
  </si>
  <si>
    <t>17:36:24</t>
  </si>
  <si>
    <t>REC-5310-Z4YZ-121661</t>
  </si>
  <si>
    <t>17:58:48</t>
  </si>
  <si>
    <t>REC-5552-A944-122725</t>
  </si>
  <si>
    <t>18:23:48</t>
  </si>
  <si>
    <t>REC-364-NKDD-376430</t>
  </si>
  <si>
    <t>18:29:55</t>
  </si>
  <si>
    <t>REC-7581-PS62-123226</t>
  </si>
  <si>
    <t>18:37:02</t>
  </si>
  <si>
    <t>0920994571</t>
  </si>
  <si>
    <t>3906048</t>
  </si>
  <si>
    <t>REC-3422-A25Y-113875</t>
  </si>
  <si>
    <t>18:52:36</t>
  </si>
  <si>
    <t>REC-904-KZH3-430071</t>
  </si>
  <si>
    <t>08:04:28</t>
  </si>
  <si>
    <t>20210510</t>
  </si>
  <si>
    <t>0909110959</t>
  </si>
  <si>
    <t>3909321</t>
  </si>
  <si>
    <t>REC-5762-FE91-38187</t>
  </si>
  <si>
    <t>09:32:20</t>
  </si>
  <si>
    <t>at-3275</t>
  </si>
  <si>
    <t>0992995734001</t>
  </si>
  <si>
    <t>3901284</t>
  </si>
  <si>
    <t>REC-3301-CTQ4-39081</t>
  </si>
  <si>
    <t>09:43:07</t>
  </si>
  <si>
    <t>REC-609-A1M3-340850</t>
  </si>
  <si>
    <t>10:31:29</t>
  </si>
  <si>
    <t>REC-7764-SS85-1546</t>
  </si>
  <si>
    <t>10:55:25</t>
  </si>
  <si>
    <t>3909484</t>
  </si>
  <si>
    <t>REC-5770-A3HH-1579572</t>
  </si>
  <si>
    <t>11:26:02</t>
  </si>
  <si>
    <t>REC-072-TTF1-334441</t>
  </si>
  <si>
    <t>12:00:18</t>
  </si>
  <si>
    <t>1759449059001</t>
  </si>
  <si>
    <t>23923172</t>
  </si>
  <si>
    <t>REC-3027-M9QK-141200</t>
  </si>
  <si>
    <t>12:46:09</t>
  </si>
  <si>
    <t>REC-3182-YQG9-299729</t>
  </si>
  <si>
    <t>12:56:43</t>
  </si>
  <si>
    <t>REC-3520-A1CH-288524</t>
  </si>
  <si>
    <t>13:33:22</t>
  </si>
  <si>
    <t>REC-3161-KURB-456559</t>
  </si>
  <si>
    <t>14:28:45</t>
  </si>
  <si>
    <t>REC-355-N45U-592601</t>
  </si>
  <si>
    <t>14:55:31</t>
  </si>
  <si>
    <t>0925556904</t>
  </si>
  <si>
    <t>3930259</t>
  </si>
  <si>
    <t>REC-3187-YWS5-624658</t>
  </si>
  <si>
    <t>15:02:15</t>
  </si>
  <si>
    <t>REC-4319-A1I3-31049</t>
  </si>
  <si>
    <t>15:05:24</t>
  </si>
  <si>
    <t>REC-4319-A1I3-31050</t>
  </si>
  <si>
    <t>15:06:14</t>
  </si>
  <si>
    <t>REC-342-EBMO-303251</t>
  </si>
  <si>
    <t>15:30:22</t>
  </si>
  <si>
    <t>REC-348-1R2Q-463754</t>
  </si>
  <si>
    <t>15:40:26</t>
  </si>
  <si>
    <t>REC-5585-RQ83-40208</t>
  </si>
  <si>
    <t>16:34:10</t>
  </si>
  <si>
    <t>REC-3182-YQHD-285730</t>
  </si>
  <si>
    <t>16:35:23</t>
  </si>
  <si>
    <t>REC-3187-A2UB-175857</t>
  </si>
  <si>
    <t>REC-3520-A1CH-288603</t>
  </si>
  <si>
    <t>REC-3022-FNNL-561923</t>
  </si>
  <si>
    <t>17:26:30</t>
  </si>
  <si>
    <t>REC-7276-RQ45-79367</t>
  </si>
  <si>
    <t>18:30:09</t>
  </si>
  <si>
    <t>REC-3022-FNNL-561630</t>
  </si>
  <si>
    <t>08:14:03</t>
  </si>
  <si>
    <t>20210507</t>
  </si>
  <si>
    <t>0918644808</t>
  </si>
  <si>
    <t>3930362</t>
  </si>
  <si>
    <t>REC-5310-Z4YZ-983709</t>
  </si>
  <si>
    <t>08:34:58</t>
  </si>
  <si>
    <t>REC-223-B7CD-604337</t>
  </si>
  <si>
    <t>09:41:53</t>
  </si>
  <si>
    <t>REC-3808-A3Z9-546847</t>
  </si>
  <si>
    <t>10:05:12</t>
  </si>
  <si>
    <t>REC-5310-Z4YZ-990737</t>
  </si>
  <si>
    <t>REC-3295-1T8D-188341</t>
  </si>
  <si>
    <t>11:04:54</t>
  </si>
  <si>
    <t>0919736223</t>
  </si>
  <si>
    <t>3909065</t>
  </si>
  <si>
    <t>REC-7731-B239-925</t>
  </si>
  <si>
    <t>11:31:35</t>
  </si>
  <si>
    <t>REC-3520-A1CH-288282</t>
  </si>
  <si>
    <t>11:40:05</t>
  </si>
  <si>
    <t>REC-072-A6LX-225575</t>
  </si>
  <si>
    <t>11:45:07</t>
  </si>
  <si>
    <t>REC-348-AB9D-169255</t>
  </si>
  <si>
    <t>12:41:45</t>
  </si>
  <si>
    <t>REC-4278-IOI5-2765</t>
  </si>
  <si>
    <t>13:50:50</t>
  </si>
  <si>
    <t>0917107799</t>
  </si>
  <si>
    <t>3900650</t>
  </si>
  <si>
    <t>REC-072-4PW8-222085</t>
  </si>
  <si>
    <t>0915845754</t>
  </si>
  <si>
    <t>3909331</t>
  </si>
  <si>
    <t>REC-3301-CTQ4-6228</t>
  </si>
  <si>
    <t>14:53:20</t>
  </si>
  <si>
    <t>REC-061-A13Z-55437</t>
  </si>
  <si>
    <t>16:31:02</t>
  </si>
  <si>
    <t>0955471982</t>
  </si>
  <si>
    <t>3908951</t>
  </si>
  <si>
    <t>REC-3371-EFX5-196463</t>
  </si>
  <si>
    <t>17:37:40</t>
  </si>
  <si>
    <t>REC-5635-A2YS-46500</t>
  </si>
  <si>
    <t>17:41:16</t>
  </si>
  <si>
    <t>REC-5221-A543-21993</t>
  </si>
  <si>
    <t>20:56:12</t>
  </si>
  <si>
    <t>REC-072-AJ3R-265168</t>
  </si>
  <si>
    <t>08:20:08</t>
  </si>
  <si>
    <t>20210506</t>
  </si>
  <si>
    <t>REC-061-AEU1-203712</t>
  </si>
  <si>
    <t>08:34:15</t>
  </si>
  <si>
    <t>REC-045-AFEZ-593090</t>
  </si>
  <si>
    <t>09:35:45</t>
  </si>
  <si>
    <t>REC-5680-PS51-948059</t>
  </si>
  <si>
    <t>09:45:26</t>
  </si>
  <si>
    <t>REC-342-EBMO-302886</t>
  </si>
  <si>
    <t>10:09:25</t>
  </si>
  <si>
    <t>REC-518-RI71-197780</t>
  </si>
  <si>
    <t>10:55:47</t>
  </si>
  <si>
    <t>REC-061-ZGFI-108834</t>
  </si>
  <si>
    <t>10:58:39</t>
  </si>
  <si>
    <t>REC-551-VOI9-587777</t>
  </si>
  <si>
    <t>11:34:36</t>
  </si>
  <si>
    <t>REC-3175-A3LN-153848</t>
  </si>
  <si>
    <t>12:46:46</t>
  </si>
  <si>
    <t>REC-090-9SKJ-470881</t>
  </si>
  <si>
    <t>12:55:55</t>
  </si>
  <si>
    <t>REC-5635-A2YS-46325</t>
  </si>
  <si>
    <t>13:01:00</t>
  </si>
  <si>
    <t>1204881708</t>
  </si>
  <si>
    <t>3908310</t>
  </si>
  <si>
    <t>REC-241-BEJD-591429</t>
  </si>
  <si>
    <t>13:01:58</t>
  </si>
  <si>
    <t>REC-3792-A39T-138070</t>
  </si>
  <si>
    <t>13:42:36</t>
  </si>
  <si>
    <t>REC-7570-PS50-964803</t>
  </si>
  <si>
    <t>13:58:38</t>
  </si>
  <si>
    <t>REC-4007-OIT2-967090</t>
  </si>
  <si>
    <t>14:40:34</t>
  </si>
  <si>
    <t>REC-008-PB64-394126</t>
  </si>
  <si>
    <t>14:56:51</t>
  </si>
  <si>
    <t>0992297263001</t>
  </si>
  <si>
    <t>3909344</t>
  </si>
  <si>
    <t>REC-4202-A16N-9092</t>
  </si>
  <si>
    <t>15:07:21</t>
  </si>
  <si>
    <t>REC-008-PB64-394129</t>
  </si>
  <si>
    <t>15:31:21</t>
  </si>
  <si>
    <t>REC-4164-A19X-172399</t>
  </si>
  <si>
    <t>15:36:38</t>
  </si>
  <si>
    <t>0920567799</t>
  </si>
  <si>
    <t>3903580</t>
  </si>
  <si>
    <t>REC-048-QNCI-645615</t>
  </si>
  <si>
    <t>15:37:04</t>
  </si>
  <si>
    <t>REC-5585-A2XB-87054</t>
  </si>
  <si>
    <t>15:48:14</t>
  </si>
  <si>
    <t>REC-3187-A2UE-64471</t>
  </si>
  <si>
    <t>17:02:15</t>
  </si>
  <si>
    <t>REC-2004-CNH2-609374</t>
  </si>
  <si>
    <t>17:02:31</t>
  </si>
  <si>
    <t>REC-3371-EGEG-277603</t>
  </si>
  <si>
    <t>17:23:48</t>
  </si>
  <si>
    <t>REC-096-ZU7N-273462</t>
  </si>
  <si>
    <t>17:32:06</t>
  </si>
  <si>
    <t>REC-2004-CNH2-609391</t>
  </si>
  <si>
    <t>18:20:34</t>
  </si>
  <si>
    <t>REC-5310-Z4YZ-979372</t>
  </si>
  <si>
    <t>18:31:10</t>
  </si>
  <si>
    <t>0961153954</t>
  </si>
  <si>
    <t>3909355</t>
  </si>
  <si>
    <t>REC-3158-KURJ-224675</t>
  </si>
  <si>
    <t>08:44:41</t>
  </si>
  <si>
    <t>20210505</t>
  </si>
  <si>
    <t>0913947446</t>
  </si>
  <si>
    <t>3901940</t>
  </si>
  <si>
    <t>REC-3978-LUO2-897704</t>
  </si>
  <si>
    <t>08:45:52</t>
  </si>
  <si>
    <t>REC-223-B7CD-604013</t>
  </si>
  <si>
    <t>08:47:03</t>
  </si>
  <si>
    <t>REC-223-B7CD-604018</t>
  </si>
  <si>
    <t>08:52:23</t>
  </si>
  <si>
    <t>REC-7901-A7O0-1860</t>
  </si>
  <si>
    <t>09:06:33</t>
  </si>
  <si>
    <t>REC-342-EBMO-302704</t>
  </si>
  <si>
    <t>09:32:08</t>
  </si>
  <si>
    <t>REC-191-A381-902274</t>
  </si>
  <si>
    <t>09:49:20</t>
  </si>
  <si>
    <t>REC-004-P4FN-111860</t>
  </si>
  <si>
    <t>REC-3412-PTE5-904595</t>
  </si>
  <si>
    <t>10:14:57</t>
  </si>
  <si>
    <t>REC-3371-LD0C-314544</t>
  </si>
  <si>
    <t>10:34:34</t>
  </si>
  <si>
    <t>0921958914</t>
  </si>
  <si>
    <t>3901748</t>
  </si>
  <si>
    <t>REC-4319-A1I3-30953</t>
  </si>
  <si>
    <t>10:39:50</t>
  </si>
  <si>
    <t>REC-7828-MB00-5978</t>
  </si>
  <si>
    <t>10:47:53</t>
  </si>
  <si>
    <t>1757009202001</t>
  </si>
  <si>
    <t>23923304</t>
  </si>
  <si>
    <t>REC-5598-Y00K-7527</t>
  </si>
  <si>
    <t>10:55:51</t>
  </si>
  <si>
    <t>23923305</t>
  </si>
  <si>
    <t>REC-5598-Y00K-7528</t>
  </si>
  <si>
    <t>10:56:07</t>
  </si>
  <si>
    <t>REC-3200-SAMD-287182</t>
  </si>
  <si>
    <t>11:25:35</t>
  </si>
  <si>
    <t>REC-223-V7XD-297533</t>
  </si>
  <si>
    <t>11:35:41</t>
  </si>
  <si>
    <t>REC-355-J4YM-695191</t>
  </si>
  <si>
    <t>11:36:47</t>
  </si>
  <si>
    <t>REC-3187-A2UE-64308</t>
  </si>
  <si>
    <t>12:24:16</t>
  </si>
  <si>
    <t>REC-3172-YIHD-265769</t>
  </si>
  <si>
    <t>12:30:46</t>
  </si>
  <si>
    <t>REC-4313-IAI9-915999</t>
  </si>
  <si>
    <t>12:31:55</t>
  </si>
  <si>
    <t>REC-223-V7XD-297559</t>
  </si>
  <si>
    <t>13:04:57</t>
  </si>
  <si>
    <t>REC-7779-SS95-919008</t>
  </si>
  <si>
    <t>13:16:20</t>
  </si>
  <si>
    <t>REC-7779-SS95-919094</t>
  </si>
  <si>
    <t>13:17:44</t>
  </si>
  <si>
    <t>REC-5310-Z4YZ-919990</t>
  </si>
  <si>
    <t>13:31:38</t>
  </si>
  <si>
    <t>REC-3172-LIO6-145546</t>
  </si>
  <si>
    <t>13:51:49</t>
  </si>
  <si>
    <t>REC-3370-A6JI-280327</t>
  </si>
  <si>
    <t>14:00:48</t>
  </si>
  <si>
    <t>REC-3533-A4H5-400168</t>
  </si>
  <si>
    <t>14:21:44</t>
  </si>
  <si>
    <t>REC-3421-A2OB-465044</t>
  </si>
  <si>
    <t>14:52:56</t>
  </si>
  <si>
    <t>REC-3301-CTQ4-925693</t>
  </si>
  <si>
    <t>14:58:33</t>
  </si>
  <si>
    <t>REC-011-JVA0-532086</t>
  </si>
  <si>
    <t>15:17:23</t>
  </si>
  <si>
    <t>REC-011-JVA0-532087</t>
  </si>
  <si>
    <t>15:18:11</t>
  </si>
  <si>
    <t>0918208174</t>
  </si>
  <si>
    <t>3908912</t>
  </si>
  <si>
    <t>REC-3201-Y46O-449627</t>
  </si>
  <si>
    <t>15:27:16</t>
  </si>
  <si>
    <t>REC-348-1R2Q-463292</t>
  </si>
  <si>
    <t>15:45:27</t>
  </si>
  <si>
    <t>REC-4164-A19X-172296</t>
  </si>
  <si>
    <t>15:52:27</t>
  </si>
  <si>
    <t>REC-355-J4YM-695260</t>
  </si>
  <si>
    <t>16:00:50</t>
  </si>
  <si>
    <t>REC-3182-YQHD-285451</t>
  </si>
  <si>
    <t>16:50:28</t>
  </si>
  <si>
    <t>REC-4942-A1Z4-935396</t>
  </si>
  <si>
    <t>17:20:16</t>
  </si>
  <si>
    <t>REC-4942-A1Z4-935438</t>
  </si>
  <si>
    <t>17:21:12</t>
  </si>
  <si>
    <t>REC-611-HYM3-114088</t>
  </si>
  <si>
    <t>17:35:12</t>
  </si>
  <si>
    <t>REC-390-SB17-612630</t>
  </si>
  <si>
    <t>17:46:33</t>
  </si>
  <si>
    <t>REC-613-BK8R-433115</t>
  </si>
  <si>
    <t>17:57:31</t>
  </si>
  <si>
    <t>REC-5152-A440-938390</t>
  </si>
  <si>
    <t>18:17:15</t>
  </si>
  <si>
    <t>REC-3370-A6JI-280369</t>
  </si>
  <si>
    <t>18:27:35</t>
  </si>
  <si>
    <t>REC-4963-A3A0-839113</t>
  </si>
  <si>
    <t>07:10:16</t>
  </si>
  <si>
    <t>20210504</t>
  </si>
  <si>
    <t>REC-5635-A2YS-45900</t>
  </si>
  <si>
    <t>08:27:07</t>
  </si>
  <si>
    <t>REC-3370-A6JI-280046</t>
  </si>
  <si>
    <t>08:49:05</t>
  </si>
  <si>
    <t>REC-096-DCIZ-479408</t>
  </si>
  <si>
    <t>09:23:56</t>
  </si>
  <si>
    <t>REC-5310-Z4YZ-846900</t>
  </si>
  <si>
    <t>09:37:11</t>
  </si>
  <si>
    <t>REC-061-A1AW-62485</t>
  </si>
  <si>
    <t>10:11:14</t>
  </si>
  <si>
    <t>REC-3834-A4T5-111224</t>
  </si>
  <si>
    <t>10:13:11</t>
  </si>
  <si>
    <t>REC-3175-C8JC-331168</t>
  </si>
  <si>
    <t>10:16:40</t>
  </si>
  <si>
    <t>REC-4179-LOE1-853194</t>
  </si>
  <si>
    <t>10:34:24</t>
  </si>
  <si>
    <t>0902556216</t>
  </si>
  <si>
    <t>3906791</t>
  </si>
  <si>
    <t>REC-4164-A1CB-136463</t>
  </si>
  <si>
    <t>10:48:02</t>
  </si>
  <si>
    <t>REC-5585-A2XB-86638</t>
  </si>
  <si>
    <t>11:16:22</t>
  </si>
  <si>
    <t>REC-3200-SAMB-533839</t>
  </si>
  <si>
    <t>11:17:24</t>
  </si>
  <si>
    <t>REC-3301-CTQ4-858450</t>
  </si>
  <si>
    <t>11:30:21</t>
  </si>
  <si>
    <t>0992574895001</t>
  </si>
  <si>
    <t>23923337</t>
  </si>
  <si>
    <t>REC-3301-CTQ4-859105</t>
  </si>
  <si>
    <t>11:37:45</t>
  </si>
  <si>
    <t>REC-348-AB9D-168531</t>
  </si>
  <si>
    <t>11:41:26</t>
  </si>
  <si>
    <t>REC-986-B099-1771</t>
  </si>
  <si>
    <t>REC-7916-AV03-2540</t>
  </si>
  <si>
    <t>12:12:38</t>
  </si>
  <si>
    <t>REC-7828-MB00-5878</t>
  </si>
  <si>
    <t>12:17:34</t>
  </si>
  <si>
    <t>REC-4301-IAI1-864339</t>
  </si>
  <si>
    <t>12:35:53</t>
  </si>
  <si>
    <t>REC-518-RI71-197514</t>
  </si>
  <si>
    <t>12:48:07</t>
  </si>
  <si>
    <t>REC-3412-PTE5-866111</t>
  </si>
  <si>
    <t>12:59:24</t>
  </si>
  <si>
    <t>REC-536-2GEZ-365059</t>
  </si>
  <si>
    <t>13:35:08</t>
  </si>
  <si>
    <t>REC-095-AJSE-696209</t>
  </si>
  <si>
    <t>13:53:30</t>
  </si>
  <si>
    <t>REC-944-ZF9M-220484</t>
  </si>
  <si>
    <t>13:54:14</t>
  </si>
  <si>
    <t>REC-090-ULDN-621433</t>
  </si>
  <si>
    <t>14:01:30</t>
  </si>
  <si>
    <t>REC-091-A1E5-413401</t>
  </si>
  <si>
    <t>14:23:52</t>
  </si>
  <si>
    <t>REC-4717-FRZ4-874204</t>
  </si>
  <si>
    <t>14:49:17</t>
  </si>
  <si>
    <t>REC-3371-EFX5-195968</t>
  </si>
  <si>
    <t>15:00:15</t>
  </si>
  <si>
    <t>REC-165-M8MT-673584</t>
  </si>
  <si>
    <t>15:02:46</t>
  </si>
  <si>
    <t>REC-5635-A2YS-46022</t>
  </si>
  <si>
    <t>15:21:59</t>
  </si>
  <si>
    <t>REC-072-A6LX-225250</t>
  </si>
  <si>
    <t>REC-3172-LIO6-145402</t>
  </si>
  <si>
    <t>15:48:22</t>
  </si>
  <si>
    <t>REC-609-A1M3-340340</t>
  </si>
  <si>
    <t>16:06:38</t>
  </si>
  <si>
    <t>REC-536-2GEZ-365120</t>
  </si>
  <si>
    <t>16:13:48</t>
  </si>
  <si>
    <t>REC-090-9SKJ-470567</t>
  </si>
  <si>
    <t>16:21:18</t>
  </si>
  <si>
    <t>REC-5152-A440-883100</t>
  </si>
  <si>
    <t>REC-3170-YGVG-342757</t>
  </si>
  <si>
    <t>REC-518-RI71-197618</t>
  </si>
  <si>
    <t>17:41:31</t>
  </si>
  <si>
    <t>REC-5310-Z4YZ-894925</t>
  </si>
  <si>
    <t>20:51:43</t>
  </si>
  <si>
    <t>REC-061-ZT94-168393</t>
  </si>
  <si>
    <t>06:57:08</t>
  </si>
  <si>
    <t>20210503</t>
  </si>
  <si>
    <t>REC-048-QNCI-645129</t>
  </si>
  <si>
    <t>08:29:44</t>
  </si>
  <si>
    <t>REC-072-GPG1-230460</t>
  </si>
  <si>
    <t>09:19:20</t>
  </si>
  <si>
    <t>REC-5987-GFL4-783780</t>
  </si>
  <si>
    <t>09:51:07</t>
  </si>
  <si>
    <t>REC-5310-Z4YZ-787873</t>
  </si>
  <si>
    <t>10:27:19</t>
  </si>
  <si>
    <t>REC-4942-A1Z4-788450</t>
  </si>
  <si>
    <t>10:32:55</t>
  </si>
  <si>
    <t>REC-6397-A5XK-26043</t>
  </si>
  <si>
    <t>11:17:59</t>
  </si>
  <si>
    <t>REC-609-A3AI-106857</t>
  </si>
  <si>
    <t>11:23:19</t>
  </si>
  <si>
    <t>REC-008-PB65-400861</t>
  </si>
  <si>
    <t>11:43:50</t>
  </si>
  <si>
    <t>REC-3187-YWS5-624091</t>
  </si>
  <si>
    <t>11:47:43</t>
  </si>
  <si>
    <t>REC-4257-A221-148195</t>
  </si>
  <si>
    <t>12:19:55</t>
  </si>
  <si>
    <t>REC-5762-FE91-800612</t>
  </si>
  <si>
    <t>12:20:22</t>
  </si>
  <si>
    <t>REC-3792-A24Z-583927</t>
  </si>
  <si>
    <t>12:50:07</t>
  </si>
  <si>
    <t>REC-5695-A2E3-33110</t>
  </si>
  <si>
    <t>12:52:06</t>
  </si>
  <si>
    <t>REC-223-B7CD-603797</t>
  </si>
  <si>
    <t>16:16:38</t>
  </si>
  <si>
    <t>0921146213</t>
  </si>
  <si>
    <t>3903201</t>
  </si>
  <si>
    <t>REC-4779-FSG2-824226</t>
  </si>
  <si>
    <t>16:32:09</t>
  </si>
  <si>
    <t>REC-4235-A1BQ-30494</t>
  </si>
  <si>
    <t>16:42:10</t>
  </si>
  <si>
    <t>REC-3412-PTE5-829308</t>
  </si>
  <si>
    <t>17:34:04</t>
  </si>
  <si>
    <t>0916786791</t>
  </si>
  <si>
    <t>3908800</t>
  </si>
  <si>
    <t>REC-191-A381-837400</t>
  </si>
  <si>
    <t>19:48:27</t>
  </si>
  <si>
    <t>WESTERN UNION MES DE MAYO</t>
  </si>
  <si>
    <t>N/D PACIFICO TRANSF. ROLES DE PAGO 2DA QUINCENA MES DE JUNIO 2021</t>
  </si>
  <si>
    <t>N/D PACIFICO TRANSF. CANCELACIÓN DE FACTURA#444 BAQUERIZO DAVILA PABLO JONATHAN</t>
  </si>
  <si>
    <t>N/D PACIFICO TRANSF. REEMBOLSO A MANUEL MERELO POR MOVILIZACIÓN</t>
  </si>
  <si>
    <t>N/D PACIFICO TRANSF. CANCELACIÓN DE FACTURA#141 BAQUE BAQUE BYRON PAUL Y FACTURA#114 ESTUPIÑAN ANDRADE FRANCISCO JAVIER</t>
  </si>
  <si>
    <t>N/D PACIFICO TRANSF. CANCELACIÓN DE FACTURA CNEL EP, CTV, PORTAL AL SOL</t>
  </si>
  <si>
    <t>N/D PACIFICO TRANSF. CANCELACIÓN DE FACTURA#30553330 CNEL EP</t>
  </si>
  <si>
    <t>NDL-29</t>
  </si>
  <si>
    <t xml:space="preserve">Fact#: 364286 Rec#: 33680 JARAMILLO RIVERA WILLIAN ADOLFO </t>
  </si>
  <si>
    <t>IC-9850</t>
  </si>
  <si>
    <t>Fact#: 360834 Rec#: 33582 CONSORCIO ECUATORIANO DE TELECOMUNICACIONES S.A. CONECEL</t>
  </si>
  <si>
    <t>IC-9234</t>
  </si>
  <si>
    <t>Fact#: 363598-363599 Rec#: 33578 LUIS DANIEL CHIANG GUERRERO</t>
  </si>
  <si>
    <t>IC-9220</t>
  </si>
  <si>
    <t xml:space="preserve">Fact#: 364896 Rec#: 33577 VALLEJO PROANO FABIAN IGNACIO </t>
  </si>
  <si>
    <t>IC-9219</t>
  </si>
  <si>
    <t>Fact#: 364893 Rec#: 33576 CASTRO ESPINALES LUCELINA PRIMITIVA</t>
  </si>
  <si>
    <t>IC-9218</t>
  </si>
  <si>
    <t>Fact#: 359402-361927-364476 Rec#: 33575 MERA ESPINOZA LEONEL ANTONIO</t>
  </si>
  <si>
    <t>IC-9217</t>
  </si>
  <si>
    <t>Fact#: 361928-364477 Rec#: 33574 MERA ESPINOZA LEONEL ANTONIO</t>
  </si>
  <si>
    <t>IC-9216</t>
  </si>
  <si>
    <t>Fact#: 362637-365177 Rec#: 33573 INZHIVOTKINA YANA</t>
  </si>
  <si>
    <t>IC-9215</t>
  </si>
  <si>
    <t>Fact#: 363802 Rec#: 33572 MARIA FERNANDA GONZALEZ MITE</t>
  </si>
  <si>
    <t>IC-9214</t>
  </si>
  <si>
    <t>Fact#: 364250 Rec#: 33571 DUENAS RUIZ TERESA EDITH</t>
  </si>
  <si>
    <t>IC-9213</t>
  </si>
  <si>
    <t>Fact#: 363408 Rec#: 33570 LOURDES DEL ROCIO CHAVEZ VELEZ</t>
  </si>
  <si>
    <t>IC-9212</t>
  </si>
  <si>
    <t>Fact#: 358299-362398-364942 Rec#: 33569 MAZZINI RIVADENEIRA VALERIE GEOVANNA</t>
  </si>
  <si>
    <t>IC-9211</t>
  </si>
  <si>
    <t>Fact#: 363918 Rec#: 33568 RICARDO ARMANDO COLOMA MOLINA</t>
  </si>
  <si>
    <t>IC-9210</t>
  </si>
  <si>
    <t xml:space="preserve">Fact#: 4560-4789 Rec#: 18662 ASTUDILLO PIURI DOLORES LUZMILA </t>
  </si>
  <si>
    <t>IC-9209</t>
  </si>
  <si>
    <t xml:space="preserve">Fact#: 362851-365386 Rec#: 18661 ASTUDILLO PIURI DOLORES LUZMILA </t>
  </si>
  <si>
    <t>IC-9208</t>
  </si>
  <si>
    <t xml:space="preserve">Fact#: 361878-364430 Rec#: 18660 MARTINEZ DAVILA YINET </t>
  </si>
  <si>
    <t>IC-9207</t>
  </si>
  <si>
    <t xml:space="preserve">Fact#: 361404-363957 Rec#: 18659 NEISI LORENA CHONG MELGAR </t>
  </si>
  <si>
    <t>IC-9206</t>
  </si>
  <si>
    <t xml:space="preserve">Fact#: 364002 Rec#: 18658 NARCISA MIRELLA ANDRADE SALTOS </t>
  </si>
  <si>
    <t>IC-9205</t>
  </si>
  <si>
    <t xml:space="preserve">Fact#: 362424-364969 Rec#: 18657 MITE LOPEZ JESSICA ALEXANDRA </t>
  </si>
  <si>
    <t>IC-9204</t>
  </si>
  <si>
    <t xml:space="preserve">Fact#: 361372-363925 Rec#: 18656 DIOCELINA JACQUELINE HERNANDEZ CRUZ </t>
  </si>
  <si>
    <t>IC-9203</t>
  </si>
  <si>
    <t xml:space="preserve">Fact#: 360188-362709-365259 Rec#: 18655 MACIAS SUAREZ ANA ROSA </t>
  </si>
  <si>
    <t>IC-9202</t>
  </si>
  <si>
    <t xml:space="preserve">Fact#: 360526-363070 Rec#: 18654 ALLINPUBLICIDAD&amp;MARKETING S A </t>
  </si>
  <si>
    <t>IC-9201</t>
  </si>
  <si>
    <t xml:space="preserve">Fact#: 363497 Rec#: 18653 CAROLA MISHEL ABISAAB MEDINA </t>
  </si>
  <si>
    <t>IC-9200</t>
  </si>
  <si>
    <t xml:space="preserve">Fact#: 361855-364408 Rec#: 18652 CAMPOVERDE AREVALO WILLIAM HERNAN </t>
  </si>
  <si>
    <t>IC-9199</t>
  </si>
  <si>
    <t xml:space="preserve">Fact#: 361563-364116 Rec#: 18651 PINO MATAMOROS GALO EFRAIN </t>
  </si>
  <si>
    <t>IC-9198</t>
  </si>
  <si>
    <t xml:space="preserve">Fact#: 361240-363795 Rec#: 18650 LORENA LISSET NUÑEZ RODRIGUEZ </t>
  </si>
  <si>
    <t>IC-9197</t>
  </si>
  <si>
    <t xml:space="preserve">Fact#: 364850 Rec#: 18649 LEON GARCIA MARCELA VERONICA </t>
  </si>
  <si>
    <t>IC-9196</t>
  </si>
  <si>
    <t xml:space="preserve">Fact#: 364629 Rec#: 18648 MARCILLO COBOS DAVID FERNANDO </t>
  </si>
  <si>
    <t>IC-9195</t>
  </si>
  <si>
    <t xml:space="preserve">Fact#: 358954-361474-364028 Rec#: 18647 CARLOS FERNANDO BERMELLO MEZA </t>
  </si>
  <si>
    <t>IC-9194</t>
  </si>
  <si>
    <t xml:space="preserve">Fact#: 4581-4815 Rec#: 18646 ALVAREZ MOLINA PAUL ALEJANDRO </t>
  </si>
  <si>
    <t>IC-9193</t>
  </si>
  <si>
    <t xml:space="preserve">Fact#: 358629-361157-363714 Rec#: 18645 FAUSTO HENRY ZAMBRANO VERA </t>
  </si>
  <si>
    <t>IC-9192</t>
  </si>
  <si>
    <t xml:space="preserve">Fact#: 364799 Rec#: 18644 AVILES CRESPO LEONOR STEPHANY </t>
  </si>
  <si>
    <t>IC-9191</t>
  </si>
  <si>
    <t xml:space="preserve">Fact#: 363909 Rec#: 18643 EDUARDO CAMPOSANO ULLOA </t>
  </si>
  <si>
    <t>IC-9190</t>
  </si>
  <si>
    <t xml:space="preserve">Fact#: 359839-362353-364898 Rec#: 18642 MARTINEZ LOOR LOURDES ELIZABETH </t>
  </si>
  <si>
    <t>IC-9189</t>
  </si>
  <si>
    <t xml:space="preserve">Fact#: 362890-365425 Rec#: 18641 ORRALA LINDAO CARMEN DEL ROCIO </t>
  </si>
  <si>
    <t>IC-9188</t>
  </si>
  <si>
    <t xml:space="preserve">Fact#: 4510-4741 Rec#: 18640 ZAMBRANO OLMEDO VERONICA PATRICIA </t>
  </si>
  <si>
    <t>IC-9187</t>
  </si>
  <si>
    <t xml:space="preserve">Fact#: 365336 Rec#: 18639 MONTERO ESCALANTE DANNY ARVID </t>
  </si>
  <si>
    <t>IC-9186</t>
  </si>
  <si>
    <t xml:space="preserve">Fact#: 361989-364531 Rec#: 18638 MACAS CHAUCA CARLOS ALBERTO </t>
  </si>
  <si>
    <t>IC-9185</t>
  </si>
  <si>
    <t xml:space="preserve">Fact#: 365079 Rec#: 18637 SEGOVIA DOMINGUEZ KARLA FIORELLA </t>
  </si>
  <si>
    <t>IC-9184</t>
  </si>
  <si>
    <t xml:space="preserve">Fact#: 361274-363829 Rec#: 18636 CORA MARGARITA ROCIO GALLARDO CRUSELLAS </t>
  </si>
  <si>
    <t>IC-9183</t>
  </si>
  <si>
    <t xml:space="preserve">Fact#: 363752 Rec#: 18635 JESSICA LORENA TRIANA VELIS </t>
  </si>
  <si>
    <t>IC-9182</t>
  </si>
  <si>
    <t xml:space="preserve">Fact#: 362248-364792 Rec#: 18634 MERINO MORAN LUIS MIGUEL </t>
  </si>
  <si>
    <t>IC-9181</t>
  </si>
  <si>
    <t xml:space="preserve">Fact#: 359846-362360-364905 Rec#: 18633 LOPEZ MURILLO JOSE ANTONIO </t>
  </si>
  <si>
    <t>IC-9180</t>
  </si>
  <si>
    <t xml:space="preserve">Fact#: 359320-361844-364398 Rec#: 18632 CAICHE ROMERO GRACE SOFIA </t>
  </si>
  <si>
    <t>IC-9179</t>
  </si>
  <si>
    <t xml:space="preserve">Fact#: 362255-364800 Rec#: 18631 BACA GARAYCOA HILDA SHELLMA </t>
  </si>
  <si>
    <t>IC-9178</t>
  </si>
  <si>
    <t xml:space="preserve">Fact#: 362102-364646 Rec#: 18630 ZAVALA TORO CRUZ SISIBEL </t>
  </si>
  <si>
    <t>IC-9177</t>
  </si>
  <si>
    <t xml:space="preserve">Fact#: 359417-361942-364490 Rec#: 18629 QUIMI LOPEZ FROILAN TITO </t>
  </si>
  <si>
    <t>IC-9176</t>
  </si>
  <si>
    <t xml:space="preserve">Fact#: 364434 Rec#: 18628 AVILA ORTIZ GEOVANNY FABRICIO </t>
  </si>
  <si>
    <t>IC-9175</t>
  </si>
  <si>
    <t xml:space="preserve">Fact#: 362252-364797 Rec#: 18627 JIMENEZ BARBERAN DANIELA JESSICA </t>
  </si>
  <si>
    <t>IC-9174</t>
  </si>
  <si>
    <t xml:space="preserve">Fact#: 364462 Rec#: 18626 MOLINA PALMA WALTER DANIEL </t>
  </si>
  <si>
    <t>IC-9173</t>
  </si>
  <si>
    <t xml:space="preserve">Fact#: 364384 Rec#: 33567 PUERO CUERO CARLOS JULIO </t>
  </si>
  <si>
    <t>IC-9159</t>
  </si>
  <si>
    <t xml:space="preserve">Fact#: 365338 Rec#: 33566 SOLANO BAIDAL ISABEL YAJAIRA </t>
  </si>
  <si>
    <t>IC-9158</t>
  </si>
  <si>
    <t>GASTO BANCARIO PACIFICO #4676852-956-79202-310-89152-219-99087-147-29331-429-49056-146-58380-498-67676-784-94041-167-4803369-488-12946-13062-22215-93-31110-31208-56195-56289-64430-64508-72525-72595-80529-80565-88616-88678-4915430-15532-24627-24712-34252-</t>
  </si>
  <si>
    <t>DR-2334</t>
  </si>
  <si>
    <t>JURADO VELEZ JONNY EUGENIO, ABONA SGTE FACTURA, PAGO WESTERN UNION</t>
  </si>
  <si>
    <t>AT-3304</t>
  </si>
  <si>
    <t xml:space="preserve">Fact#: 362635-365175 Rec#: 33565 ALZAMORA BATALLA BLANCA LEONOR </t>
  </si>
  <si>
    <t>IC-9155</t>
  </si>
  <si>
    <t>Fact#: 364772 Rec#: 33564 MONTES BRIONES JEFFERSON ANTONIO</t>
  </si>
  <si>
    <t>IC-9146</t>
  </si>
  <si>
    <t>Fact#: 364540 Rec#: 33563 HERNANDEZ GOMEZ EDDY MAXIMO</t>
  </si>
  <si>
    <t>IC-9145</t>
  </si>
  <si>
    <t>Fact#: 364094 Rec#: 33562 LOPEZ PALACIOS DANNY CHRISTIAN</t>
  </si>
  <si>
    <t>IC-9144</t>
  </si>
  <si>
    <t>Fact#: 364255 Rec#: 33561 SOXO QUICHIMBO IVONNE ALEXANDRA</t>
  </si>
  <si>
    <t>IC-9143</t>
  </si>
  <si>
    <t>Fact#: 364945 Rec#: 33560 PRADO FRANCO ANDREA JACQUELINE</t>
  </si>
  <si>
    <t>IC-9142</t>
  </si>
  <si>
    <t>Fact#: 362521-365064 Rec#: 33559 ESCALANTE BUSTAMANTE MARIA GABRIELA</t>
  </si>
  <si>
    <t>IC-9141</t>
  </si>
  <si>
    <t>Fact#: 363199 Rec#: 33558 CAMPOS VELEZ HENRRY GONZALO</t>
  </si>
  <si>
    <t>IC-9140</t>
  </si>
  <si>
    <t>Fact#: 364158 Rec#: 33557 HERRERA DIAZ HIALINA AMALIA DE LAS ROSAS</t>
  </si>
  <si>
    <t>IC-9139</t>
  </si>
  <si>
    <t xml:space="preserve">Fact#: 356965-359429-361954 Rec#: 18625 ORELLANA CALDERON JUAN CARLOS </t>
  </si>
  <si>
    <t>IC-9128</t>
  </si>
  <si>
    <t xml:space="preserve">Fact#: 361281-363838 Rec#: 18624 DELFIN NESTOR CALDERON GARCIA </t>
  </si>
  <si>
    <t>IC-9127</t>
  </si>
  <si>
    <t xml:space="preserve">Fact#: 364789 Rec#: 18623 PONCE BURGOS NORMA ISABEL  </t>
  </si>
  <si>
    <t>IC-9126</t>
  </si>
  <si>
    <t xml:space="preserve">Fact#: 364790 Rec#: 18622 PONCE BURGOS NORMA ISABEL  </t>
  </si>
  <si>
    <t>IC-9125</t>
  </si>
  <si>
    <t xml:space="preserve">Fact#: 361591-364145 Rec#: 18621 CEVALLOS PLUAS JULIT LORENA </t>
  </si>
  <si>
    <t>IC-9124</t>
  </si>
  <si>
    <t xml:space="preserve">Fact#: 364367 Rec#: 18620 MIRABAL RODRIGUEZ CRISTINA </t>
  </si>
  <si>
    <t>IC-9123</t>
  </si>
  <si>
    <t xml:space="preserve">Fact#: 363662 Rec#: 18619 CARLOS GUILLERMO MUÑOZ GUTIERREZ </t>
  </si>
  <si>
    <t>IC-9122</t>
  </si>
  <si>
    <t xml:space="preserve">Fact#: 361419-363971 Rec#: 18618 ALEXANDRA JACKELINE SANCHEZ ZAMBRANO </t>
  </si>
  <si>
    <t>IC-9121</t>
  </si>
  <si>
    <t xml:space="preserve">Fact#: 365320 Rec#: 18617 BRAVO VILLAMAR JOHNNY VICENTE </t>
  </si>
  <si>
    <t>IC-9120</t>
  </si>
  <si>
    <t xml:space="preserve">Fact#: 364884 Rec#: 18616 NEIRA CUENCA MAGNER RICHARD </t>
  </si>
  <si>
    <t>IC-9119</t>
  </si>
  <si>
    <t xml:space="preserve">Fact#: 365008 Rec#: 18615 GANCINO TOAPANTA NAPOLEON ISRAEL </t>
  </si>
  <si>
    <t>IC-9118</t>
  </si>
  <si>
    <t xml:space="preserve">Fact#: 364627 Rec#: 18614 SANCHEZ AGUILAR SORAYA PATRICIA </t>
  </si>
  <si>
    <t>IC-9117</t>
  </si>
  <si>
    <t xml:space="preserve">Fact#: 359913-362429-364974 Rec#: 18613 VALVERDE MACAY CARLOS ARTURO </t>
  </si>
  <si>
    <t>IC-9116</t>
  </si>
  <si>
    <t xml:space="preserve">Fact#: 363510 Rec#: 18612 GREI DOLORES  DELGADO FARIA </t>
  </si>
  <si>
    <t>IC-9115</t>
  </si>
  <si>
    <t xml:space="preserve">Fact#: 363736 Rec#: 18611 ANDREA CANAHUATI CHAIN </t>
  </si>
  <si>
    <t>IC-9114</t>
  </si>
  <si>
    <t xml:space="preserve">Fact#: 360529-363073 Rec#: 18610 GAMFOOD S.A. </t>
  </si>
  <si>
    <t>IC-9113</t>
  </si>
  <si>
    <t xml:space="preserve">Fact#: 363830 Rec#: 18609 LUIS FERNANDO RODRIGUEZ TAPIA </t>
  </si>
  <si>
    <t>IC-9112</t>
  </si>
  <si>
    <t xml:space="preserve">Fact#: 363648 Rec#: 18608 LISETTE JOHANNA MEZA VEGA </t>
  </si>
  <si>
    <t>IC-9111</t>
  </si>
  <si>
    <t xml:space="preserve">Fact#: 362891-365426 Rec#: 18607 PONCE SILVA ROBERTO OSWALDO </t>
  </si>
  <si>
    <t>IC-9110</t>
  </si>
  <si>
    <t xml:space="preserve">Fact#: 360327-362829-365365 Rec#: 18606 AGUIRRE FAJARDO DAVID DANIEL </t>
  </si>
  <si>
    <t>IC-9109</t>
  </si>
  <si>
    <t xml:space="preserve">Fact#: 360557-363101 Rec#: 18605 NEDERAGRO S.A. </t>
  </si>
  <si>
    <t>IC-9108</t>
  </si>
  <si>
    <t xml:space="preserve">Fact#: 362759-365305 Rec#: 18604 ROURA SEMINARIO MARIA LEONOR </t>
  </si>
  <si>
    <t>IC-9107</t>
  </si>
  <si>
    <t xml:space="preserve">Fact#: 353606-356031-358510 Rec#: 18603 EDIN ERNESTO CISNEROS MAESTRE </t>
  </si>
  <si>
    <t>IC-9106</t>
  </si>
  <si>
    <t xml:space="preserve">Fact#: 363300 Rec#: 18602 LANDIVAR VELIZ CARLOS ALEX </t>
  </si>
  <si>
    <t>IC-9105</t>
  </si>
  <si>
    <t xml:space="preserve">Fact#: 362074-364616 Rec#: 18601 SOLANO DE LA TORRE EFRAIN ALFREDO </t>
  </si>
  <si>
    <t>IC-9104</t>
  </si>
  <si>
    <t xml:space="preserve">Fact#: 360749-363295 Rec#: 18600 MERA NEVAREZ FREDEVINDA ALEXANDRA </t>
  </si>
  <si>
    <t>IC-9103</t>
  </si>
  <si>
    <t xml:space="preserve">Fact#: 362897-365433 Rec#: 18599 CABELLO CHIRIGUAYA REIMUNDO ISRAEL </t>
  </si>
  <si>
    <t>IC-9102</t>
  </si>
  <si>
    <t xml:space="preserve">Fact#: 360965-363522 Rec#: 18598 HAYDEE GANDIOSA  FALUGIANI MORA </t>
  </si>
  <si>
    <t>IC-9101</t>
  </si>
  <si>
    <t xml:space="preserve">Fact#: 361378-363931 Rec#: 18597 GALO ENRIQUE ESTUPIÑAN VERA </t>
  </si>
  <si>
    <t>IC-9100</t>
  </si>
  <si>
    <t xml:space="preserve">Fact#: 361601-364157 Rec#: 18596 MIGUEZ ACOSTA WILLIAM GERMAN </t>
  </si>
  <si>
    <t>IC-9099</t>
  </si>
  <si>
    <t xml:space="preserve">Fact#: 361705-364258 Rec#: 18595 ESPINOZA ZUNIGA ISABEL MARIA </t>
  </si>
  <si>
    <t>IC-9098</t>
  </si>
  <si>
    <t xml:space="preserve">Fact#: 364003 Rec#: 18594 NEY AQUILES APOLINARIO RODRIGUEZ </t>
  </si>
  <si>
    <t>IC-9097</t>
  </si>
  <si>
    <t xml:space="preserve">Fact#: 364950 Rec#: 18593 PRECIADO SALVATIERRA PATRICIA PAOLA </t>
  </si>
  <si>
    <t>IC-9096</t>
  </si>
  <si>
    <t xml:space="preserve">Fact#: 364264 Rec#: 33594 LOGROÑO REYES VICENTE JAVIER </t>
  </si>
  <si>
    <t>IC-9317</t>
  </si>
  <si>
    <t xml:space="preserve">Fact#: 363322 Rec#: 33556 DUME ALCIVAR ALEX ENRIQUE </t>
  </si>
  <si>
    <t>IC-9080</t>
  </si>
  <si>
    <t>Fact#: 364338 Rec#: 33555 PINCAY SILVA FERNANDO RAFAEL</t>
  </si>
  <si>
    <t>IC-9077</t>
  </si>
  <si>
    <t>Fact#: 365384 Rec#: 33554 AVEIGA PAINI CARLOS ENRIQUE</t>
  </si>
  <si>
    <t>IC-9076</t>
  </si>
  <si>
    <t>Fact#: 360635-363177 Rec#: 33553 ASISTMED ASISTENCIA A MEDICOS S.A.</t>
  </si>
  <si>
    <t>IC-9075</t>
  </si>
  <si>
    <t>Fact#: 363994 Rec#: 33552 JUAN CARLOS MARTINEZ FASSIO</t>
  </si>
  <si>
    <t>IC-9074</t>
  </si>
  <si>
    <t>Fact#: 364056 Rec#: 33551 MINO DOYLET YOLANDA ABIGAIL</t>
  </si>
  <si>
    <t>IC-9073</t>
  </si>
  <si>
    <t>Fact#: 360040-362554-365096 Rec#: 33550 ESPINOSA RAMIREZ RAUL</t>
  </si>
  <si>
    <t>IC-9072</t>
  </si>
  <si>
    <t>Fact#: 363420 Rec#: 33549 GIOVANNY NARVAEZ PORTILLA</t>
  </si>
  <si>
    <t>IC-9071</t>
  </si>
  <si>
    <t>Fact#: 359605-362122-364667 Rec#: 33548 MARCHELLE GUIM GINO</t>
  </si>
  <si>
    <t>IC-9070</t>
  </si>
  <si>
    <t>Fact#: 359512-362032-364573 Rec#: 33547 JURADO VELEZ JONNY EUGENIO</t>
  </si>
  <si>
    <t>IC-9069</t>
  </si>
  <si>
    <t xml:space="preserve">Fact#: 351381-353711-356132 Rec#: 18592 JESUS NEREYDA CHIQUITO VERA </t>
  </si>
  <si>
    <t>IC-9056</t>
  </si>
  <si>
    <t xml:space="preserve">Fact#: 365127 Rec#: 18591 ESPIN DEL SALTO ROMULO FERNANDO </t>
  </si>
  <si>
    <t>IC-9055</t>
  </si>
  <si>
    <t xml:space="preserve">Fact#: 364433 Rec#: 18590 ROMMEL ANTONIO ZAMORA TRIGUERO </t>
  </si>
  <si>
    <t>IC-9054</t>
  </si>
  <si>
    <t xml:space="preserve">Fact#: 361773-364324 Rec#: 18589 VELASQUEZ POLIT NINA NATASHA </t>
  </si>
  <si>
    <t>IC-9053</t>
  </si>
  <si>
    <t xml:space="preserve">Fact#: 363747 Rec#: 18588 TERESA LEONOR SALAZAR PLUAS </t>
  </si>
  <si>
    <t>IC-9052</t>
  </si>
  <si>
    <t xml:space="preserve">Fact#: 363639 Rec#: 18587 CESAR AUGUSTO BAQUERIZO AROSEMENA </t>
  </si>
  <si>
    <t>IC-9051</t>
  </si>
  <si>
    <t xml:space="preserve">Fact#: 354850-357250-359713 Rec#: 18586 PARRAGA JOSE JUAN </t>
  </si>
  <si>
    <t>IC-9050</t>
  </si>
  <si>
    <t xml:space="preserve">Fact#: 364224 Rec#: 18585 MENDEZ ROSALES GIOCONDA EREUTEIDA </t>
  </si>
  <si>
    <t>IC-9049</t>
  </si>
  <si>
    <t xml:space="preserve">Fact#: 361884-364435 Rec#: 18584 CEDENO VILLAVICENCIO ROBERTO ANTONIO </t>
  </si>
  <si>
    <t>IC-9048</t>
  </si>
  <si>
    <t xml:space="preserve">Fact#: 361775-364326 Rec#: 18583 MOLINA SALAVARRIA ADRIANO ENRIQUE </t>
  </si>
  <si>
    <t>IC-9047</t>
  </si>
  <si>
    <t xml:space="preserve">Fact#: 364496 Rec#: 18582 CEDENO MARCILLO IRMA JANETH </t>
  </si>
  <si>
    <t>IC-9046</t>
  </si>
  <si>
    <t xml:space="preserve">Fact#: 360035-362549-365091 Rec#: 18581 MEJIA LEMA WILSON ALEXANDER </t>
  </si>
  <si>
    <t>IC-9045</t>
  </si>
  <si>
    <t xml:space="preserve">Fact#: 363303 Rec#: 18580 ASISTENCA TECNICA INDUSTRIAL ATEIND S.A.  </t>
  </si>
  <si>
    <t>IC-9044</t>
  </si>
  <si>
    <t xml:space="preserve">Fact#: 362689-365241 Rec#: 18579 HOLGUIN ESPINOZA TOMAS  </t>
  </si>
  <si>
    <t>IC-9043</t>
  </si>
  <si>
    <t xml:space="preserve">Fact#: 4868 Rec#: 18578 MALDONADO CAIZA MANUEL MESIAS </t>
  </si>
  <si>
    <t>IC-9042</t>
  </si>
  <si>
    <t xml:space="preserve">Fact#: 360231 Rec#: 18577 ZAMBRANO FATIMA LOURDES </t>
  </si>
  <si>
    <t>IC-9041</t>
  </si>
  <si>
    <t xml:space="preserve">Fact#: 364332 Rec#: 18576 CALI PINCAY SANDRA ELIZABETH  </t>
  </si>
  <si>
    <t>IC-9040</t>
  </si>
  <si>
    <t xml:space="preserve">Fact#: 361226-363781 Rec#: 18575 BRYAN JOEL BURGOS GALARZA </t>
  </si>
  <si>
    <t>IC-9039</t>
  </si>
  <si>
    <t xml:space="preserve">Fact#: 364841 Rec#: 18574 BELLO MENDEZ JOSELINE ZORAIDA </t>
  </si>
  <si>
    <t>IC-9038</t>
  </si>
  <si>
    <t xml:space="preserve">Fact#: 364372 Rec#: 18573 MAYEZA REGALADO JIMMY HARRY </t>
  </si>
  <si>
    <t>IC-9037</t>
  </si>
  <si>
    <t xml:space="preserve">Fact#: 356693-359164-361687 Rec#: 18572 REINOSO VASCONEZ RONALD HUMBERTO </t>
  </si>
  <si>
    <t>IC-9036</t>
  </si>
  <si>
    <t xml:space="preserve">Fact#: 362558-365100 Rec#: 33544 REYES HERRERA SILVIA LORENA </t>
  </si>
  <si>
    <t>IC-9014</t>
  </si>
  <si>
    <t xml:space="preserve">Fact#: 365203 Rec#: 33543 MIRTHA ACELA ESCALANTE GARCIA </t>
  </si>
  <si>
    <t>IC-9013</t>
  </si>
  <si>
    <t xml:space="preserve">Fact#: 4839 Rec#: 33541 CABEZAS SAMANIEGO JORGE GEOVANNY </t>
  </si>
  <si>
    <t>IC-9008</t>
  </si>
  <si>
    <t xml:space="preserve">Fact#: 362962 Rec#: 33538 DVT DEL ECUADOR S.A </t>
  </si>
  <si>
    <t>IC-9003</t>
  </si>
  <si>
    <t xml:space="preserve">Fact#: 364842 Rec#: 33537 ESPINOSA ESPINOZA HUGO STANLEY </t>
  </si>
  <si>
    <t>IC-9002</t>
  </si>
  <si>
    <t>SILVA ESPINOZA CARLOTA ELIZABETH ABONA SGTE FACTURA, BCO PACIFICO POR VENTANILLA</t>
  </si>
  <si>
    <t>AT-3302</t>
  </si>
  <si>
    <t xml:space="preserve">Fact#: 364032 Rec#: 18571 MONCADA MORA WENDY GINA </t>
  </si>
  <si>
    <t>IC-8983</t>
  </si>
  <si>
    <t xml:space="preserve">Fact#: 364343 Rec#: 18570 ORTEGA CONFORME  JANET AURORA  </t>
  </si>
  <si>
    <t>IC-8982</t>
  </si>
  <si>
    <t xml:space="preserve">Fact#: 365029 Rec#: 18569 SORIA LAMAN HARRY SUN </t>
  </si>
  <si>
    <t>IC-8981</t>
  </si>
  <si>
    <t xml:space="preserve">Fact#: 365144 Rec#: 18568 SANCHEZ MENDOZA ANA ADELA </t>
  </si>
  <si>
    <t>IC-8980</t>
  </si>
  <si>
    <t xml:space="preserve">Fact#: 362922-365458 Rec#: 18567 ORTIZ HIDALGO FRANNLIN GEOVANNY </t>
  </si>
  <si>
    <t>IC-8979</t>
  </si>
  <si>
    <t>Fact#: 359273-361797-364349 Rec#: 33540 CEDENO MUNOZ EDGAR ENRIQUE</t>
  </si>
  <si>
    <t>IC-9005</t>
  </si>
  <si>
    <t xml:space="preserve">Fact#: 365130 Rec#: 33539 TAMMY CARMEN CAAMAÑO CORNEJO </t>
  </si>
  <si>
    <t>IC-9004</t>
  </si>
  <si>
    <t xml:space="preserve">Fact#: 363985 Rec#: 18566 BEATRIZ MARIA DEL CARMEN PACHECO BALLESTEROS </t>
  </si>
  <si>
    <t>IC-8978</t>
  </si>
  <si>
    <t xml:space="preserve">Fact#: 362898-365434 Rec#: 18565 SARANGO VALDIVIEZO JENY ELIZABETH </t>
  </si>
  <si>
    <t>IC-8977</t>
  </si>
  <si>
    <t xml:space="preserve">Fact#: 361436-363990 Rec#: 18564 ELIDA DEL CARMEN MOREIRA VELEZ </t>
  </si>
  <si>
    <t>IC-8976</t>
  </si>
  <si>
    <t xml:space="preserve">Fact#: 361442-363996 Rec#: 18563 JUVIKA JOHANNA CABUYALES HUACON </t>
  </si>
  <si>
    <t>IC-8975</t>
  </si>
  <si>
    <t xml:space="preserve">Fact#: 364877 Rec#: 18562 SANCHEZ MEDINA FELIX </t>
  </si>
  <si>
    <t>IC-8974</t>
  </si>
  <si>
    <t xml:space="preserve">Fact#: 365044 Rec#: 18561 SILVA ESPINOZA CARLOTA ELIZABETH </t>
  </si>
  <si>
    <t>IC-8973</t>
  </si>
  <si>
    <t xml:space="preserve">Fact#: 364931 Rec#: 18560 GOMEZ ALCIVAR RUBER GIL </t>
  </si>
  <si>
    <t>IC-8972</t>
  </si>
  <si>
    <t xml:space="preserve">Fact#: 364523 Rec#: 18559 ROBALINO VALENCIA  SPARTA SUSANA  </t>
  </si>
  <si>
    <t>IC-8971</t>
  </si>
  <si>
    <t xml:space="preserve">Fact#: 364933 Rec#: 18558 TRUJILL0 ELJURI ROBERTO FARID </t>
  </si>
  <si>
    <t>IC-8970</t>
  </si>
  <si>
    <t xml:space="preserve">Fact#: 359443-361968-364512 Rec#: 18557 CONSTANTE GARCIA VICKY POALA </t>
  </si>
  <si>
    <t>IC-8969</t>
  </si>
  <si>
    <t xml:space="preserve">Fact#: 364231 Rec#: 18556 FREIRE ORTIZ PEDRO PABLO </t>
  </si>
  <si>
    <t>IC-8968</t>
  </si>
  <si>
    <t xml:space="preserve">Fact#: 4767 Rec#: 18555 JARAMILLO MONTANO JESSICA XIMENA </t>
  </si>
  <si>
    <t>IC-8967</t>
  </si>
  <si>
    <t xml:space="preserve">Fact#: 364641 Rec#: 18554 CHANCAY SOLEDISPA VICTOR MANUEL </t>
  </si>
  <si>
    <t>IC-8966</t>
  </si>
  <si>
    <t xml:space="preserve">Fact#: 365373 Rec#: 18553 QUIMIS CHIQUITO LUPE DIONICIO </t>
  </si>
  <si>
    <t>IC-8965</t>
  </si>
  <si>
    <t xml:space="preserve">Fact#: 364031 Rec#: 18552 TOMALA SANCAN JORGE LUIS </t>
  </si>
  <si>
    <t>IC-8964</t>
  </si>
  <si>
    <t xml:space="preserve">Fact#: 364181 Rec#: 18551 TOMALA SANCAN JORGE LUIS </t>
  </si>
  <si>
    <t>IC-8963</t>
  </si>
  <si>
    <t xml:space="preserve">Fact#: 364461 Rec#: 18550 ROMERO VERSOZA RICARDO GERONIMO </t>
  </si>
  <si>
    <t>IC-8962</t>
  </si>
  <si>
    <t xml:space="preserve">Fact#: 363858 Rec#: 18549 HOLGER ALFREDO TOMALA DE LA ROSA </t>
  </si>
  <si>
    <t>IC-8961</t>
  </si>
  <si>
    <t xml:space="preserve">Fact#: 355357-357741-360210-365279 Rec#: 18548 HIDALGO CAICEDO JOHANNA ELIZABETH </t>
  </si>
  <si>
    <t>IC-8960</t>
  </si>
  <si>
    <t xml:space="preserve">Fact#: 363778 Rec#: 18547 LUIS GALO IDROBO ACEBO </t>
  </si>
  <si>
    <t>IC-8959</t>
  </si>
  <si>
    <t>N/D POR COMISIONES DE WESTERN UNION POR RECAUDACION DEL 18/06/2021 AL 24/06/2021</t>
  </si>
  <si>
    <t>ND-2</t>
  </si>
  <si>
    <t>Fact#: 363393 Rec#: 33546 OTECEL</t>
  </si>
  <si>
    <t>IC-9016</t>
  </si>
  <si>
    <t>Fact#: 360838 Rec#: 33545 CONSORCIO ECUATORIANO DE TELECOMUNICACIONES S.A. CONECEL</t>
  </si>
  <si>
    <t>IC-9015</t>
  </si>
  <si>
    <t xml:space="preserve">Fact#: 361138-363695 Rec#: 33542 GASTON ALLAND CORTEZ ESPINOZA </t>
  </si>
  <si>
    <t>IC-9012</t>
  </si>
  <si>
    <t xml:space="preserve">Fact#: 359903-362420-364964 Rec#: 18546 MENDEZ LAINEZ RUTH ELIZABETH </t>
  </si>
  <si>
    <t>IC-8958</t>
  </si>
  <si>
    <t xml:space="preserve">Fact#: 364419 Rec#: 18545 YUNEZ PARRA JOSE MIGUEL </t>
  </si>
  <si>
    <t>IC-8957</t>
  </si>
  <si>
    <t xml:space="preserve">Fact#: 364421 Rec#: 18544 YUNEZ PARRA JOSE MIGUEL </t>
  </si>
  <si>
    <t>IC-8956</t>
  </si>
  <si>
    <t xml:space="preserve">Fact#: 363853 Rec#: 18543 MAGDALENA CONCEPCION FRANCO CORREA </t>
  </si>
  <si>
    <t>IC-8955</t>
  </si>
  <si>
    <t xml:space="preserve">Fact#: 355322-357710-360179-362701 Rec#: 18542 MENESES CEDENO CARMEN JULISSA </t>
  </si>
  <si>
    <t>IC-8954</t>
  </si>
  <si>
    <t xml:space="preserve">Fact#: 364253 Rec#: 18541 DUPRE MELLA HERNAN TADEO </t>
  </si>
  <si>
    <t>IC-8953</t>
  </si>
  <si>
    <t xml:space="preserve">Fact#: 360982-363538 Rec#: 18540 MARIA DEL CARMEN VERA VALVERDE </t>
  </si>
  <si>
    <t>IC-8952</t>
  </si>
  <si>
    <t xml:space="preserve">Fact#: 365414 Rec#: 18539 BAILON PEZO MERCEDES NATALIA </t>
  </si>
  <si>
    <t>IC-8951</t>
  </si>
  <si>
    <t xml:space="preserve">Fact#: 364097 Rec#: 18538 VASQUEZ AYALA MARIA DE LOURDES </t>
  </si>
  <si>
    <t>IC-8950</t>
  </si>
  <si>
    <t xml:space="preserve">Fact#: 363620 Rec#: 18537 MARIA PIEDAD MONTALVAN CAMPOVERDE </t>
  </si>
  <si>
    <t>IC-8949</t>
  </si>
  <si>
    <t xml:space="preserve">Fact#: 361662-364217 Rec#: 18536 FLORES MARTINEZ RAQUEL VERONICA </t>
  </si>
  <si>
    <t>IC-8948</t>
  </si>
  <si>
    <t xml:space="preserve">Fact#: 364612 Rec#: 18535 RENDON REGALADO MARIANA SOLANGE </t>
  </si>
  <si>
    <t>IC-8947</t>
  </si>
  <si>
    <t xml:space="preserve">Fact#: 361682-364236 Rec#: 18534 YANEZ ARROYO LUIS ALBERTO </t>
  </si>
  <si>
    <t>IC-8946</t>
  </si>
  <si>
    <t xml:space="preserve">Fact#: 359714-362229-364774 Rec#: 18533 PARRAGA JOSE JUAN </t>
  </si>
  <si>
    <t>IC-8945</t>
  </si>
  <si>
    <t xml:space="preserve">Fact#: 363831 Rec#: 18532 SEGUNDO PATRICIO ALMACHE AGUIRRE </t>
  </si>
  <si>
    <t>IC-8944</t>
  </si>
  <si>
    <t xml:space="preserve">Fact#: 362390-364934 Rec#: 18531 RIZZO BASTIDAS CECILIA ELIZABETH </t>
  </si>
  <si>
    <t>IC-8943</t>
  </si>
  <si>
    <t xml:space="preserve">Fact#: 361343-363898 Rec#: 18530 EDWIN ANDRES REYES TOALA </t>
  </si>
  <si>
    <t>IC-8942</t>
  </si>
  <si>
    <t xml:space="preserve">Fact#: 358559-361094-363650 Rec#: 18529 JIMMY LEANDRO MERCHAN JALCA </t>
  </si>
  <si>
    <t>IC-8941</t>
  </si>
  <si>
    <t xml:space="preserve">Fact#: 364081 Rec#: 18528 RUIZ VELEZ LIBIA KARINA </t>
  </si>
  <si>
    <t>IC-8940</t>
  </si>
  <si>
    <t xml:space="preserve">Fact#: 364743 Rec#: 18527 AVILES PEREZ ALFONSO </t>
  </si>
  <si>
    <t>IC-8939</t>
  </si>
  <si>
    <t xml:space="preserve">Fact#: 351524-353852-356273 Rec#: 18526 MONICA JOHANA MURILLO NARANJO </t>
  </si>
  <si>
    <t>IC-8938</t>
  </si>
  <si>
    <t xml:space="preserve">Fact#: 364392 Rec#: 18525 GUERRERO CRESPIN JULIO ENRIQUE </t>
  </si>
  <si>
    <t>IC-8937</t>
  </si>
  <si>
    <t xml:space="preserve">Fact#: 365107 Rec#: 18524 PROANO PIEDRA CHRISTIAN XAVIER </t>
  </si>
  <si>
    <t>IC-8936</t>
  </si>
  <si>
    <t>Fact#: 361801-364353 Rec#: 33536 DUARTE DEMERA FRANCISCO JAVIER</t>
  </si>
  <si>
    <t>IC-8935</t>
  </si>
  <si>
    <t>Fact#: 363646 Rec#: 33535 MANUEL ISIDRO RICAURTE GARCES</t>
  </si>
  <si>
    <t>IC-8934</t>
  </si>
  <si>
    <t>Fact#: 358352-360888-363447 Rec#: 33534 LINO MARTIN  BRITO BRITO</t>
  </si>
  <si>
    <t>IC-8933</t>
  </si>
  <si>
    <t>Fact#: 363638 Rec#: 33533 JAIME RICARDO ZUÑIGA RODRIGUEZ</t>
  </si>
  <si>
    <t>IC-8932</t>
  </si>
  <si>
    <t>Fact#: 364534 Rec#: 33532 GUERRERO RENDON VICTORIA EDITA</t>
  </si>
  <si>
    <t>IC-8931</t>
  </si>
  <si>
    <t>Fact#: 364992 Rec#: 33531 DUQUE ESTEVEZ MIRKA</t>
  </si>
  <si>
    <t>IC-8930</t>
  </si>
  <si>
    <t>Fact#: 363488 Rec#: 33530 FERNANDO GABRIEL AVILES USCOCOVICH</t>
  </si>
  <si>
    <t>IC-8929</t>
  </si>
  <si>
    <t>Fact#: 363547 Rec#: 33529 SILVIA XIMENA CHAVEZ CABRERA</t>
  </si>
  <si>
    <t>IC-8913</t>
  </si>
  <si>
    <t xml:space="preserve">Fact#: 361842-364396 Rec#: 33732 GRANADOS MUTIS JUAN PABLO </t>
  </si>
  <si>
    <t>IC-10209</t>
  </si>
  <si>
    <t xml:space="preserve">Fact#: 361426-363979 Rec#: 33699 MEIBOL CRUZ VELEZ SANCHEZ </t>
  </si>
  <si>
    <t>IC-9959</t>
  </si>
  <si>
    <t xml:space="preserve">Fact#: 353704-356125-358608 Rec#: 18523 ANDRES ENRIQUE COTERA GALLO </t>
  </si>
  <si>
    <t>IC-8897</t>
  </si>
  <si>
    <t>Fact#: 363481 Rec#: 33528 LOURDES JANET BRITO GUILLEN</t>
  </si>
  <si>
    <t>IC-8896</t>
  </si>
  <si>
    <t>Fact#: 361758-364309 Rec#: 33527 PONCE ANDRADE KERLY KARINA</t>
  </si>
  <si>
    <t>IC-8895</t>
  </si>
  <si>
    <t>Fact#: 364390 Rec#: 33526 PINO ARROBA ALVARO ERNESTO</t>
  </si>
  <si>
    <t>IC-8894</t>
  </si>
  <si>
    <t>Fact#: 364259 Rec#: 33525 ARIAS SALAZAR KATHERINE JUSETH</t>
  </si>
  <si>
    <t>IC-8893</t>
  </si>
  <si>
    <t>Fact#: 360887-363446 Rec#: 33524 CESAR AUGUSTO  RADA AGUIRRE</t>
  </si>
  <si>
    <t>IC-8892</t>
  </si>
  <si>
    <t>Fact#: 358566-361101-363657 Rec#: 33523 JAVIER SANTIAGO GUZHÑAY ANDRADE</t>
  </si>
  <si>
    <t>IC-8867</t>
  </si>
  <si>
    <t>Fact#: 361109-363665 Rec#: 33522 HENRY LENY BETANCOURT VITERI</t>
  </si>
  <si>
    <t>IC-8859</t>
  </si>
  <si>
    <t>Fact#: 364991 Rec#: 33521 SUESCUM ROMERO  NATHALY VIRINEYA</t>
  </si>
  <si>
    <t>IC-8858</t>
  </si>
  <si>
    <t>Fact#: 363432 Rec#: 33520 VICTOR ANTONIO AGUSTO ALVARADO</t>
  </si>
  <si>
    <t>IC-8857</t>
  </si>
  <si>
    <t xml:space="preserve">Fact#: 363804 Rec#: 33519 ENRIQUE FEDERICO ARENAS PILATAXI </t>
  </si>
  <si>
    <t>IC-8847</t>
  </si>
  <si>
    <t xml:space="preserve">Fact#: 360000-362515 Rec#: 33518 SAMAN CERASUOLO CRISTHIAN VICENTE </t>
  </si>
  <si>
    <t>IC-8846</t>
  </si>
  <si>
    <t xml:space="preserve">Fact#: 361295-363852 Rec#: 33517 EDISON PATRICIO SOSA SALAME </t>
  </si>
  <si>
    <t>IC-8845</t>
  </si>
  <si>
    <t>Fact#: 363634 Rec#: 33516 MARIA CRISTINA LOAIZA BREVI</t>
  </si>
  <si>
    <t>IC-8842</t>
  </si>
  <si>
    <t xml:space="preserve">Fact#: 360910-363468 Rec#: 33515 OMAR  PALADINES CORDOVA </t>
  </si>
  <si>
    <t>IC-8840</t>
  </si>
  <si>
    <t>Fact#: 355806-358289-360832 Rec#: 33714 EMPRESA PUBLICA MUNICIPAL DE TELECOMUNICACIONES, AGUA POTABLE, ALCANTARILLADO Y SANEAMIENTO DE CUENCA. ETAPA EP.</t>
  </si>
  <si>
    <t>IC-10081</t>
  </si>
  <si>
    <t xml:space="preserve">Fact#: 362612 Rec#: 33686 CAMPOSANO VACA GLENDA MARJORIE </t>
  </si>
  <si>
    <t>IC-9889</t>
  </si>
  <si>
    <t>Fact#: 360889 Rec#: 33514 NORMA ELISA YEPEZ JIMENEZ</t>
  </si>
  <si>
    <t>IC-8823</t>
  </si>
  <si>
    <t>Fact#: 361004 Rec#: 33513 VINUEZA GALLARDO CARLOS ENRIQUE</t>
  </si>
  <si>
    <t>IC-8822</t>
  </si>
  <si>
    <t>Fact#: 362948 Rec#: 33511 DORCIEN S.A</t>
  </si>
  <si>
    <t>IC-8821</t>
  </si>
  <si>
    <t>Fact#: 360899 Rec#: 33512 JAVIER MAURICIO RODRIGO ALBAN</t>
  </si>
  <si>
    <t>IC-8820</t>
  </si>
  <si>
    <t xml:space="preserve">Fact#: 340158-343687-346678 Rec#: 33510 JUAN GABRIEL RODRIGUEZ FERNANDEZ </t>
  </si>
  <si>
    <t>IC-8801</t>
  </si>
  <si>
    <t>AMERICAN EXPRESS CANCELACION DEBITO TARJETAS GUAYAQUIL - PAGO DE FACT 361107- 361405- 361530  - 363168- 363170 - 361790- 362040 - 362129- 362237- 363087- 361312- 362284- 362286  - 362087  - 362231  - 362312-363284- 362490  -362541  .362522-362582-362440</t>
  </si>
  <si>
    <t>VISA - MASTERCARD - PACIFICARD CANCELACION DEBITO TARJETAS GUAYAQUIL- PAGO DE FACT 360161 - 362684</t>
  </si>
  <si>
    <t>VISA - MASTERCARD - PACIFICARD CANCELACION DEBITO TARJETAS GUAYAQUIL- PAGO DE FACT 361080- 362983-361117- 361333- 363059- 363060- 363067- 361521-361337- 362119-362489-362474-362512-4608-362624-362816 POR DEP EN CTA #DOC 1945</t>
  </si>
  <si>
    <t>NC-10</t>
  </si>
  <si>
    <t xml:space="preserve">Fact#: 351753-354091-356501 Rec#: 18522 GONZALEZ MOREIRA MARIO ALEJANDRO </t>
  </si>
  <si>
    <t>IC-8819</t>
  </si>
  <si>
    <t xml:space="preserve">Fact#: 3903-4123-4340 Rec#: 18521 CORREA CUNIN GRACIELA PIEDAD </t>
  </si>
  <si>
    <t>IC-8818</t>
  </si>
  <si>
    <t>Fact#: 351249-353578-356006 Rec#: 18520 CAJAS MARISCAL JAVIER IGNACIO</t>
  </si>
  <si>
    <t>IC-8817</t>
  </si>
  <si>
    <t>Fact#: 357016-359482-362006 Rec#: 33509 TAFUR MOSQUERA AMPARO JACQUELINE</t>
  </si>
  <si>
    <t>IC-8797</t>
  </si>
  <si>
    <t>Fact#: 356970-359435-361960 Rec#: 33508 ECHEVERRIA MATA ALVARO DANIEL</t>
  </si>
  <si>
    <t>IC-8796</t>
  </si>
  <si>
    <t>Fact#: 357402-359871-362385 Rec#: 33507 MONGE SCALDAFERRI ANDRES ALBERTO</t>
  </si>
  <si>
    <t>IC-8795</t>
  </si>
  <si>
    <t>Fact#: 359852-362366 Rec#: 33506 NAVARRETE CEDENO RUTH ELIZABETH</t>
  </si>
  <si>
    <t>IC-8794</t>
  </si>
  <si>
    <t>Fact#: 362553 Rec#: 33505 IRIGOYEN NEGRON MARIA TERESA</t>
  </si>
  <si>
    <t>IC-8793</t>
  </si>
  <si>
    <t>Fact#: 360922 Rec#: 33504 BENILDA JESUS ACOSTA ZAMBRANO</t>
  </si>
  <si>
    <t>IC-8792</t>
  </si>
  <si>
    <t>Fact#: 360944 Rec#: 33503 HUGO ANTONIO SALMERON ACOSTA</t>
  </si>
  <si>
    <t>IC-8791</t>
  </si>
  <si>
    <t>Fact#: 360905 Rec#: 33502 LAURO DAVID TORRES CARRILLO</t>
  </si>
  <si>
    <t>IC-8790</t>
  </si>
  <si>
    <t>Fact#: 358373-360909 Rec#: 33501 MARIA GABRIELA TERAN SEVILLA</t>
  </si>
  <si>
    <t>IC-8789</t>
  </si>
  <si>
    <t xml:space="preserve">Fact#: 363030 Rec#: 33500 STEVEN MICHAEL RAMOS MEZA </t>
  </si>
  <si>
    <t>IC-8781</t>
  </si>
  <si>
    <t xml:space="preserve">Fact#: 360486 Rec#: 33499 STEVEN MICHAEL RAMOS MEZA </t>
  </si>
  <si>
    <t>IC-8780</t>
  </si>
  <si>
    <t>Fact#: 363020 Rec#: 33497 YARECUADOR CIA. LTDA</t>
  </si>
  <si>
    <t>IC-8778</t>
  </si>
  <si>
    <t xml:space="preserve">Fact#: 361072 Rec#: 18519 JENNIFER MARITZA BAJAÑA MERCHAN </t>
  </si>
  <si>
    <t>IC-8759</t>
  </si>
  <si>
    <t xml:space="preserve">Fact#: 359407-361932 Rec#: 18518 ORTEGA QUIMI ADRIANA ALEXANDRA </t>
  </si>
  <si>
    <t>IC-8758</t>
  </si>
  <si>
    <t xml:space="preserve">Fact#: 361905 Rec#: 18517 VALENCIA NIEVES BYRON BOLIVAR </t>
  </si>
  <si>
    <t>IC-8757</t>
  </si>
  <si>
    <t xml:space="preserve">Fact#: 359877-362392 Rec#: 18516 CEDENO ANGULO JAIRO RENE </t>
  </si>
  <si>
    <t>IC-8756</t>
  </si>
  <si>
    <t xml:space="preserve">Fact#: 356277-358755-361278 Rec#: 18515 SEGUNDO ELEUTERIO OROVIO COROZO </t>
  </si>
  <si>
    <t>IC-8755</t>
  </si>
  <si>
    <t xml:space="preserve">Fact#: 354812-357211-359675 Rec#: 18514 LOPEZ HERRERA FRANKLIN RIGOBERTO </t>
  </si>
  <si>
    <t>IC-8754</t>
  </si>
  <si>
    <t xml:space="preserve">Fact#: 362454 Rec#: 18513 VILLAFUERTE PEREZ PETRA MARIA </t>
  </si>
  <si>
    <t>IC-8749</t>
  </si>
  <si>
    <t xml:space="preserve">Fact#: 361684 Rec#: 18512 GOMEZ PENAFIEL BLANCA VICTORIA </t>
  </si>
  <si>
    <t>IC-8748</t>
  </si>
  <si>
    <t xml:space="preserve">Fact#: 362779 Rec#: 18511 FALQUEZ SALAVARRIA PATRICIA AZUCENA </t>
  </si>
  <si>
    <t>IC-8747</t>
  </si>
  <si>
    <t xml:space="preserve">Fact#: 362137 Rec#: 18510 VILLAVICENCIO TIGRE DARWIN YAZMANY </t>
  </si>
  <si>
    <t>IC-8746</t>
  </si>
  <si>
    <t xml:space="preserve">Fact#: 362412 Rec#: 18509 LANDA SANCHEZ JAZMIN ALEXANDRA </t>
  </si>
  <si>
    <t>IC-8745</t>
  </si>
  <si>
    <t>PAGO TARJ. CORP. CUOTA MES DE JUN-2021</t>
  </si>
  <si>
    <t>Fact#: 363107 Rec#: 33498 CIPORT &amp; TECNAC CIPTE C.L</t>
  </si>
  <si>
    <t>IC-8779</t>
  </si>
  <si>
    <t>Fact#: 363283 Rec#: 33495 INDUSTRIAL JUVENALIS S.A.</t>
  </si>
  <si>
    <t>IC-8765</t>
  </si>
  <si>
    <t>Fact#: 360918 Rec#: 33494 GLORIA ISABEL MITE LEON</t>
  </si>
  <si>
    <t>IC-8764</t>
  </si>
  <si>
    <t>Fact#: 358940-361461 Rec#: 33493 JORGE ALBERTO NORERO SANTOS</t>
  </si>
  <si>
    <t>IC-8763</t>
  </si>
  <si>
    <t xml:space="preserve">Fact#: 362289 Rec#: 18508 SANCHEZ PEREZ FRANCISCO ROBERTO </t>
  </si>
  <si>
    <t>IC-8744</t>
  </si>
  <si>
    <t xml:space="preserve">Fact#: 363310 Rec#: 18507 PROVEEDORA ANDINA DE ALARMAS INCORPORADAS S.A. PRANAINC </t>
  </si>
  <si>
    <t>IC-8743</t>
  </si>
  <si>
    <t xml:space="preserve">Fact#: 359552-362070 Rec#: 18506 RENDON REGALADO MARIANA SOLANGE </t>
  </si>
  <si>
    <t>IC-8741</t>
  </si>
  <si>
    <t xml:space="preserve">Fact#: 355728-363271 Rec#: 18505 ORELLANA ALVAREZ FRANKLIN NAPOLEON </t>
  </si>
  <si>
    <t>IC-8738</t>
  </si>
  <si>
    <t xml:space="preserve">Fact#: 357139-359603-362120 Rec#: 18504 RONALD DAVID CONTRERAS POTES </t>
  </si>
  <si>
    <t>IC-8737</t>
  </si>
  <si>
    <t xml:space="preserve">Fact#: 361900 Rec#: 18503 BERMELLO PONCE SALBADOR ATILIO </t>
  </si>
  <si>
    <t>IC-8735</t>
  </si>
  <si>
    <t xml:space="preserve">Fact#: 362370 Rec#: 18502 JIMENEZ OCHOA LUIS ENRIQUE </t>
  </si>
  <si>
    <t>IC-8734</t>
  </si>
  <si>
    <t xml:space="preserve">Fact#: 363287 Rec#: 18501 SEGURIDAD &amp; PROTECCION TECNICA SEPROTECSECURITY CIA. LTDA.  </t>
  </si>
  <si>
    <t>IC-8733</t>
  </si>
  <si>
    <t xml:space="preserve">Fact#: 361579 Rec#: 18500 CARRILLO ANCHUNDIA FLOR MARIA </t>
  </si>
  <si>
    <t>IC-8732</t>
  </si>
  <si>
    <t xml:space="preserve">Fact#: 356151-358634-361162 Rec#: 18499 PILAR MARYLIN ALCIVAR MORAN </t>
  </si>
  <si>
    <t>IC-8728</t>
  </si>
  <si>
    <t xml:space="preserve">Fact#: 359175-361698 Rec#: 18498 GOMEZ CALDERON ALEXANDRA ELIZABETH </t>
  </si>
  <si>
    <t>IC-8727</t>
  </si>
  <si>
    <t xml:space="preserve">Fact#: 359210-361733 Rec#: 18497 VALLEJO MARTINEZ LEIDIZ DIANA </t>
  </si>
  <si>
    <t>IC-8726</t>
  </si>
  <si>
    <t>Fact#: 362732 Rec#: 33489 VELIZ SANTILLAN GENESIS JOHANNA</t>
  </si>
  <si>
    <t>IC-8717</t>
  </si>
  <si>
    <t>Fact#: 363122 Rec#: 33488 DATA TOOLS S.A.</t>
  </si>
  <si>
    <t>IC-8713</t>
  </si>
  <si>
    <t>Fact#: 360885 Rec#: 33487 SERGIO ANDRES SEMMINARIO VALENZUELA</t>
  </si>
  <si>
    <t>IC-8705</t>
  </si>
  <si>
    <t>NERY LILIANA OCHOA BAQUE CANCELA TELEFONO 3920094 ABONA SGTE FACTURA, PAGO WESTERN UNION</t>
  </si>
  <si>
    <t>AT-3300</t>
  </si>
  <si>
    <t>Fact#: 355953-358434-360970 Rec#: 33496 VICENTE  IMAICELA ROSILLO</t>
  </si>
  <si>
    <t>IC-8766</t>
  </si>
  <si>
    <t>Fact#: 363200 Rec#: 33492 ADUANOVACORP S.A.</t>
  </si>
  <si>
    <t>IC-8762</t>
  </si>
  <si>
    <t>Fact#: 361703 Rec#: 33491 PAZ SANCHEZ ROXANA MICHELLE</t>
  </si>
  <si>
    <t>IC-8761</t>
  </si>
  <si>
    <t>Fact#: 362955 Rec#: 33490 LAUDE S.A. LAUDESA ADMINISTRADORA DE FONDOS Y FIDEICOMISOS</t>
  </si>
  <si>
    <t>IC-8760</t>
  </si>
  <si>
    <t>Fact#: 356725-359200-361723 Rec#: 18496 BURGOS MERCHAN UVENCIO ELICIO</t>
  </si>
  <si>
    <t>IC-8700</t>
  </si>
  <si>
    <t>Fact#: 362266 Rec#: 18495 SANTANA MORENO SAUL AUGUSTO</t>
  </si>
  <si>
    <t>IC-8699</t>
  </si>
  <si>
    <t>Fact#: 358936-361456 Rec#: 18494 GABRIEL CLEMENTE MEJIA MATA</t>
  </si>
  <si>
    <t>IC-8698</t>
  </si>
  <si>
    <t>Fact#: 361603 Rec#: 18493 REYES MUÑOZ FRANCISCO XAVIER</t>
  </si>
  <si>
    <t>IC-8697</t>
  </si>
  <si>
    <t>Fact#: 361169 Rec#: 18492 DENISSE JUDITH FLORES HUERTA</t>
  </si>
  <si>
    <t>IC-8696</t>
  </si>
  <si>
    <t>Fact#: 359637-362154 Rec#: 18491 ZAMBRANO CALENO OLGA PATRICIA</t>
  </si>
  <si>
    <t>IC-8695</t>
  </si>
  <si>
    <t>Fact#: 363080 Rec#: 18490 DANILO ROMO LEROUX ZUÑIGA</t>
  </si>
  <si>
    <t>IC-8694</t>
  </si>
  <si>
    <t>Fact#: 363325 Rec#: 18489 DISTRIBUIDORA DE PRODUCTOS DE CONSUMO MASIVO CODIPROMASA C.A.</t>
  </si>
  <si>
    <t>IC-8693</t>
  </si>
  <si>
    <t>Fact#: 363324 Rec#: 18488 DISTRIBUIDORA DE PRODUCTOS DE CONSUMO MASIVO CODIPROMASA C.A.</t>
  </si>
  <si>
    <t>IC-8692</t>
  </si>
  <si>
    <t>Fact#: 362776 Rec#: 18487 BRAVO VILLAMAR JOHNNY VICENTE</t>
  </si>
  <si>
    <t>IC-8691</t>
  </si>
  <si>
    <t>Fact#: 362870 Rec#: 18486 BANCHON GONZALEZ YANINA DENISSE</t>
  </si>
  <si>
    <t>IC-8690</t>
  </si>
  <si>
    <t>Fact#: 358707-361232 Rec#: 18485 OMAR JOSSUE GRANIZO HUAYAMAVE</t>
  </si>
  <si>
    <t>IC-8689</t>
  </si>
  <si>
    <t>Fact#: 362008 Rec#: 18484 SANCHEZ QUINCHUELA INES MONICA</t>
  </si>
  <si>
    <t>IC-8688</t>
  </si>
  <si>
    <t>Fact#: 361009 Rec#: 18483 ENRIQUEZ RENDON JOSE ANTONIO</t>
  </si>
  <si>
    <t>IC-8687</t>
  </si>
  <si>
    <t>Fact#: 356197-358679-361205 Rec#: 18482 JERRY JEFFREY GARCIA HUAYAMAVE</t>
  </si>
  <si>
    <t>IC-8686</t>
  </si>
  <si>
    <t xml:space="preserve">Fact#: 361170 Rec#: 33486 MARIA ELENA QUISHPILLO PAGUAY </t>
  </si>
  <si>
    <t>IC-8685</t>
  </si>
  <si>
    <t>PAREDES PEREZ GUSTAVO XAVIER CANCELA TELEFONO 023923156 ABONA SGTE FACTURA, PAGO WESTERN UNION</t>
  </si>
  <si>
    <t>AT-3298</t>
  </si>
  <si>
    <t xml:space="preserve">Fact#: 4532 Rec#: 33483 ZAPATA FLORES GILMAR FABRICIO </t>
  </si>
  <si>
    <t>IC-8671</t>
  </si>
  <si>
    <t xml:space="preserve">Fact#: 360380-362883 Rec#: 33482 SAN ANDRES HERNANDEZ JAIME EDUARDO </t>
  </si>
  <si>
    <t>IC-8670</t>
  </si>
  <si>
    <t>Fact#: 359032-361549 Rec#: 33481 ESPIN PEREZ JOSE XAVIER</t>
  </si>
  <si>
    <t>IC-8663</t>
  </si>
  <si>
    <t>Fact#: 4680 Rec#: 33480 FUNDACION AVSI</t>
  </si>
  <si>
    <t>IC-8662</t>
  </si>
  <si>
    <t>Fact#: 360797-363342 Rec#: 33479 HOLGUIN LOOR ALEX STALIN</t>
  </si>
  <si>
    <t>IC-8661</t>
  </si>
  <si>
    <t>Fact#: 362408 Rec#: 33478 JAIME ALBERTO  RINCON GOMEZ</t>
  </si>
  <si>
    <t>IC-8660</t>
  </si>
  <si>
    <t>Fact#: 358367-360902 Rec#: 33477 VICTOR HUGO PEZO AQUINO</t>
  </si>
  <si>
    <t>IC-8659</t>
  </si>
  <si>
    <t>Fact#: 360850 Rec#: 33476 JORGE ALFREDO FRANCO MORAN</t>
  </si>
  <si>
    <t>IC-8658</t>
  </si>
  <si>
    <t>Fact#: 360866 Rec#: 33475 RAFAEL VICENTE ERAZO FALQUEZ</t>
  </si>
  <si>
    <t>IC-8657</t>
  </si>
  <si>
    <t xml:space="preserve">Fact#: 362112 Rec#: 18481 CHUCA CHANCAY ANDREA BETZABETH </t>
  </si>
  <si>
    <t>IC-8656</t>
  </si>
  <si>
    <t xml:space="preserve">Fact#: 361393 Rec#: 18480 JACKELINE LUCIA LOOR ORTEGA </t>
  </si>
  <si>
    <t>IC-8655</t>
  </si>
  <si>
    <t xml:space="preserve">Fact#: 362114 Rec#: 18479 CORTEZ CANTOS  PEDRO PABLO  </t>
  </si>
  <si>
    <t>IC-8654</t>
  </si>
  <si>
    <t xml:space="preserve">Fact#: 363226 Rec#: 18478 SOLIS REYES OMAR MICHAEL </t>
  </si>
  <si>
    <t>IC-8653</t>
  </si>
  <si>
    <t xml:space="preserve">Fact#: 358749-361273 Rec#: 18477 MICHAEL MAURICIO MORLA MERO </t>
  </si>
  <si>
    <t>IC-8652</t>
  </si>
  <si>
    <t xml:space="preserve">Fact#: 359047-361566 Rec#: 18476 REINA SALAZAR JOSE DIEGO  </t>
  </si>
  <si>
    <t>IC-8651</t>
  </si>
  <si>
    <t xml:space="preserve">Fact#: 359044-361562 Rec#: 18475 REINA SALAZAR JOSE DIEGO  </t>
  </si>
  <si>
    <t>IC-8650</t>
  </si>
  <si>
    <t xml:space="preserve">Fact#: 353697-356118-358601 Rec#: 18474 LUCILA SOLANGE FLOR ORELLANA </t>
  </si>
  <si>
    <t>IC-8649</t>
  </si>
  <si>
    <t xml:space="preserve">Fact#: 359302-361825 Rec#: 18473 AGUINO ARTEAGA MARIA DE LOURDES </t>
  </si>
  <si>
    <t>IC-8648</t>
  </si>
  <si>
    <t xml:space="preserve">Fact#: 352720-355071-357464 Rec#: 18472 VERA  CARCHIPULLA DOUGLAS  JOEL </t>
  </si>
  <si>
    <t>IC-8647</t>
  </si>
  <si>
    <t xml:space="preserve">Fact#: 361025 Rec#: 18471 ASTUDILLO AYORA CECILIA FILOMENA </t>
  </si>
  <si>
    <t>IC-8646</t>
  </si>
  <si>
    <t xml:space="preserve">Fact#: 359478-362002 Rec#: 18470 CORDOVA REYES CARLOS HORACIO </t>
  </si>
  <si>
    <t>IC-8645</t>
  </si>
  <si>
    <t xml:space="preserve">Fact#: 361467 Rec#: 18469 ALEXANDRE FABIAN MARTINEZ CARRION </t>
  </si>
  <si>
    <t>IC-8644</t>
  </si>
  <si>
    <t xml:space="preserve">Fact#: 361892 Rec#: 18468 FERNANDEZ PACHECO DIANA ISABEL </t>
  </si>
  <si>
    <t>IC-8643</t>
  </si>
  <si>
    <t xml:space="preserve">Fact#: 360984 Rec#: 18467 ROSA MARGARITA  BARRIGA CANTOS </t>
  </si>
  <si>
    <t>IC-8642</t>
  </si>
  <si>
    <t xml:space="preserve">Fact#: 362338 Rec#: 18466 NEIRA CUENCA MAGNER RICHARD </t>
  </si>
  <si>
    <t>IC-8641</t>
  </si>
  <si>
    <t xml:space="preserve">Fact#: 351101-353432-355863 Rec#: 18465 FREDERIC HUMBERTO RIVERA ADUM </t>
  </si>
  <si>
    <t>IC-8640</t>
  </si>
  <si>
    <t xml:space="preserve">Fact#: 357776-360247-362754 Rec#: 18464 TUALA LOOR PIEDAD ELIZABETH </t>
  </si>
  <si>
    <t>IC-8639</t>
  </si>
  <si>
    <t xml:space="preserve">Fact#: 361759 Rec#: 18463 ROMERO LOPEZ ANDRES ROBERTO </t>
  </si>
  <si>
    <t>IC-8638</t>
  </si>
  <si>
    <t xml:space="preserve">Fact#: 4700 Rec#: 18462 INKA BURGER </t>
  </si>
  <si>
    <t>IC-8637</t>
  </si>
  <si>
    <t xml:space="preserve">Fact#: 359929-362445 Rec#: 18461 TUMBACO VERA JOSE LUIS </t>
  </si>
  <si>
    <t>IC-8636</t>
  </si>
  <si>
    <t xml:space="preserve">Fact#: 363123 Rec#: 33474 FERRUX S.A. </t>
  </si>
  <si>
    <t>IC-8619</t>
  </si>
  <si>
    <t xml:space="preserve">Fact#: 363005-363006 Rec#: 33473 REFRIGERACIÓN INDUSTRIAL CORNEJO REFRICOR-EC CIA. </t>
  </si>
  <si>
    <t>IC-8608</t>
  </si>
  <si>
    <t>N/D PACIFICO TRANSF. CANCELACIÓN DE FACTURA#5617762 CNEL EP</t>
  </si>
  <si>
    <t>N/D PACIFICO TRANSF. CANCELACIÓN DE FACTURA#30447267 CNEL EP</t>
  </si>
  <si>
    <t>N/D PACIFICO TRANSF. CANCELACIÓN DE FACTURA#30455203 CNEL EP</t>
  </si>
  <si>
    <t>N/D PACIFICO TRANSF. CANCELACIÓN DE FACTURA#30459321 CNEL EP</t>
  </si>
  <si>
    <t>N/D PACIFICO TRANSF. CANCELACIÓN DE FACTURA#5629745 CNEL EP</t>
  </si>
  <si>
    <t>N/D PACIFICO TRANSF. CANCELACIÓN DE FACTURA#5478469 CNEL EP</t>
  </si>
  <si>
    <t>N/D PACIFICO TRANSF. CANCELACIÓN DE FACTURA#174252376 CNT EP</t>
  </si>
  <si>
    <t>N/D PACIFICO TRANSF. CANCELACIÓN DE FACTURAS#174252372, #174252374, #174252375, #174252373 CNT EP</t>
  </si>
  <si>
    <t>N/D PACIFICO TRANSF. ANTICIPO A FACTURA POR HONORARIOS MES DE JUNIO 2021, A  PABLO BAQUERIZO D.</t>
  </si>
  <si>
    <t>N/D PACIFICO TRANSF. FONDOS DE RESERVA MES DE MAYO 2021</t>
  </si>
  <si>
    <t>N/D PACIFICO TRANSF. ROLES DE PAGO 1ERA QUINCENA MES DE JUNIO 2021</t>
  </si>
  <si>
    <t>N/D PACIFICO TRANSF. PAGO PLLAS IESS FONDOS DE RESERVA MES DE MAYO 2021, COMP#21164071</t>
  </si>
  <si>
    <t>N/D PACIFICO TRANSF. PAGO PLLAS. IESS PREST. QUIROGRAFARIO MES DE MAYO 2021, COMP#34359912</t>
  </si>
  <si>
    <t>N/D PACIFICO TRANSF. PAGO PLLAS. IESS PREST. HIPOTECARIO MES DE MAYO 2021, COMP#11592617</t>
  </si>
  <si>
    <t>N/D PACIFICO TRANSF. PAGO PLLAS. IESS NORMALES MES DE MAYO 2021, COMP#143702583, A PABLO BAQUERIZO DAVILA</t>
  </si>
  <si>
    <t>N/D PACIFICO TRANSF. PAGO PLLAS. IESS NORMAL MES DE MAYO 2021, COMP#143696335</t>
  </si>
  <si>
    <t>N/D PACIFICO TRANSF. REEMBOLSO A MANUEL MERELO POR MOVILIZACIÓN DEL 01 AL 15 JUN/2021, CUMPLEAÑOS DE JUNIO Y DETALLE POR EL DÍA DEL PADRE</t>
  </si>
  <si>
    <t xml:space="preserve">Fact#: 353906-356325-358802 Rec#: 18460 CRISTIAN DAVID LOOR CERVANTES </t>
  </si>
  <si>
    <t>IC-8607</t>
  </si>
  <si>
    <t>Fact#: 360960 Rec#: 33472 CARMEN NARCISA  JURADO PAREDES</t>
  </si>
  <si>
    <t>IC-8606</t>
  </si>
  <si>
    <t>Fact#: 361032 Rec#: 33471 VILLAO JURADO ANDREA BELEN</t>
  </si>
  <si>
    <t>IC-8605</t>
  </si>
  <si>
    <t>Fact#: 363025 Rec#: 33470 AUTOMERCADO S.A.</t>
  </si>
  <si>
    <t>IC-8604</t>
  </si>
  <si>
    <t>Fact#: 363026 Rec#: 33469 AUTOMERCADO S.A.</t>
  </si>
  <si>
    <t>IC-8603</t>
  </si>
  <si>
    <t>Fact#: 360024-362538 Rec#: 33468 GARCIA DROUET ENRIQUE RICARDO</t>
  </si>
  <si>
    <t>IC-8602</t>
  </si>
  <si>
    <t xml:space="preserve">Fact#: 359362-361886 Rec#: 33467 FALCONI DUEÑAS ELISA MARIA </t>
  </si>
  <si>
    <t>IC-8597</t>
  </si>
  <si>
    <t xml:space="preserve">Fact#: 360109-362628 Rec#: 33466 MURILLO BARAHONA LISSETTE ESTEFANIA </t>
  </si>
  <si>
    <t>IC-8596</t>
  </si>
  <si>
    <t xml:space="preserve">Fact#: 359440-361965 Rec#: 18459 BORBOR VILLON ALEX ALEJANDRO </t>
  </si>
  <si>
    <t>IC-8595</t>
  </si>
  <si>
    <t xml:space="preserve">Fact#: 360350-362850 Rec#: 18458 SINCHE RIOFRIO NARCISA DEL CARMEN </t>
  </si>
  <si>
    <t>IC-8594</t>
  </si>
  <si>
    <t xml:space="preserve">Fact#: 362250 Rec#: 18457 REYES CIMARRA AUDI JOJAN </t>
  </si>
  <si>
    <t>IC-8593</t>
  </si>
  <si>
    <t xml:space="preserve">Fact#: 360860 Rec#: 18456 EDDA GLADYS PARRALES GOMEZ </t>
  </si>
  <si>
    <t>IC-8592</t>
  </si>
  <si>
    <t xml:space="preserve">Fact#: 362377 Rec#: 18455 MONTEALEGRE PEDRO JOAQUIN </t>
  </si>
  <si>
    <t>IC-8591</t>
  </si>
  <si>
    <t xml:space="preserve">Fact#: 360932 Rec#: 18454 VICENTE GABRIEL VINUEZA MERINO </t>
  </si>
  <si>
    <t>IC-8590</t>
  </si>
  <si>
    <t xml:space="preserve">Fact#: 359492-362015 Rec#: 18453 HERNANDEZ MARIA ISABEL </t>
  </si>
  <si>
    <t>IC-8589</t>
  </si>
  <si>
    <t xml:space="preserve">Fact#: 361145 Rec#: 18452 MARIA DEL ROSARIO GUZMAN MASPONS </t>
  </si>
  <si>
    <t>IC-8588</t>
  </si>
  <si>
    <t xml:space="preserve">Fact#: 359628-362145 Rec#: 18451 RODRIGUEZ REYES JINSOP ORLIN </t>
  </si>
  <si>
    <t>IC-8587</t>
  </si>
  <si>
    <t xml:space="preserve">Fact#: 359944-362460 Rec#: 18450 RUIZ FLORES ESTANISLAO DEIVY </t>
  </si>
  <si>
    <t>IC-8586</t>
  </si>
  <si>
    <t xml:space="preserve">Fact#: 360901 Rec#: 18449 MICHELLE LAI YIM LOPEZ CORDOVA </t>
  </si>
  <si>
    <t>IC-8585</t>
  </si>
  <si>
    <t xml:space="preserve">Fact#: 4544 Rec#: 18448 ZABALA BARRIONUEVO RITA CECILIA </t>
  </si>
  <si>
    <t>IC-8584</t>
  </si>
  <si>
    <t>Fact#: 358901-361421 Rec#: 18447 HANS EDUARDO NORIEGA ALBUJA</t>
  </si>
  <si>
    <t>IC-8583</t>
  </si>
  <si>
    <t xml:space="preserve">Fact#: 347905-352529-354873 Rec#: 18446 AVILES CRESPO LEONOR STEPHANY </t>
  </si>
  <si>
    <t>IC-8581</t>
  </si>
  <si>
    <t xml:space="preserve">Fact#: 362833 Rec#: 18445 TORRES YEPEZ MARCELA VIRGINIA </t>
  </si>
  <si>
    <t>IC-8580</t>
  </si>
  <si>
    <t xml:space="preserve">Fact#: 362601 Rec#: 33465 DE SANTIS NEIRA JUAN JAIME CRISTIAN </t>
  </si>
  <si>
    <t>IC-8565</t>
  </si>
  <si>
    <t xml:space="preserve">Fact#: 363119 Rec#: 33464 SINERGIA MARIN SANCHEZ S.A. SINERMASA </t>
  </si>
  <si>
    <t>IC-8564</t>
  </si>
  <si>
    <t xml:space="preserve">Fact#: 348845-358252-360790 Rec#: 33463 COMISARIATO FRIGOCAMPO COFRI S.A.  </t>
  </si>
  <si>
    <t>IC-8563</t>
  </si>
  <si>
    <t xml:space="preserve">Fact#: 353613-356038-358518 Rec#: 33462 CAROLINA GLORIA BRAVO TOMALA </t>
  </si>
  <si>
    <t>IC-8562</t>
  </si>
  <si>
    <t>Fact#: 360794-363339 Rec#: 33461 COMISARIATO FRIGOCAMPO COFRI S.A.</t>
  </si>
  <si>
    <t>IC-8561</t>
  </si>
  <si>
    <t>Fact#: 360801-363347 Rec#: 33460 COMISARIATO FRIGOCAMPO COFRI S.A.</t>
  </si>
  <si>
    <t>IC-8560</t>
  </si>
  <si>
    <t>Fact#: 359312-361835 Rec#: 33459 SILVA ARMAS MARIA TERESA</t>
  </si>
  <si>
    <t>IC-8559</t>
  </si>
  <si>
    <t>Fact#: 361674 Rec#: 33458 LOZANO OTERO RICARDO REIMONDI LOZANO OTERO</t>
  </si>
  <si>
    <t>IC-8558</t>
  </si>
  <si>
    <t>Fact#: 362722 Rec#: 33457 CORAIZACA RODRIGUEZ ROBINSON UBALDO</t>
  </si>
  <si>
    <t>IC-8557</t>
  </si>
  <si>
    <t>Fact#: 361247 Rec#: 33456 MARIA FERNANDA GONZALEZ MITE</t>
  </si>
  <si>
    <t>IC-8556</t>
  </si>
  <si>
    <t>Fact#: 361365 Rec#: 33455 RICARDO ARMANDO COLOMA MOLINA</t>
  </si>
  <si>
    <t>IC-8555</t>
  </si>
  <si>
    <t xml:space="preserve">Fact#: 361923 Rec#: 18444 CRUZ MONTANO CLAUDIA JOHANNA </t>
  </si>
  <si>
    <t>IC-8547</t>
  </si>
  <si>
    <t xml:space="preserve">Fact#: 4656 Rec#: 18443 AGUILAR ECHEVERRIA LUIS FERNANDO </t>
  </si>
  <si>
    <t>IC-8546</t>
  </si>
  <si>
    <t xml:space="preserve">Fact#: 362249 Rec#: 18442 RIVERA PINTO RAMONA ELIZABETH </t>
  </si>
  <si>
    <t>IC-8545</t>
  </si>
  <si>
    <t xml:space="preserve">Fact#: 359384-361912 Rec#: 18441 ROMERO VERSOZA RICARDO GERONIMO </t>
  </si>
  <si>
    <t>IC-8544</t>
  </si>
  <si>
    <t xml:space="preserve">Fact#: 363360 Rec#: 18440 GREENCORP SUPPLIES AND GRESURESA S.A  </t>
  </si>
  <si>
    <t>IC-8543</t>
  </si>
  <si>
    <t xml:space="preserve">Fact#: 359564-362082 Rec#: 18439 AGILA MALDONADO MANUEL HORACIO </t>
  </si>
  <si>
    <t>IC-8542</t>
  </si>
  <si>
    <t xml:space="preserve">Fact#: 362403 Rec#: 18438 ZAPATA ROMERO ROBERTO DRUVAL </t>
  </si>
  <si>
    <t>IC-8541</t>
  </si>
  <si>
    <t xml:space="preserve">Fact#: 353797-356219-358701 Rec#: 18437 ANDRES XAVIER MESIAS MORALES </t>
  </si>
  <si>
    <t>IC-8540</t>
  </si>
  <si>
    <t xml:space="preserve">Fact#: 351860-354201-356609 Rec#: 18436 BARBERAN BRIONES JOSE JULIAN  </t>
  </si>
  <si>
    <t>IC-8539</t>
  </si>
  <si>
    <t xml:space="preserve">Fact#: 363267 Rec#: 18435 LOPEZ FLOREZ CARLOS RAFAEL </t>
  </si>
  <si>
    <t>IC-8538</t>
  </si>
  <si>
    <t xml:space="preserve">Fact#: 362486 Rec#: 18434 GONZALEZ BARRERA ANABEL NATALI </t>
  </si>
  <si>
    <t>IC-8537</t>
  </si>
  <si>
    <t xml:space="preserve">Fact#: 359525-362045 Rec#: 18433 GAMEZ CUELLAR PEDRO NASARIO </t>
  </si>
  <si>
    <t>IC-8536</t>
  </si>
  <si>
    <t xml:space="preserve">Fact#: 362215 Rec#: 18432 PAREDES TORRES ANGELA DEL ROSARIO </t>
  </si>
  <si>
    <t>IC-8535</t>
  </si>
  <si>
    <t xml:space="preserve">Fact#: 361280 Rec#: 18431 CESAR ORLANDO VALLEJO VERA </t>
  </si>
  <si>
    <t>IC-8534</t>
  </si>
  <si>
    <t xml:space="preserve">Fact#: 359444-361969 Rec#: 18430 BRAVO BRIONES JOSE FEDERICO </t>
  </si>
  <si>
    <t>IC-8533</t>
  </si>
  <si>
    <t xml:space="preserve">Fact#: 363048 Rec#: 18429 FILUS S.A </t>
  </si>
  <si>
    <t>IC-8532</t>
  </si>
  <si>
    <t xml:space="preserve">Fact#: 363049 Rec#: 18428 FILUS S.A </t>
  </si>
  <si>
    <t>IC-8531</t>
  </si>
  <si>
    <t xml:space="preserve">Fact#: 361952 Rec#: 18427 BORJA MESIAS SEGUNDO ALFREDO </t>
  </si>
  <si>
    <t>IC-8530</t>
  </si>
  <si>
    <t xml:space="preserve">Fact#: 354413-356817-359288 Rec#: 18426 CAMPOVERDE GONZALEZ IVAN EUSEBIO </t>
  </si>
  <si>
    <t>IC-8529</t>
  </si>
  <si>
    <t xml:space="preserve">Fact#: 354178-356587-359059 Rec#: 18425 PLAZA CHUNGA SILVIA MARIA </t>
  </si>
  <si>
    <t>IC-8528</t>
  </si>
  <si>
    <t xml:space="preserve">Fact#: 359460-361984 Rec#: 18424 TOBAR MOROCHO JOSE AUGUSTO </t>
  </si>
  <si>
    <t>IC-8527</t>
  </si>
  <si>
    <t xml:space="preserve">Fact#: 361160 Rec#: 18423 ADRIANA ALEXANDRA CHIQUITO MOLINA </t>
  </si>
  <si>
    <t>IC-8526</t>
  </si>
  <si>
    <t xml:space="preserve">Fact#: 357940-363021 Rec#: 33454 WANHAI LINES ECUADOR S.A. </t>
  </si>
  <si>
    <t>IC-8503</t>
  </si>
  <si>
    <t xml:space="preserve">Fact#: 363156 Rec#: 33453 PAYLESS SHOESOURCE ECUADOR CIA. LTDA. </t>
  </si>
  <si>
    <t>IC-8502</t>
  </si>
  <si>
    <t xml:space="preserve">Fact#: 360457-360548 Rec#: 33452 MEGADATOS S.A. </t>
  </si>
  <si>
    <t>IC-8501</t>
  </si>
  <si>
    <t xml:space="preserve">Fact#: 363038 Rec#: 33451 OPENGROUP S.A. </t>
  </si>
  <si>
    <t>IC-8497</t>
  </si>
  <si>
    <t>CASTRO DORADO MARJORIE LUCIA CANCELA TELEFONO 3903591 ABONA SGTE FACTURA, PAGO WESTERN UNION</t>
  </si>
  <si>
    <t>AT-3296</t>
  </si>
  <si>
    <t>N/D PACIFICO CANCELACION DE FACTURA#75964805 OTECEL S.A. Y CUOTA 12/24</t>
  </si>
  <si>
    <t xml:space="preserve">Fact#: 356814-359285-361809 Rec#: 18422 INTRIAGO TORRES NARCISA JANETH </t>
  </si>
  <si>
    <t>IC-8495</t>
  </si>
  <si>
    <t xml:space="preserve">Fact#: 356590-359062-361578 Rec#: 18421 QUIÑONEZ VILLOTA KATTY ELIANA </t>
  </si>
  <si>
    <t>IC-8494</t>
  </si>
  <si>
    <t xml:space="preserve">Fact#: 359316-361840 Rec#: 18420 VENEGAS ARTEAGA CARLOS ALFREDO </t>
  </si>
  <si>
    <t>IC-8493</t>
  </si>
  <si>
    <t xml:space="preserve">Fact#: 361782 Rec#: 18419 GUTIERREZ HERNANDEZ RICARDO ALBERTO </t>
  </si>
  <si>
    <t>IC-8492</t>
  </si>
  <si>
    <t xml:space="preserve">Fact#: 361245 Rec#: 18418 GIOVANNY FRANCISCO TOLOZANO YEPEZ </t>
  </si>
  <si>
    <t>IC-8491</t>
  </si>
  <si>
    <t xml:space="preserve">Fact#: 357810-360280-362783 Rec#: 18417 VELEZ ZAMORA SAUL JAKSON </t>
  </si>
  <si>
    <t>IC-8490</t>
  </si>
  <si>
    <t xml:space="preserve">Fact#: 362375 Rec#: 18416 LLERAS EVARISTO RAFAEL GUSTAVO </t>
  </si>
  <si>
    <t>IC-8489</t>
  </si>
  <si>
    <t xml:space="preserve">Fact#: 362416 Rec#: 18415 PARADA PARRA MIGUEL ANGEL </t>
  </si>
  <si>
    <t>IC-8488</t>
  </si>
  <si>
    <t xml:space="preserve">Fact#: 352470-354813-357212 Rec#: 18414 VILLACIS ALVARADO EDGAR EUSTORGIO </t>
  </si>
  <si>
    <t>IC-8487</t>
  </si>
  <si>
    <t xml:space="preserve">Fact#: 357796-360266-362769 Rec#: 18413 LOVATON MINA GINGER ELIZABETH </t>
  </si>
  <si>
    <t>IC-8486</t>
  </si>
  <si>
    <t xml:space="preserve">Fact#: 361880 Rec#: 18412 SALAZAR TELLO NICOLAS EDUARDO </t>
  </si>
  <si>
    <t>IC-8485</t>
  </si>
  <si>
    <t xml:space="preserve">Fact#: 359244-361769 Rec#: 18411 PENAFIEL TAPIA FRANCISCO MIGUEL </t>
  </si>
  <si>
    <t>IC-8483</t>
  </si>
  <si>
    <t>Fact#: 361329 Rec#: 18410 EDDY ALBERTO BUSTOS PEÑAHERRERA</t>
  </si>
  <si>
    <t>IC-8482</t>
  </si>
  <si>
    <t xml:space="preserve">Fact#: 361767 Rec#: 18409 VALLE GONZALEZ LIDIA ELIZABETH </t>
  </si>
  <si>
    <t>IC-8481</t>
  </si>
  <si>
    <t xml:space="preserve">Fact#: 4429-4655 Rec#: 18408 LARREA NARVAEZ SANDY FERNANDA </t>
  </si>
  <si>
    <t>IC-8480</t>
  </si>
  <si>
    <t xml:space="preserve">Fact#: 360378-362880 Rec#: 18407 COSTA SOSA MARIA VALERIA </t>
  </si>
  <si>
    <t>IC-8479</t>
  </si>
  <si>
    <t xml:space="preserve">Fact#: 358625-361153 Rec#: 18406 JANETH CATALINA DAVILA TOMALA </t>
  </si>
  <si>
    <t>IC-8478</t>
  </si>
  <si>
    <t xml:space="preserve">Fact#: 363187 Rec#: 18405 VIOSCULPT ECUADOR S.A. </t>
  </si>
  <si>
    <t>IC-8477</t>
  </si>
  <si>
    <t xml:space="preserve">Fact#: 357054-359522-362042 Rec#: 18404 YAGUAREMA GUEVARA RUTH ALEXANDRA </t>
  </si>
  <si>
    <t>IC-8476</t>
  </si>
  <si>
    <t xml:space="preserve">Fact#: 361764 Rec#: 18403 SIMISTERRA MICOLTA RUBEN DARIO </t>
  </si>
  <si>
    <t>IC-8475</t>
  </si>
  <si>
    <t xml:space="preserve">Fact#: 359119-361640 Rec#: 18402 MACIAS PERUGACHI OSCAR ROLANDO </t>
  </si>
  <si>
    <t>IC-8474</t>
  </si>
  <si>
    <t xml:space="preserve">Fact#: 360208-362726 Rec#: 18401 TIXE SALAVARRIA FRANCISCA TERESA </t>
  </si>
  <si>
    <t>IC-8473</t>
  </si>
  <si>
    <t>Fact#: 360745-363291 Rec#: 33450 SERVICIO DE OFICINA COMPUTARIZADO SEROFICOM S.A.</t>
  </si>
  <si>
    <t>IC-8472</t>
  </si>
  <si>
    <t>Fact#: 362936 Rec#: 33449 ASOC. PRO. NEW YORK 12 DE SEPTIEMBRE</t>
  </si>
  <si>
    <t>IC-8471</t>
  </si>
  <si>
    <t>Fact#: 362929 Rec#: 33448 ASOC. PRO. NEW YORK 12 DE SEPTIEMBRE</t>
  </si>
  <si>
    <t>IC-8470</t>
  </si>
  <si>
    <t>Fact#: 359510-362030 Rec#: 33447 PESANTES GUAMAN DANIEL ARTURO</t>
  </si>
  <si>
    <t>IC-8469</t>
  </si>
  <si>
    <t>Fact#: 358328-360865 Rec#: 33446 NERY LILIANA OCHOA BAQUE</t>
  </si>
  <si>
    <t>IC-8468</t>
  </si>
  <si>
    <t xml:space="preserve">Fact#: 781-782 Rec#: 33445 F.V - AREA ANDINA S.A. </t>
  </si>
  <si>
    <t>IC-8467</t>
  </si>
  <si>
    <t xml:space="preserve">Fact#: 362949 Rec#: 33444 LG ELECTRONICS PANAMA S.A </t>
  </si>
  <si>
    <t>IC-8450</t>
  </si>
  <si>
    <t xml:space="preserve">Fact#: 358317-360853 Rec#: 33443 ANA MIRIAM ACUÑA AUCATOMA </t>
  </si>
  <si>
    <t>IC-8444</t>
  </si>
  <si>
    <t xml:space="preserve">Fact#: 362188 Rec#: 18400 SOLARTE SOLARTE HERNEY SEBASTIAN </t>
  </si>
  <si>
    <t>IC-8440</t>
  </si>
  <si>
    <t xml:space="preserve">Fact#: 363150 Rec#: 18399 R.C.N CONSTRUCIONES S.A </t>
  </si>
  <si>
    <t>IC-8439</t>
  </si>
  <si>
    <t xml:space="preserve">Fact#: 363149 Rec#: 18398 R.C.N CONSTRUCIONES S.A </t>
  </si>
  <si>
    <t>IC-8438</t>
  </si>
  <si>
    <t xml:space="preserve">Fact#: 359419-361944 Rec#: 18397 PANCHANA GONZALEZ GLADYS HAIDEE </t>
  </si>
  <si>
    <t>IC-8437</t>
  </si>
  <si>
    <t xml:space="preserve">Fact#: 356232-358714-361238 Rec#: 18396 RICHARD VICENTE TORRES POVEDA </t>
  </si>
  <si>
    <t>IC-8436</t>
  </si>
  <si>
    <t xml:space="preserve">Fact#: 356816-359287-361811 Rec#: 18395 VILLAMAR LANDIVAR FRANKLIN XAVIER </t>
  </si>
  <si>
    <t>IC-8435</t>
  </si>
  <si>
    <t xml:space="preserve">Fact#: 359181-361704 Rec#: 18394 COROZO CORTEZ VICTOR LELY </t>
  </si>
  <si>
    <t>IC-8434</t>
  </si>
  <si>
    <t xml:space="preserve">Fact#: 360362-362862 Rec#: 18393 MARURI GUERRA RAUL ENRIQUE </t>
  </si>
  <si>
    <t>IC-8433</t>
  </si>
  <si>
    <t xml:space="preserve">Fact#: 359430-361955 Rec#: 18392 GUADALUPE REMACHE SILVIA FABIOLA </t>
  </si>
  <si>
    <t>IC-8432</t>
  </si>
  <si>
    <t xml:space="preserve">Fact#: 362291 Rec#: 18384 LOPEZ MALDONADO CARLOS ROLANDO </t>
  </si>
  <si>
    <t>IC-8424</t>
  </si>
  <si>
    <t>REVERSO POR ERROR EN DEPOSITO, INGRESO POR PAGO TELCONET BCO PACIFICO POR DEP EN CTA #DOC 29851485</t>
  </si>
  <si>
    <t>Fact#: 363281 Rec#: 18391 FERNANDEZ CEVALLOS S.A FERCEVSA</t>
  </si>
  <si>
    <t>IC-8431</t>
  </si>
  <si>
    <t>Fact#: 363280 Rec#: 18390 FERNANDEZ CEVALLOS S.A FERCEVSA</t>
  </si>
  <si>
    <t>IC-8430</t>
  </si>
  <si>
    <t>Fact#: 356756-359228-361753 Rec#: 18389 ZHICAY CARRILLO FRANKLIN GEOVANNY</t>
  </si>
  <si>
    <t>IC-8429</t>
  </si>
  <si>
    <t>Fact#: 361685 Rec#: 18388 DUCHI ALCOSER JHONNY FERNANDO</t>
  </si>
  <si>
    <t>IC-8428</t>
  </si>
  <si>
    <t>Fact#: 4371-4590 Rec#: 18387 ROMERO MONTOYA MARIA AMADA</t>
  </si>
  <si>
    <t>IC-8427</t>
  </si>
  <si>
    <t>Fact#: 363233 Rec#: 18386 ALVARADO BASURTO SEGUNDO GABRIEL</t>
  </si>
  <si>
    <t>IC-8426</t>
  </si>
  <si>
    <t>Fact#: 360114-362634 Rec#: 18385 ANDRADE RIVERA RAFAEL ALBERTO</t>
  </si>
  <si>
    <t>IC-8425</t>
  </si>
  <si>
    <t>Fact#: 362331 Rec#: 18383 ARAUJO AGUIRRE JUAN JOSE</t>
  </si>
  <si>
    <t>IC-8423</t>
  </si>
  <si>
    <t>Fact#: 362347 Rec#: 33442 CASTRO ESPINALES LUCELINA PRIMITIVA</t>
  </si>
  <si>
    <t>IC-8422</t>
  </si>
  <si>
    <t>Fact#: 361831 Rec#: 33441 REIMBERG BADUY PETER PAUL</t>
  </si>
  <si>
    <t>IC-8421</t>
  </si>
  <si>
    <t>Fact#: 363274 Rec#: 33440 PAN ZI</t>
  </si>
  <si>
    <t>IC-8420</t>
  </si>
  <si>
    <t>Fact#: 363273 Rec#: 33439 PAN ZI</t>
  </si>
  <si>
    <t>IC-8419</t>
  </si>
  <si>
    <t>Fact#: 363118 Rec#: 33438 SANCHEZ TIMM RAFAEL ANDRES</t>
  </si>
  <si>
    <t>IC-8418</t>
  </si>
  <si>
    <t>Fact#: 363063 Rec#: 33437 CHRISTIAN JAVIER MIDEROS ROMERO</t>
  </si>
  <si>
    <t>IC-8417</t>
  </si>
  <si>
    <t xml:space="preserve">Fact#: 358280-360818-363365 Rec#: 33436 CIA LTDA FULLCOSTEC </t>
  </si>
  <si>
    <t>IC-8416</t>
  </si>
  <si>
    <t>Fact#: 361730 Rec#: 33435 PAZMINO PRIETO SIXTO JAVIER</t>
  </si>
  <si>
    <t>IC-8414</t>
  </si>
  <si>
    <t xml:space="preserve">Fact#: 360084 Rec#: 33434 DE SANTIS NEIRA JUAN JAIME CRISTIAN </t>
  </si>
  <si>
    <t>IC-8401</t>
  </si>
  <si>
    <t xml:space="preserve">Fact#: 4649 Rec#: 33433 CABEZAS GUERRA MARIA DEL CARMEN </t>
  </si>
  <si>
    <t>IC-8391</t>
  </si>
  <si>
    <t xml:space="preserve">Fact#: 362659 Rec#: 18382 PAREDES LOPEZ MARIA PIEDAD </t>
  </si>
  <si>
    <t>IC-8388</t>
  </si>
  <si>
    <t xml:space="preserve">Fact#: 359425-361950 Rec#: 18381 NARANJO CADENA DANIEL FIDEL </t>
  </si>
  <si>
    <t>IC-8387</t>
  </si>
  <si>
    <t xml:space="preserve">Fact#: 362051 Rec#: 18380 INFANTE MINDIOLA JULIA MARLENE </t>
  </si>
  <si>
    <t>IC-8386</t>
  </si>
  <si>
    <t xml:space="preserve">Fact#: 357513-359980-362496 Rec#: 18379 CEVALLOS YOZA LAILA NICOLE </t>
  </si>
  <si>
    <t>IC-8385</t>
  </si>
  <si>
    <t xml:space="preserve">Fact#: 360329-362831 Rec#: 18378 BERMUDEZ COROZO DIANA ELIZABETH </t>
  </si>
  <si>
    <t>IC-8384</t>
  </si>
  <si>
    <t xml:space="preserve">Fact#: 4553 Rec#: 18377 GUTIERREZ ALVAREZ TERESA EUGENIA </t>
  </si>
  <si>
    <t>IC-8383</t>
  </si>
  <si>
    <t xml:space="preserve">Fact#: 359413-361938 Rec#: 18376 AMBALY ASHOKAN </t>
  </si>
  <si>
    <t>IC-8382</t>
  </si>
  <si>
    <t xml:space="preserve">Fact#: 360123-362643 Rec#: 18375 OVIEDO OVIEDO MANUEL ALFREDO </t>
  </si>
  <si>
    <t>IC-8381</t>
  </si>
  <si>
    <t xml:space="preserve">Fact#: 359456-361980 Rec#: 18374 CHRISTIAN GIOVANNY MUÑOZ RIVERA </t>
  </si>
  <si>
    <t>IC-8380</t>
  </si>
  <si>
    <t xml:space="preserve">Fact#: 361344 Rec#: 18373 JENNIFER STEFANIA MACANCELA AVENDAÑO </t>
  </si>
  <si>
    <t>IC-8379</t>
  </si>
  <si>
    <t xml:space="preserve">Fact#: 359113-361633 Rec#: 18372 VALENCIA VICTOR HUGO </t>
  </si>
  <si>
    <t>IC-8378</t>
  </si>
  <si>
    <t xml:space="preserve">Fact#: 360572-363116 Rec#: 18371 SALTOS RODRIGUEZ ANDREA EDITH </t>
  </si>
  <si>
    <t>IC-8377</t>
  </si>
  <si>
    <t xml:space="preserve">Fact#: 354633-357038-359504 Rec#: 18370 QUINONEZ MINA DARLIS LUCIA </t>
  </si>
  <si>
    <t>IC-8376</t>
  </si>
  <si>
    <t xml:space="preserve">Fact#: 4665 Rec#: 18369 ROSO SANCHEZ JHONATAN ALFONSO </t>
  </si>
  <si>
    <t>IC-8375</t>
  </si>
  <si>
    <t xml:space="preserve">Fact#: 359897-362414 Rec#: 18368 CARDONA RUIZ JOSE ALEXANDER </t>
  </si>
  <si>
    <t>IC-8374</t>
  </si>
  <si>
    <t xml:space="preserve">Fact#: 358511-361046 Rec#: 18367 NESTOR AGUSTIN SIMANCAS PINTA </t>
  </si>
  <si>
    <t>IC-8373</t>
  </si>
  <si>
    <t xml:space="preserve">Fact#: 358399-360934 Rec#: 18366 GRACIELA ELENA CAMACHO COELLO </t>
  </si>
  <si>
    <t>IC-8372</t>
  </si>
  <si>
    <t xml:space="preserve">Fact#: 361749 Rec#: 18365 PENA PAREDES PEDRO PABLO </t>
  </si>
  <si>
    <t>IC-8371</t>
  </si>
  <si>
    <t xml:space="preserve">Fact#: 359333-361858 Rec#: 18364 AGUIRRE CIRIO RIGOBERTO FRANCISCO </t>
  </si>
  <si>
    <t>IC-8370</t>
  </si>
  <si>
    <t xml:space="preserve">Fact#: 362718 Rec#: 18363 CUESTA CORTEZ ANTONIO JOSE </t>
  </si>
  <si>
    <t>IC-8369</t>
  </si>
  <si>
    <t xml:space="preserve">Fact#: 358662-361188 Rec#: 18362 RUBEN ESTEBAN URRUTIA VINUEZA </t>
  </si>
  <si>
    <t>IC-8368</t>
  </si>
  <si>
    <t xml:space="preserve">Fact#: 361480 Rec#: 18361 MERO MANTUANO DARWIN IVAN </t>
  </si>
  <si>
    <t>IC-8367</t>
  </si>
  <si>
    <t>Fact#: 363288 Rec#: 33432 EMPRESA PUBLICA MUNICIPAL PARA LA GESTIÓN DE LA INNOVACIÓN  Y LA COMPETITIVIDAD, EP</t>
  </si>
  <si>
    <t>IC-8390</t>
  </si>
  <si>
    <t>Fact#: 363066 Rec#: 33431 SERVICITY C A</t>
  </si>
  <si>
    <t>IC-8361</t>
  </si>
  <si>
    <t>Fact#: 360240-362748 Rec#: 33430 FERNANDEZ ORMAZA MONICA JOHAIRA</t>
  </si>
  <si>
    <t>IC-8360</t>
  </si>
  <si>
    <t>Fact#: 363029 Rec#: 33429 ANEMASA S.A.</t>
  </si>
  <si>
    <t>IC-8359</t>
  </si>
  <si>
    <t>Fact#: 363046 Rec#: 33428 ELECTROMOOM S.A.</t>
  </si>
  <si>
    <t>IC-8358</t>
  </si>
  <si>
    <t>Fact#: 361358 Rec#: 33427 GALLEGOS ABARCA FILOMENA RUTH</t>
  </si>
  <si>
    <t>IC-8357</t>
  </si>
  <si>
    <t>Fact#: 362658 Rec#: 33426 SOLEDISPA CHIPRE SANDRA GISELA</t>
  </si>
  <si>
    <t>IC-8356</t>
  </si>
  <si>
    <t>Fact#: 361321 Rec#: 33425 AIMARA RODRIGUEZ FERNANDEZ</t>
  </si>
  <si>
    <t>IC-8355</t>
  </si>
  <si>
    <t>Fact#: 363083 Rec#: 33424 CONSTRU-YA S.A.</t>
  </si>
  <si>
    <t>IC-8331</t>
  </si>
  <si>
    <t xml:space="preserve">Fact#: 353336 Rec#: 33422 REPROLIMIT CIA.LTDA  </t>
  </si>
  <si>
    <t>IC-8329</t>
  </si>
  <si>
    <t xml:space="preserve">Fact#: 354860-362244 Rec#: 33421 GUALAN HIDALGO MARCO ANTONIO </t>
  </si>
  <si>
    <t>IC-8327</t>
  </si>
  <si>
    <t>Fact#: 355895-358374 Rec#: 33420 OMAR  PALADINES CORDOVA</t>
  </si>
  <si>
    <t>IC-8326</t>
  </si>
  <si>
    <t xml:space="preserve">Fact#: 363257 Rec#: 18360 BRODERIN S.A  </t>
  </si>
  <si>
    <t>IC-8308</t>
  </si>
  <si>
    <t xml:space="preserve">Fact#: 358791-361315 Rec#: 18359 KATTIA MARIA JOSEFINA CARDENAS FREIRE </t>
  </si>
  <si>
    <t>IC-8307</t>
  </si>
  <si>
    <t xml:space="preserve">Fact#: 361653 Rec#: 18358 CASTRO DORADO MARJORIE LUCIA </t>
  </si>
  <si>
    <t>IC-8306</t>
  </si>
  <si>
    <t xml:space="preserve">Fact#: 360219-362734 Rec#: 18357 VERA BAZAN ELIO ERASMO </t>
  </si>
  <si>
    <t>IC-8305</t>
  </si>
  <si>
    <t xml:space="preserve">Fact#: 360375-362876 Rec#: 18356 SOLORZANO MURILLO WILLIAM WILFRIDO </t>
  </si>
  <si>
    <t>IC-8304</t>
  </si>
  <si>
    <t xml:space="preserve">Fact#: 358917-361437 Rec#: 18355 ESMERALDA MARITZA ALVARADO SEGURA </t>
  </si>
  <si>
    <t>IC-8303</t>
  </si>
  <si>
    <t xml:space="preserve">Fact#: 363366 Rec#: 18354 MAXIPAPER S.A </t>
  </si>
  <si>
    <t>IC-8302</t>
  </si>
  <si>
    <t xml:space="preserve">Fact#: 356992-359459-361983 Rec#: 18353 JIMBO ANDRADE KEVIN ISAAC </t>
  </si>
  <si>
    <t>IC-8301</t>
  </si>
  <si>
    <t xml:space="preserve">Fact#: 356253-358735-361258 Rec#: 18352 JOHANNA MARICELA CARRANZA ANCHUNDIA </t>
  </si>
  <si>
    <t>IC-8300</t>
  </si>
  <si>
    <t xml:space="preserve">Fact#: 361791 Rec#: 18351 ORTEGA CONFORME  JANET AURORA  </t>
  </si>
  <si>
    <t>IC-8299</t>
  </si>
  <si>
    <t xml:space="preserve">Fact#: 360315-362818 Rec#: 18350 ESPINOZA LOPEZ RAUL STEWAR </t>
  </si>
  <si>
    <t>IC-8298</t>
  </si>
  <si>
    <t xml:space="preserve">Fact#: 363247 Rec#: 18349 VASQUEZ MOREIRA HILDA VIVIANA </t>
  </si>
  <si>
    <t>IC-8297</t>
  </si>
  <si>
    <t xml:space="preserve">Fact#: 363248 Rec#: 18348 VASQUEZ MOREIRA HILDA VIVIANA </t>
  </si>
  <si>
    <t>IC-8296</t>
  </si>
  <si>
    <t xml:space="preserve">Fact#: 363240 Rec#: 18347 ALVARADO COBOS ALDO MANUEL </t>
  </si>
  <si>
    <t>IC-8295</t>
  </si>
  <si>
    <t xml:space="preserve">Fact#: 360534-363078 Rec#: 18346 LUIS OSWALDO HERRERA HERRERA </t>
  </si>
  <si>
    <t>IC-8294</t>
  </si>
  <si>
    <t xml:space="preserve">Fact#: 362336 Rec#: 18345 MACHACILLA QUINCHE MARIO UBALDO </t>
  </si>
  <si>
    <t>IC-8293</t>
  </si>
  <si>
    <t xml:space="preserve">Fact#: 359526-362046 Rec#: 18344 CORONEL REYES KARINA ELIZABETH </t>
  </si>
  <si>
    <t>IC-8292</t>
  </si>
  <si>
    <t xml:space="preserve">Fact#: 358761-361284 Rec#: 18343 NUBE MARLENE GONZALEZ CASTILLO </t>
  </si>
  <si>
    <t>IC-8291</t>
  </si>
  <si>
    <t xml:space="preserve">Fact#: 4413-4633 Rec#: 18342 MALDONADO CAIZA MANUEL MESIAS </t>
  </si>
  <si>
    <t>IC-8290</t>
  </si>
  <si>
    <t xml:space="preserve">Fact#: 358411-360946 Rec#: 18341 BETTY EUVENIA ACOSTA CAJAPE </t>
  </si>
  <si>
    <t>IC-8289</t>
  </si>
  <si>
    <t xml:space="preserve">Fact#: 361493 Rec#: 18340 YAGUAL GOMEZ JOHAN ALEJANDRO </t>
  </si>
  <si>
    <t>IC-8288</t>
  </si>
  <si>
    <t xml:space="preserve">Fact#: 359211-361734 Rec#: 18339 RUIZ SOLANO KELVIL ORLANDO </t>
  </si>
  <si>
    <t>IC-8287</t>
  </si>
  <si>
    <t xml:space="preserve">Fact#: 359058-361577 Rec#: 18338 SALTOS RODRIGUEZ ANDREA EDITH </t>
  </si>
  <si>
    <t>IC-8286</t>
  </si>
  <si>
    <t xml:space="preserve">Fact#: 360105-362622 Rec#: 18337 MIRANDA TORRES JUAN ERNESTO </t>
  </si>
  <si>
    <t>IC-8285</t>
  </si>
  <si>
    <t xml:space="preserve">Fact#: 362865 Rec#: 18336 GRACIA LOOR ANGEL FRANCISCO </t>
  </si>
  <si>
    <t>IC-8283</t>
  </si>
  <si>
    <t xml:space="preserve">Fact#: 360325-362827 Rec#: 18335 QUIZHPI PASTUIZACA EDISON DANILO </t>
  </si>
  <si>
    <t>IC-8282</t>
  </si>
  <si>
    <t xml:space="preserve">Fact#: 359386-361913 Rec#: 18334 MOLINA PALMA WALTER DANIEL </t>
  </si>
  <si>
    <t>IC-8281</t>
  </si>
  <si>
    <t>Fact#: 354381-356786-359258 Rec#: 33419 PERALTA AVILES MIGUEL ANGEL</t>
  </si>
  <si>
    <t>IC-8319</t>
  </si>
  <si>
    <t>Fact#: 356282-358760-361283 Rec#: 33418 ERIKA SUGEY ANCHUNDIA ALVARADO</t>
  </si>
  <si>
    <t>IC-8318</t>
  </si>
  <si>
    <t>Fact#: 359389-361915 Rec#: 33417 SANCHEZ EGAS LIZETH MARITZA</t>
  </si>
  <si>
    <t>IC-8317</t>
  </si>
  <si>
    <t>Fact#: 343279-346307 Rec#: 33416 COBREXLEG SA</t>
  </si>
  <si>
    <t>IC-8316</t>
  </si>
  <si>
    <t>Fact#: 359542-362061 Rec#: 33415 AREVALO PONCE JAVIER MAURICIO</t>
  </si>
  <si>
    <t>IC-8315</t>
  </si>
  <si>
    <t>Fact#: 4488 Rec#: 33414 GUATEMAL COLIMBA JUAN BAUTISTA</t>
  </si>
  <si>
    <t>IC-8314</t>
  </si>
  <si>
    <t>Fact#: 363110 Rec#: 33413 DULCES, PASTELES Y TORTAS RADU S.A.</t>
  </si>
  <si>
    <t>IC-8313</t>
  </si>
  <si>
    <t>Fact#: 363154 Rec#: 33412 DULCES, PASTELES Y TORTAS RADU S.A.</t>
  </si>
  <si>
    <t>IC-8312</t>
  </si>
  <si>
    <t>Fact#: 361324 Rec#: 33411 CATHERINE NICOLE RUGEL CARRERA</t>
  </si>
  <si>
    <t>IC-8311</t>
  </si>
  <si>
    <t>Fact#: 360533-363077 Rec#: 33410 EDGAR MARCELO MERA VASQUEZ</t>
  </si>
  <si>
    <t>IC-8310</t>
  </si>
  <si>
    <t>Fact#: 361233 Rec#: 33409 CAROLINA ALICIA EGAS NUÑEZ</t>
  </si>
  <si>
    <t>IC-8309</t>
  </si>
  <si>
    <t xml:space="preserve">Fact#: 363120 Rec#: 33408 GLOBAL BUSINESS NESSGLOB S.A. </t>
  </si>
  <si>
    <t>IC-8279</t>
  </si>
  <si>
    <t xml:space="preserve">Fact#: 360576 Rec#: 33407 GLOBAL BUSINESS NESSGLOB S.A. </t>
  </si>
  <si>
    <t>IC-8278</t>
  </si>
  <si>
    <t xml:space="preserve">Fact#: 360619-363162 Rec#: 33406 ROSERO CRUZ MARIA AUXILIADORA </t>
  </si>
  <si>
    <t>IC-8276</t>
  </si>
  <si>
    <t xml:space="preserve">Fact#: 360727-363272 Rec#: 33404 ROYAL TOUR S.A.  </t>
  </si>
  <si>
    <t>IC-8252</t>
  </si>
  <si>
    <t xml:space="preserve">Fact#: 362382 Rec#: 18333 LETTY DEL CISNE DAVILA ROMO </t>
  </si>
  <si>
    <t>IC-8232</t>
  </si>
  <si>
    <t xml:space="preserve">Fact#: 355134-357528-359996 Rec#: 18332 MONTOYA LEON DARWIN SANTIAGO </t>
  </si>
  <si>
    <t>IC-8231</t>
  </si>
  <si>
    <t xml:space="preserve">Fact#: 361575 Rec#: 18331 MERCHAN  PEREZ FABIAN BERNARDINO </t>
  </si>
  <si>
    <t>IC-8230</t>
  </si>
  <si>
    <t xml:space="preserve">Fact#: 328766-331596-334508-337446-340438-343966 Rec#: 18330 ALFREDO DANIEL SOLIS CHIQUITO </t>
  </si>
  <si>
    <t>IC-8229</t>
  </si>
  <si>
    <t xml:space="preserve">Fact#: 363172 Rec#: 18329 SAKURA HATSUMI INTERNACIONAL EXPORTADORA S.A </t>
  </si>
  <si>
    <t>IC-8228</t>
  </si>
  <si>
    <t xml:space="preserve">Fact#: 363369 Rec#: 18328 SAKURA HATSUMI INTERNACIONAL EXPORTADORA S.A </t>
  </si>
  <si>
    <t>IC-8227</t>
  </si>
  <si>
    <t xml:space="preserve">Fact#: 4546 Rec#: 18327 SALINAS GONZALEZ JAIME PATRICIO </t>
  </si>
  <si>
    <t>IC-8226</t>
  </si>
  <si>
    <t xml:space="preserve">Fact#: 361399 Rec#: 18326 ALEX RICARDO POLIT LUNA </t>
  </si>
  <si>
    <t>IC-8225</t>
  </si>
  <si>
    <t xml:space="preserve">Fact#: 362940 Rec#: 18325 ASOCIACION DE PROPIETARIOS III ETAPA LONDRES </t>
  </si>
  <si>
    <t>IC-8224</t>
  </si>
  <si>
    <t xml:space="preserve">Fact#: 362174 Rec#: 18324 VERA DOMINGUEZ JOSE MARCELO </t>
  </si>
  <si>
    <t>IC-8223</t>
  </si>
  <si>
    <t xml:space="preserve">Fact#: 359881-362396 Rec#: 18323 MAZZILLI MENDOZA MELANIE MICHELLE </t>
  </si>
  <si>
    <t>IC-8222</t>
  </si>
  <si>
    <t xml:space="preserve">Fact#: 358666-361192 Rec#: 18322 CARLA MARIA GARCIA ANDRADE </t>
  </si>
  <si>
    <t>IC-8221</t>
  </si>
  <si>
    <t xml:space="preserve">Fact#: 363085 Rec#: 18321 JOMALUNKA S.A </t>
  </si>
  <si>
    <t>IC-8220</t>
  </si>
  <si>
    <t xml:space="preserve">Fact#: 362034 Rec#: 18320 BALSECA CALVA GRACIELA RAQUEL </t>
  </si>
  <si>
    <t>IC-8219</t>
  </si>
  <si>
    <t xml:space="preserve">Fact#: 351749-354087-356497 Rec#: 18319 MONCAYO LARREA JOHANN LEONARDO </t>
  </si>
  <si>
    <t>IC-8218</t>
  </si>
  <si>
    <t xml:space="preserve">Fact#: 360154-362675 Rec#: 18318 ROSARIO GRANDA SANDRA KARINA </t>
  </si>
  <si>
    <t>IC-8217</t>
  </si>
  <si>
    <t xml:space="preserve">Fact#: 361146 Rec#: 18317 CINDY LORENA BAJAÑA BELTRAN </t>
  </si>
  <si>
    <t>IC-8216</t>
  </si>
  <si>
    <t xml:space="preserve">Fact#: 361586 Rec#: 18316 GAVINO LARREATEGUI  JUAN ALFREDO  </t>
  </si>
  <si>
    <t>IC-8215</t>
  </si>
  <si>
    <t xml:space="preserve">Fact#: 357358-359827-362340 Rec#: 18315 FLOREZ QUINTERO DIEGO ERNESTO </t>
  </si>
  <si>
    <t>IC-8214</t>
  </si>
  <si>
    <t xml:space="preserve">Fact#: 357245-359709-362225 Rec#: 18314 GONZALEZ SINCHE EDWIN VICENTE </t>
  </si>
  <si>
    <t>IC-8213</t>
  </si>
  <si>
    <t xml:space="preserve">Fact#: 356250-358732-361255 Rec#: 18313 CHRISTIAN RODIAN GONZALEZ ZAMBRANO </t>
  </si>
  <si>
    <t>IC-8212</t>
  </si>
  <si>
    <t xml:space="preserve">Fact#: 362782 Rec#: 18312 MEZA ANDRADE PAUL EDUARDO </t>
  </si>
  <si>
    <t>IC-8211</t>
  </si>
  <si>
    <t xml:space="preserve">Fact#: 359368-361895 Rec#: 18311 GONZALEZ PENA WRLEY ARNULFO </t>
  </si>
  <si>
    <t>IC-8210</t>
  </si>
  <si>
    <t xml:space="preserve">Fact#: 359324-361848 Rec#: 18310 MINA MONTANO JUVER RUBEN </t>
  </si>
  <si>
    <t>IC-8209</t>
  </si>
  <si>
    <t xml:space="preserve">Fact#: 347085-349561-351770 Rec#: 18309 MARTEN CABALLERO NILDA </t>
  </si>
  <si>
    <t>IC-8208</t>
  </si>
  <si>
    <t>Fact#: 363316 Rec#: 33423 REPROLIMIT CIA.LTDA</t>
  </si>
  <si>
    <t>IC-8330</t>
  </si>
  <si>
    <t>Fact#: 363184-363201-363202-363203 Rec#: 33405 RUIZ ROMAN ROMMEL ELIAS</t>
  </si>
  <si>
    <t>IC-8259</t>
  </si>
  <si>
    <t>Fact#: 360962 Rec#: 33403 CAROLINA JEANNETTE  BORDES ESTRADA</t>
  </si>
  <si>
    <t>IC-8207</t>
  </si>
  <si>
    <t>Fact#: 363079 Rec#: 33402 JORGE ARTURO ZANABRIA VILLAMAR</t>
  </si>
  <si>
    <t>IC-8206</t>
  </si>
  <si>
    <t>Fact#: 361397 Rec#: 33401 XAVIER ALFREDO ZANABRIA VILLAMAR</t>
  </si>
  <si>
    <t>IC-8205</t>
  </si>
  <si>
    <t>Fact#: 363319 Rec#: 33400 ADMINASES S A</t>
  </si>
  <si>
    <t>IC-8204</t>
  </si>
  <si>
    <t>Fact#: 361147 Rec#: 33399 MIRIAM ANTONIETA MARIDUEÑA VALENZUELA</t>
  </si>
  <si>
    <t>IC-8203</t>
  </si>
  <si>
    <t>Fact#: 362393 Rec#: 33398 SALTOS MATA FILADELFO VLADIMIR</t>
  </si>
  <si>
    <t>IC-8202</t>
  </si>
  <si>
    <t>Fact#: 362649 Rec#: 33397 BAZURTO MONTIEL PILAR CLARIBEL</t>
  </si>
  <si>
    <t>IC-8182</t>
  </si>
  <si>
    <t xml:space="preserve">Fact#: 361515 Rec#: 33395 ORTIZ CARRILLO ROBERTO JAVIER </t>
  </si>
  <si>
    <t>IC-8165</t>
  </si>
  <si>
    <t xml:space="preserve">Fact#: 360374-362875 Rec#: 33394 DE LA ROSA RIOS JULIO ENRIQUE </t>
  </si>
  <si>
    <t>IC-8162</t>
  </si>
  <si>
    <t xml:space="preserve">Fact#: 362795 Rec#: 18308 BAJANA ESPINOZA DARWIN VIRGINIO </t>
  </si>
  <si>
    <t>IC-8155</t>
  </si>
  <si>
    <t xml:space="preserve">Fact#: 359751-362267 Rec#: 18307 MACIAS GRACIA JOHNNY FRANCISCO </t>
  </si>
  <si>
    <t>IC-8154</t>
  </si>
  <si>
    <t xml:space="preserve">Fact#: 358356-360891 Rec#: 18306 ALFREDO BARRIGA HOLGUIN </t>
  </si>
  <si>
    <t>IC-8153</t>
  </si>
  <si>
    <t xml:space="preserve">Fact#: 359100-361618 Rec#: 18305 VERA GUZMAN SILVIA AZUCENA </t>
  </si>
  <si>
    <t>IC-8152</t>
  </si>
  <si>
    <t xml:space="preserve">Fact#: 362162 Rec#: 18304 FREIRE ANDRADE PAOLA MARIA </t>
  </si>
  <si>
    <t>IC-8151</t>
  </si>
  <si>
    <t xml:space="preserve">Fact#: 361621 Rec#: 18303 PINCAY RUIZ VICENTA MARLENE </t>
  </si>
  <si>
    <t>IC-8150</t>
  </si>
  <si>
    <t xml:space="preserve">Fact#: 358967-361488 Rec#: 18302 ESTEFANO ATTILIO LANATA GARAICOA </t>
  </si>
  <si>
    <t>IC-8149</t>
  </si>
  <si>
    <t xml:space="preserve">Fact#: 361732 Rec#: 18301 PILAY QUINDE ALEXI ANDRES </t>
  </si>
  <si>
    <t>IC-8148</t>
  </si>
  <si>
    <t xml:space="preserve">Fact#: 363196 Rec#: 18300 LAGOS LAKE ALEJANDRO ANDRE </t>
  </si>
  <si>
    <t>IC-8147</t>
  </si>
  <si>
    <t xml:space="preserve">Fact#: 363129 Rec#: 18299 LAGOS LAKE ALEJANDRO ANDRE </t>
  </si>
  <si>
    <t>IC-8146</t>
  </si>
  <si>
    <t xml:space="preserve">Fact#: 363290 Rec#: 18298 LAGOS LAKE ALEJANDRO ANDRE </t>
  </si>
  <si>
    <t>IC-8144</t>
  </si>
  <si>
    <t xml:space="preserve">Fact#: 363356 Rec#: 18297 LAGOS LAKE ALEJANDRO ANDRE </t>
  </si>
  <si>
    <t>IC-8143</t>
  </si>
  <si>
    <t xml:space="preserve">Fact#: 4360-4580 Rec#: 18296 MINDA POZO EDVIN ERNESTO </t>
  </si>
  <si>
    <t>IC-8142</t>
  </si>
  <si>
    <t xml:space="preserve">Fact#: 361941 Rec#: 18295 VALENCIA MEDINA JOSE RICARDO </t>
  </si>
  <si>
    <t>IC-8141</t>
  </si>
  <si>
    <t xml:space="preserve">Fact#: 362152 Rec#: 18294 ALZAMORA ALVARADO HECTOR JAVIER </t>
  </si>
  <si>
    <t>IC-8140</t>
  </si>
  <si>
    <t xml:space="preserve">Fact#: 361543 Rec#: 18293 VASQUEZ AYALA MARIA DE LOURDES </t>
  </si>
  <si>
    <t>IC-8139</t>
  </si>
  <si>
    <t xml:space="preserve">Fact#: 361860 Rec#: 18292 MOREIRA VELEZ MANUEL ISIDRO </t>
  </si>
  <si>
    <t>IC-8137</t>
  </si>
  <si>
    <t xml:space="preserve">Fact#: 362712 Rec#: 18291 VERA GUZMAN MARIA DOLORES </t>
  </si>
  <si>
    <t>IC-8136</t>
  </si>
  <si>
    <t xml:space="preserve">Fact#: 361667 Rec#: 18290 RAMIREZ RUIZ MILTON EMILIO </t>
  </si>
  <si>
    <t>IC-8135</t>
  </si>
  <si>
    <t xml:space="preserve">Fact#: 360551-363095 Rec#: 18289 CAPACITACIONES Y EVENTOS ARTE&amp;CAFE ZAMPRO S A </t>
  </si>
  <si>
    <t>IC-8134</t>
  </si>
  <si>
    <t xml:space="preserve">Fact#: 355717-358179-360715 Rec#: 18288 LOOR ZAMBRANO EDGAR ASDRUBAL </t>
  </si>
  <si>
    <t>IC-8133</t>
  </si>
  <si>
    <t xml:space="preserve">Fact#: 358375-360911 Rec#: 18287 JULIO LUIS ESPARZA  MORAN </t>
  </si>
  <si>
    <t>IC-8132</t>
  </si>
  <si>
    <t xml:space="preserve">Fact#: 358372-360908 Rec#: 18286 MARIA GERMANIA ZAMORA RUIZ </t>
  </si>
  <si>
    <t>IC-8131</t>
  </si>
  <si>
    <t xml:space="preserve">Fact#: 356449-358926-361446 Rec#: 18285 MARJORIE LUISA SCOTLAND TUTIVEN </t>
  </si>
  <si>
    <t>IC-8130</t>
  </si>
  <si>
    <t xml:space="preserve">Fact#: 362620 Rec#: 18284 BARBERAN BRIONES CARMEN ASUNCION </t>
  </si>
  <si>
    <t>IC-8129</t>
  </si>
  <si>
    <t xml:space="preserve">Fact#: 359583-362101 Rec#: 18283 BARRAZUETA PERDOMO EDUARDO DANIEL </t>
  </si>
  <si>
    <t>IC-8128</t>
  </si>
  <si>
    <t xml:space="preserve">Fact#: 358365-360900 Rec#: 18279 MARTHA ROCIO  TRIVIÑO GRIJALVA </t>
  </si>
  <si>
    <t>IC-8110</t>
  </si>
  <si>
    <t xml:space="preserve">Fact#: 362773 Rec#: 18278 CONTRERAS RODRIGUEZ EUBENIA MARIETA </t>
  </si>
  <si>
    <t>IC-8096</t>
  </si>
  <si>
    <t xml:space="preserve">Fact#: 362230 Rec#: 18277 CERCADO MENDOZA MARIA AUXILIADORA </t>
  </si>
  <si>
    <t>IC-8095</t>
  </si>
  <si>
    <t xml:space="preserve">Fact#: 360858 Rec#: 18276 LIDIA JUDITH OJEDA RUIZ </t>
  </si>
  <si>
    <t>IC-8094</t>
  </si>
  <si>
    <t xml:space="preserve">Fact#: 360357-362857 Rec#: 18275 VILLAMAR ARROLLO DOLORES MARGARITA </t>
  </si>
  <si>
    <t>IC-8093</t>
  </si>
  <si>
    <t xml:space="preserve">Fact#: 362072 Rec#: 18274 CHELE TORO OSCAR EULICES </t>
  </si>
  <si>
    <t>IC-8092</t>
  </si>
  <si>
    <t xml:space="preserve">Fact#: 360051-362565 Rec#: 18273 PROANO PIEDRA CHRISTIAN XAVIER </t>
  </si>
  <si>
    <t>IC-8091</t>
  </si>
  <si>
    <t xml:space="preserve">Fact#: 362057 Rec#: 18272 MALDONADO VILLAMAR HUMBERTO MARTIN </t>
  </si>
  <si>
    <t>IC-8090</t>
  </si>
  <si>
    <t xml:space="preserve">Fact#: 360994 Rec#: 18271 ENCALADA SANCHEZ NIEVES ELIZABETH </t>
  </si>
  <si>
    <t>IC-8089</t>
  </si>
  <si>
    <t xml:space="preserve">Fact#: 360700-363246 Rec#: 18270 SPORTMEDIC.S.A  </t>
  </si>
  <si>
    <t>IC-8088</t>
  </si>
  <si>
    <t xml:space="preserve">Fact#: 361246 Rec#: 18269 JAVIER ENRIQUE ARTEAGA MENENDEZ </t>
  </si>
  <si>
    <t>IC-8087</t>
  </si>
  <si>
    <t xml:space="preserve">Fact#: 362863 Rec#: 18268 YAGUAL GONZALEZ OSWALDO ALCIDES </t>
  </si>
  <si>
    <t>IC-8086</t>
  </si>
  <si>
    <t xml:space="preserve">Fact#: 360373-362873 Rec#: 18267 CRESPO BAQUERIZO ENRIQUE MANUEL </t>
  </si>
  <si>
    <t>IC-8085</t>
  </si>
  <si>
    <t xml:space="preserve">Fact#: 360023-362537 Rec#: 18266 SEGOVIA DOMINGUEZ KARLA FIORELLA </t>
  </si>
  <si>
    <t>IC-8070</t>
  </si>
  <si>
    <t xml:space="preserve">Fact#: 359945-362461 Rec#: 18265 GUILLEN RENGIFO GLENDA ELIZABETH  </t>
  </si>
  <si>
    <t>IC-8068</t>
  </si>
  <si>
    <t xml:space="preserve">Fact#: 361178 Rec#: 18264 UBALDO HELIODORO MOTOCHE MEDINA </t>
  </si>
  <si>
    <t>IC-8066</t>
  </si>
  <si>
    <t xml:space="preserve">Fact#: 362107 Rec#: 18263 BHURANI SUMEET </t>
  </si>
  <si>
    <t>IC-8064</t>
  </si>
  <si>
    <t xml:space="preserve">Fact#: 359304-361827 Rec#: 18262 GUAMAN IZA LILIANA ARACELY </t>
  </si>
  <si>
    <t>IC-8059</t>
  </si>
  <si>
    <t xml:space="preserve">Fact#: 361302 Rec#: 18261 HOLGER ALFREDO TOMALA DE LA ROSA </t>
  </si>
  <si>
    <t>IC-8058</t>
  </si>
  <si>
    <t>Fact#: 362974 Rec#: 33396 SOLUCIONES SEGURAS S.A</t>
  </si>
  <si>
    <t>IC-8179</t>
  </si>
  <si>
    <t>Fact#: 362389 Rec#: 18282 TRUJILL0 ELJURI ROBERTO FARID</t>
  </si>
  <si>
    <t>IC-8127</t>
  </si>
  <si>
    <t>Fact#: 360604-363148 Rec#: 18280 SOLUCIONES GLOBALES S.A GLOBFAST</t>
  </si>
  <si>
    <t>IC-9409</t>
  </si>
  <si>
    <t>Fact#: 360605-363147 Rec#: 18281 SOLUCIONES GLOBALES S.A GLOBFAST</t>
  </si>
  <si>
    <t>IC-9408</t>
  </si>
  <si>
    <t>Fact#: 358292-358298 Rec#: 33485 CONSORCIO ECUATORIANO DE TELECOMUNICACIONES S.A. CONECEL</t>
  </si>
  <si>
    <t>IC-9233</t>
  </si>
  <si>
    <t>Fact#: 360833 Rec#: 33484 OTECEL</t>
  </si>
  <si>
    <t>IC-8674</t>
  </si>
  <si>
    <t>Fact#: 360999 Rec#: 33393 RIOS ORELLANA INGRID DE LA CRUZ</t>
  </si>
  <si>
    <t>IC-8163</t>
  </si>
  <si>
    <t>Fact#: 359830-362344 Rec#: 33392 ELIAS CABRERA ANGELA MARIA</t>
  </si>
  <si>
    <t>IC-8161</t>
  </si>
  <si>
    <t>Fact#: 362184 Rec#: 33391 ALFREDO GEOVANNY SANCHEZ BENAVIDES</t>
  </si>
  <si>
    <t>IC-8160</t>
  </si>
  <si>
    <t>Fact#: 361218 Rec#: 33390 ALFREDO GEOVANNY SANCHEZ BENAVIDES</t>
  </si>
  <si>
    <t>IC-8159</t>
  </si>
  <si>
    <t>Fact#: 361455 Rec#: 33389 WENDY LORENA QUIMIS CHOEZ</t>
  </si>
  <si>
    <t>IC-8157</t>
  </si>
  <si>
    <t>Fact#: 360929 Rec#: 33388 FERNANDO GABRIEL AVILES USCOCOVICH</t>
  </si>
  <si>
    <t>IC-8156</t>
  </si>
  <si>
    <t>Fact#: 3919-4138-4355 Rec#: 33387 ZOANNI SALDIVAR DAMIAN ALFREDO</t>
  </si>
  <si>
    <t>IC-8010</t>
  </si>
  <si>
    <t xml:space="preserve">Fact#: 361711 Rec#: 33386 LOGROÑO REYES VICENTE JAVIER </t>
  </si>
  <si>
    <t>IC-8008</t>
  </si>
  <si>
    <t xml:space="preserve">Fact#: 362287 Rec#: 33385 GABINO MIRANDA DAVID EDUARDO </t>
  </si>
  <si>
    <t>IC-8007</t>
  </si>
  <si>
    <t xml:space="preserve">Fact#: 363047 Rec#: 18260 LABORATORIOS RENALABSA S A </t>
  </si>
  <si>
    <t>IC-7998</t>
  </si>
  <si>
    <t xml:space="preserve">Fact#: 361001 Rec#: 18259 ARMANDO ROBERTO  YAGUAL BRITO </t>
  </si>
  <si>
    <t>IC-7997</t>
  </si>
  <si>
    <t xml:space="preserve">Fact#: 359758-362273 Rec#: 18258 FIGUEROA GAVELA SILVIA FABIOLA </t>
  </si>
  <si>
    <t>IC-7996</t>
  </si>
  <si>
    <t xml:space="preserve">Fact#: 361802 Rec#: 18257 AGUIRRE HURTADO KATHERINE ELIZABETH </t>
  </si>
  <si>
    <t>IC-7995</t>
  </si>
  <si>
    <t xml:space="preserve">Fact#: 359595-362113 Rec#: 18256 ALZAMORA RAMIREZ PEDRO FAUSTO </t>
  </si>
  <si>
    <t>IC-7994</t>
  </si>
  <si>
    <t xml:space="preserve">Fact#: 4333-4558 Rec#: 18255 GUERRERO CASTRO ROSA ELVIRA </t>
  </si>
  <si>
    <t>IC-7993</t>
  </si>
  <si>
    <t xml:space="preserve">Fact#: 362260 Rec#: 18254 FRANCO BARRAGAN MARLON JULIO </t>
  </si>
  <si>
    <t>IC-7992</t>
  </si>
  <si>
    <t xml:space="preserve">Fact#: 357782-360253-362758 Rec#: 18253 AYOVI CAICEDO TANYA DENISE </t>
  </si>
  <si>
    <t>IC-7991</t>
  </si>
  <si>
    <t xml:space="preserve">Fact#: 363169 Rec#: 18252 CORPORACION DE TRANSPORTISTAS DEL ECUADOR S.A. </t>
  </si>
  <si>
    <t>IC-7990</t>
  </si>
  <si>
    <t xml:space="preserve">Fact#: 361494 Rec#: 18251 GONZALEZ MELLA CRISTIAN ALEJANDRO </t>
  </si>
  <si>
    <t>IC-7989</t>
  </si>
  <si>
    <t xml:space="preserve">Fact#: 361776 Rec#: 18250 RIVADENEIRA SACON GRACE ALEXANDRA </t>
  </si>
  <si>
    <t>IC-7988</t>
  </si>
  <si>
    <t xml:space="preserve">Fact#: 360307-362810 Rec#: 18249 JIMENEZ JIMENEZ GABRIEL BENANCIO </t>
  </si>
  <si>
    <t>IC-7987</t>
  </si>
  <si>
    <t xml:space="preserve">Fact#: 359939-362455 Rec#: 18248 GUAMAN TUPIZA MANUEL FRANCISCO </t>
  </si>
  <si>
    <t>IC-7986</t>
  </si>
  <si>
    <t xml:space="preserve">Fact#: 361829 Rec#: 18247 YUMBLA MENDIETA MONICA ELIZABETH </t>
  </si>
  <si>
    <t>IC-7985</t>
  </si>
  <si>
    <t xml:space="preserve">Fact#: 353136-358020-363206 Rec#: 18246 MORANTE VILLARREAL ROBERTO OMAR </t>
  </si>
  <si>
    <t>IC-7984</t>
  </si>
  <si>
    <t xml:space="preserve">Fact#: 355555-358127-360663 Rec#: 18245 MORANTE VILLARREAL ROBERTO OMAR </t>
  </si>
  <si>
    <t>IC-7983</t>
  </si>
  <si>
    <t xml:space="preserve">Fact#: 362910 Rec#: 18244 VERA ROJAS PABLO MARCELO </t>
  </si>
  <si>
    <t>IC-7982</t>
  </si>
  <si>
    <t xml:space="preserve">Fact#: 356401-358876-361398 Rec#: 18243 CARLOS RAUL CARPIO FREIRE </t>
  </si>
  <si>
    <t>IC-7981</t>
  </si>
  <si>
    <t xml:space="preserve">Fact#: 359765-362280 Rec#: 18242 MEDINA FLORES DANIEL FRANCISCO </t>
  </si>
  <si>
    <t>IC-7980</t>
  </si>
  <si>
    <t xml:space="preserve">Fact#: 359046-361564 Rec#: 18241 ZAMBRANO CASTRO JOSE JAIR </t>
  </si>
  <si>
    <t>IC-7979</t>
  </si>
  <si>
    <t xml:space="preserve">Fact#: 362285 Rec#: 18240 VILLAMAR CARRANZA MARISOL DEL PILAR </t>
  </si>
  <si>
    <t>IC-7978</t>
  </si>
  <si>
    <t xml:space="preserve">Fact#: 361215 Rec#: 18239 LENIN ANTONIO SARABIA ORELLANA </t>
  </si>
  <si>
    <t>IC-7977</t>
  </si>
  <si>
    <t>Fact#: 362663 Rec#: 33384 TIGUA QUIMIZ DENNYS XAVIER</t>
  </si>
  <si>
    <t>IC-7976</t>
  </si>
  <si>
    <t>Fact#: 363141 Rec#: 33382 DELGADO VINTIMILLA CARLOS FERNANDO</t>
  </si>
  <si>
    <t>IC-7930</t>
  </si>
  <si>
    <t>Fact#: 362928 Rec#: 33381 ASOC. DE PROPIETARIOS URB. VIA AL SOL</t>
  </si>
  <si>
    <t>IC-7929</t>
  </si>
  <si>
    <t>Fact#: 359159-361683 Rec#: 33380 MORAN CABELLO JUSUETH WENSTLAND</t>
  </si>
  <si>
    <t>IC-7928</t>
  </si>
  <si>
    <t>Fact#: 361523 Rec#: 33379 QUINTO BAZAN JOHNN HENRY</t>
  </si>
  <si>
    <t>IC-7927</t>
  </si>
  <si>
    <t>Fact#: 362191 Rec#: 33378 BUSTAMANTE TORRES CAMILO EDUARDO</t>
  </si>
  <si>
    <t>IC-7926</t>
  </si>
  <si>
    <t>Fact#: 4683 Rec#: 33329 HERRERA CIFUENTES ESTUARDO WLADIMIR</t>
  </si>
  <si>
    <t>IC-7840</t>
  </si>
  <si>
    <t xml:space="preserve">Fact#: 361735 Rec#: 33328 JARAMILLO RIVERA WILLIAN ADOLFO </t>
  </si>
  <si>
    <t>IC-7838</t>
  </si>
  <si>
    <t xml:space="preserve">Fact#: 359015-361533 Rec#: 18238 SUAREZ MAGALLANES JULIO ALFONSO </t>
  </si>
  <si>
    <t>IC-7744</t>
  </si>
  <si>
    <t xml:space="preserve">Fact#: 362841 Rec#: 18237 CHAVEZ MORA RITA TERESA </t>
  </si>
  <si>
    <t>IC-7743</t>
  </si>
  <si>
    <t xml:space="preserve">Fact#: 361197 Rec#: 18236 WILLINGTON HUGO ROSALES MEDINA </t>
  </si>
  <si>
    <t>IC-7742</t>
  </si>
  <si>
    <t xml:space="preserve">Fact#: 358623-361151 Rec#: 18235 GINGER LIZBETH GOMEZ CALDERON </t>
  </si>
  <si>
    <t>IC-7741</t>
  </si>
  <si>
    <t xml:space="preserve">Fact#: 361569 Rec#: 18234 DEL VALLE MONTECE SELENA MARIBEL </t>
  </si>
  <si>
    <t>IC-7740</t>
  </si>
  <si>
    <t xml:space="preserve">Fact#: 359687-362202 Rec#: 18233 PERALTA RODRIGUEZ MARLON SANTIAGO </t>
  </si>
  <si>
    <t>IC-7739</t>
  </si>
  <si>
    <t xml:space="preserve">Fact#: 358751-361275 Rec#: 18232 LUIS FERNANDO RODRIGUEZ TAPIA </t>
  </si>
  <si>
    <t>IC-7738</t>
  </si>
  <si>
    <t xml:space="preserve">Fact#: 361448 Rec#: 18231 NARCISA MIRELLA ANDRADE SALTOS </t>
  </si>
  <si>
    <t>IC-7737</t>
  </si>
  <si>
    <t xml:space="preserve">Fact#: 361200 Rec#: 18230 ULISES MARTIN VARGAS FIGUEROA </t>
  </si>
  <si>
    <t>IC-7735</t>
  </si>
  <si>
    <t xml:space="preserve">Fact#: 362650 Rec#: 18229 GUARANDA MERCHAN NIEVE GRACIELA  </t>
  </si>
  <si>
    <t>IC-7734</t>
  </si>
  <si>
    <t xml:space="preserve">Fact#: 361006 Rec#: 18228 NELIS MARIA PINARGOTE YEPEZ </t>
  </si>
  <si>
    <t>IC-7733</t>
  </si>
  <si>
    <t xml:space="preserve">Fact#: 361669 Rec#: 18227 DE LA O CHACON JOSEPH CHRISTIAN </t>
  </si>
  <si>
    <t>IC-7732</t>
  </si>
  <si>
    <t xml:space="preserve">Fact#: 2403-2633-2948 Rec#: 18226 ZAMBRANO LOOR ENITA LEONOR </t>
  </si>
  <si>
    <t>IC-7731</t>
  </si>
  <si>
    <t xml:space="preserve">Fact#: 359202-361725 Rec#: 18225 MORA URRUTIA MACARENA IVONNE </t>
  </si>
  <si>
    <t>IC-7730</t>
  </si>
  <si>
    <t xml:space="preserve">Fact#: 361658 Rec#: 18224 ARROBA VALENCIA  JULIO ZENON  </t>
  </si>
  <si>
    <t>IC-7729</t>
  </si>
  <si>
    <t xml:space="preserve">Fact#: 361213 Rec#: 18223 CARLOS ENRIQUE TAPIA TAPIA </t>
  </si>
  <si>
    <t>IC-7728</t>
  </si>
  <si>
    <t xml:space="preserve">Fact#: 354179-356588-359060 Rec#: 18222 ARROYO AYOVI SANDRA YADIRA </t>
  </si>
  <si>
    <t>IC-7727</t>
  </si>
  <si>
    <t xml:space="preserve">Fact#: 358665-361191 Rec#: 18221 MOISES SIGIFREDO OBANDO MONTENEGRO </t>
  </si>
  <si>
    <t>IC-7726</t>
  </si>
  <si>
    <t xml:space="preserve">Fact#: 356623-359092-361609 Rec#: 18220 ANDRADE ALVARADO NANCY NOEMI </t>
  </si>
  <si>
    <t>IC-7725</t>
  </si>
  <si>
    <t xml:space="preserve">Fact#: 357168-359631-362148 Rec#: 18219 LUCIN DE LA A ANA GERTRUDIS </t>
  </si>
  <si>
    <t>IC-7724</t>
  </si>
  <si>
    <t xml:space="preserve">Fact#: 359535-362056 Rec#: 18218 PITA PENAFIEL ALISON CAROLINA </t>
  </si>
  <si>
    <t>IC-7723</t>
  </si>
  <si>
    <t xml:space="preserve">Fact#: 4317-4542 Rec#: 18217 PAREDES PEREZ GUSTAVO XAVIER </t>
  </si>
  <si>
    <t>IC-7722</t>
  </si>
  <si>
    <t xml:space="preserve">Fact#: 362912 Rec#: 18216 SUAREZ LAINEZ LORENA MARIBEL </t>
  </si>
  <si>
    <t>IC-7721</t>
  </si>
  <si>
    <t xml:space="preserve">Fact#: 361507 Rec#: 18215 FREDDY PABLO  ENDARA SAAVEDRA </t>
  </si>
  <si>
    <t>IC-7720</t>
  </si>
  <si>
    <t>Fact#: 363050 Rec#: 33377 WILMER JONAS MEJIA LEON</t>
  </si>
  <si>
    <t>IC-7925</t>
  </si>
  <si>
    <t>Fact#: 362943 Rec#: 33376 AUTOMEKANO CIA. LTDA</t>
  </si>
  <si>
    <t>IC-7924</t>
  </si>
  <si>
    <t>Fact#: 362937 Rec#: 33375 ASOC. DE PROPIETARIOS URB. TERRASOL</t>
  </si>
  <si>
    <t>IC-7923</t>
  </si>
  <si>
    <t>Fact#: 363142 Rec#: 33374 RITOMI S.A.</t>
  </si>
  <si>
    <t>IC-7922</t>
  </si>
  <si>
    <t>Fact#: 363093 Rec#: 33373 RITOMI S.A.</t>
  </si>
  <si>
    <t>IC-7921</t>
  </si>
  <si>
    <t>Fact#: 362932 Rec#: 33372 EFFICACITAS CONSULTORA CIA.LTDA.</t>
  </si>
  <si>
    <t>IC-7920</t>
  </si>
  <si>
    <t>Fact#: 362934 Rec#: 33371 EFFICACITAS CONSULTORA CIA.LTDA.</t>
  </si>
  <si>
    <t>IC-7919</t>
  </si>
  <si>
    <t>Fact#: 362933 Rec#: 33370 EFFICACITAS CONSULTORA CIA.LTDA.</t>
  </si>
  <si>
    <t>IC-7918</t>
  </si>
  <si>
    <t>Fact#: 363032 Rec#: 33369 DUPROCSA S.A.</t>
  </si>
  <si>
    <t>IC-7917</t>
  </si>
  <si>
    <t>Fact#: 363023 Rec#: 33368 BELLUSCIO S.A.</t>
  </si>
  <si>
    <t>IC-7916</t>
  </si>
  <si>
    <t>Fact#: 363125 Rec#: 33367 INDUVERIKA S.A.</t>
  </si>
  <si>
    <t>IC-7915</t>
  </si>
  <si>
    <t>Fact#: 360893 Rec#: 33366 JENNY CEDEÑO CAAMAÑO</t>
  </si>
  <si>
    <t>IC-7914</t>
  </si>
  <si>
    <t>Fact#: 362322 Rec#: 33365 JOSE FRANCISCO  FERNANDEZ   ESPINOZA</t>
  </si>
  <si>
    <t>IC-7913</t>
  </si>
  <si>
    <t>Fact#: 361396 Rec#: 33364 RICARDO PABLO FALCONI DUEÑAS</t>
  </si>
  <si>
    <t>IC-7912</t>
  </si>
  <si>
    <t>Fact#: 360854 Rec#: 33363 GISELLE MARIELA CLEMENTE VERA</t>
  </si>
  <si>
    <t>IC-7911</t>
  </si>
  <si>
    <t>Fact#: 362166 Rec#: 33362 ZULVY BEDON LAGOS</t>
  </si>
  <si>
    <t>IC-7910</t>
  </si>
  <si>
    <t>Fact#: 360950 Rec#: 33361 FRANKLIN JOAQUIN  DOMINGUEZ VARGAS</t>
  </si>
  <si>
    <t>IC-7909</t>
  </si>
  <si>
    <t>Fact#: 360998 Rec#: 33360 CARLOS ALBERTO RENDON PALMA</t>
  </si>
  <si>
    <t>IC-7908</t>
  </si>
  <si>
    <t>Fact#: 360839 Rec#: 33359 EVA MARIA VINUEZA OCAÑA</t>
  </si>
  <si>
    <t>IC-7907</t>
  </si>
  <si>
    <t>Fact#: 361016 Rec#: 33358 TERESA DE LA CRUZ TOSCANO BRITO</t>
  </si>
  <si>
    <t>IC-7906</t>
  </si>
  <si>
    <t>Fact#: 361090 Rec#: 33357 LUIS CARLOS ABAD YCAZA</t>
  </si>
  <si>
    <t>IC-7905</t>
  </si>
  <si>
    <t>Fact#: 361204 Rec#: 33356 ANTONIO IGNACIO ARTEAGA FERAUD</t>
  </si>
  <si>
    <t>IC-7904</t>
  </si>
  <si>
    <t>Fact#: 360846 Rec#: 33355 ROBERTO MUZZIO NARANJO</t>
  </si>
  <si>
    <t>IC-7903</t>
  </si>
  <si>
    <t>Fact#: 361806 Rec#: 33354 CASTILLO PALMA DANIEL ALFREDO</t>
  </si>
  <si>
    <t>IC-7902</t>
  </si>
  <si>
    <t>Fact#: 361947 Rec#: 33353 CANDO REYES JOSE MAURICIO</t>
  </si>
  <si>
    <t>IC-7901</t>
  </si>
  <si>
    <t>Fact#: 361257 Rec#: 33352 CARLOS BENJAMIN ROSALES PINO</t>
  </si>
  <si>
    <t>IC-7900</t>
  </si>
  <si>
    <t>Fact#: 361000 Rec#: 33351 UVIDIA SALTOS  CARLOS BOLIVAR</t>
  </si>
  <si>
    <t>IC-7899</t>
  </si>
  <si>
    <t>Fact#: 361152 Rec#: 33350 GUILLERMO ELOY SERRANO GOMEZ</t>
  </si>
  <si>
    <t>IC-7898</t>
  </si>
  <si>
    <t>Fact#: 360898 Rec#: 33349 JOSE JOAQUIN OLMEDO CASTELLO</t>
  </si>
  <si>
    <t>IC-7897</t>
  </si>
  <si>
    <t>Fact#: 361140 Rec#: 33348 JUAN XAVIER BENEDETI RIPALDA</t>
  </si>
  <si>
    <t>IC-7896</t>
  </si>
  <si>
    <t>Fact#: 360856 Rec#: 33347 JAIRO ALBERTO GOMEZ COELLO</t>
  </si>
  <si>
    <t>IC-7895</t>
  </si>
  <si>
    <t>Fact#: 361580 Rec#: 33346 GILBERT SILVA CECILIA MARIA</t>
  </si>
  <si>
    <t>IC-7894</t>
  </si>
  <si>
    <t>Fact#: 362415 Rec#: 33345 NIEVES RODRIGUEZ JORGE ELIECER</t>
  </si>
  <si>
    <t>IC-7893</t>
  </si>
  <si>
    <t>Fact#: 361760 Rec#: 33344 ESPANA BAJANA STEFANIA ELIZABETH</t>
  </si>
  <si>
    <t>IC-7892</t>
  </si>
  <si>
    <t>Fact#: 361082 Rec#: 33343 LUIS EDUARDO SANCHEZ TIMM</t>
  </si>
  <si>
    <t>IC-7891</t>
  </si>
  <si>
    <t>Fact#: 362043 Rec#: 33342 SUSANA HERMELINDA ANALUISA HARO</t>
  </si>
  <si>
    <t>IC-7890</t>
  </si>
  <si>
    <t>Fact#: 361997 Rec#: 33341 VINUEZA GARCIA EDISON EDUARDO</t>
  </si>
  <si>
    <t>IC-7889</t>
  </si>
  <si>
    <t>Fact#: 361935 Rec#: 33340 PERALTA BENITEZ ROBERTO ELIAS</t>
  </si>
  <si>
    <t>IC-7888</t>
  </si>
  <si>
    <t>Fact#: 360947 Rec#: 33339 FAUSTO EDUARDO  CARBO RIVERA</t>
  </si>
  <si>
    <t>IC-7887</t>
  </si>
  <si>
    <t>Fact#: 361352 Rec#: 33338 CARLOS ADALBERTO SALAVARRIA PALMA</t>
  </si>
  <si>
    <t>IC-7886</t>
  </si>
  <si>
    <t>Fact#: 360904 Rec#: 33337 LUIS CESAR GAMARRA GONZALES</t>
  </si>
  <si>
    <t>IC-7885</t>
  </si>
  <si>
    <t>Fact#: 360990 Rec#: 33336 ANA LUCRECIA  CABRERA GARCIA</t>
  </si>
  <si>
    <t>IC-7884</t>
  </si>
  <si>
    <t>Fact#: 361069 Rec#: 33335 GISELLA MARIA YUNES ANDRADE</t>
  </si>
  <si>
    <t>IC-7883</t>
  </si>
  <si>
    <t>Fact#: 349320-351512-353840 Rec#: 33383 EDDIE ENRIQUE HERRERA MEDINA</t>
  </si>
  <si>
    <t>IC-7882</t>
  </si>
  <si>
    <t>Fact#: 360892 Rec#: 33334 MONICA CRIOLLO SALAZAR</t>
  </si>
  <si>
    <t>IC-7881</t>
  </si>
  <si>
    <t>Fact#: 360927 Rec#: 33333 PAULA JESUS SALAZAR MACIAS</t>
  </si>
  <si>
    <t>IC-7880</t>
  </si>
  <si>
    <t>Fact#: 360867 Rec#: 33332 ISABEL ROSARIO QUINDE SORIANO</t>
  </si>
  <si>
    <t>IC-7879</t>
  </si>
  <si>
    <t>Fact#: 361946 Rec#: 33331 VILLON SORIANO DIOSELINA SOLEDAD</t>
  </si>
  <si>
    <t>IC-7878</t>
  </si>
  <si>
    <t>Fact#: 363213 Rec#: 33330 MARRIOTT S.A</t>
  </si>
  <si>
    <t>IC-7841</t>
  </si>
  <si>
    <t>Fact#: 360642-360657-360658-360659 Rec#: 33327 RUIZ ROMAN ROMMEL ELIAS</t>
  </si>
  <si>
    <t>IC-7837</t>
  </si>
  <si>
    <t xml:space="preserve">Fact#: 359195-361718 Rec#: 18214 BELARDE BRAVO WILLIAM JASMANI </t>
  </si>
  <si>
    <t>IC-7698</t>
  </si>
  <si>
    <t xml:space="preserve">Fact#: 361750 Rec#: 18213 ROMAN ALVARADO LILIAN ISIDORA </t>
  </si>
  <si>
    <t>IC-7697</t>
  </si>
  <si>
    <t xml:space="preserve">Fact#: 358571-361106 Rec#: 18212 CARLOS GUILLERMO MUÑOZ GUTIERREZ </t>
  </si>
  <si>
    <t>IC-7696</t>
  </si>
  <si>
    <t xml:space="preserve">Fact#: 362308 Rec#: 18211 MORAN MOSQUERA JORGE RAMON </t>
  </si>
  <si>
    <t>IC-7695</t>
  </si>
  <si>
    <t xml:space="preserve">Fact#: 338375-341367-344891-361926 Rec#: 18210 BALLADARES ALVARADO LEONARD ANTHONY </t>
  </si>
  <si>
    <t>IC-7694</t>
  </si>
  <si>
    <t xml:space="preserve">Fact#: 359491-362014 Rec#: 18209 MUNIZ MARTINEZ CARMEN ALEJA </t>
  </si>
  <si>
    <t>IC-7693</t>
  </si>
  <si>
    <t xml:space="preserve">Fact#: 361833 Rec#: 18208 CHOLOTA OQUENDO JORDAN GONZALO </t>
  </si>
  <si>
    <t>IC-7692</t>
  </si>
  <si>
    <t xml:space="preserve">Fact#: 361341 Rec#: 18207 NANCY ESTHELA SANCHEZ </t>
  </si>
  <si>
    <t>IC-7691</t>
  </si>
  <si>
    <t xml:space="preserve">Fact#: 362158 Rec#: 18206 SOLEDISPA ACEBO MILTON ANTONIO </t>
  </si>
  <si>
    <t>IC-7690</t>
  </si>
  <si>
    <t xml:space="preserve">Fact#: 362305 Rec#: 18205 LEON GARCIA MARCELA VERONICA </t>
  </si>
  <si>
    <t>IC-7689</t>
  </si>
  <si>
    <t xml:space="preserve">Fact#: 359568-362086 Rec#: 18204 MARCILLO COBOS DAVID FERNANDO </t>
  </si>
  <si>
    <t>IC-7688</t>
  </si>
  <si>
    <t xml:space="preserve">Fact#: 341671-345195-347696 Rec#: 18203 ESTRADA VERA BRYAN GABRIEL </t>
  </si>
  <si>
    <t>IC-7687</t>
  </si>
  <si>
    <t xml:space="preserve">Fact#: 361279 Rec#: 18202 ISABEL RODRIGUEZ RIZO </t>
  </si>
  <si>
    <t>IC-7686</t>
  </si>
  <si>
    <t xml:space="preserve">Fact#: 358892-361413 Rec#: 18201 LUIS ENRIQUE APOLINARIO ROJAS </t>
  </si>
  <si>
    <t>IC-7685</t>
  </si>
  <si>
    <t xml:space="preserve">Fact#: 4265-4490 Rec#: 18200 INTRIAGO ALCIVAR DAISY ADRIANA </t>
  </si>
  <si>
    <t>IC-7684</t>
  </si>
  <si>
    <t xml:space="preserve">Fact#: 359926-362442 Rec#: 18199 GONZALES LOJA MARIA FERNANDA </t>
  </si>
  <si>
    <t>IC-7683</t>
  </si>
  <si>
    <t xml:space="preserve">Fact#: 362092 Rec#: 18198 BORBOR MORENO LUIS ANTONIO </t>
  </si>
  <si>
    <t>IC-7682</t>
  </si>
  <si>
    <t xml:space="preserve">Fact#: 356953-359418-361943 Rec#: 18197 BOLANO HURTADO SUGEY MERY </t>
  </si>
  <si>
    <t>IC-7681</t>
  </si>
  <si>
    <t xml:space="preserve">Fact#: 359314-361838 Rec#: 18196 GUERRERO CRESPIN JULIO ENRIQUE </t>
  </si>
  <si>
    <t>IC-7680</t>
  </si>
  <si>
    <t xml:space="preserve">Fact#: 362691 Rec#: 18195 MATEO SANTILLAN FERNANDO XAVIER </t>
  </si>
  <si>
    <t>IC-7679</t>
  </si>
  <si>
    <t xml:space="preserve">Fact#: 354869-357269-359736 Rec#: 18194 VALENZUELA PHILLIPS DANIEL ENRIQUE </t>
  </si>
  <si>
    <t>IC-7678</t>
  </si>
  <si>
    <t xml:space="preserve">Fact#: 361254 Rec#: 18193 ANGEL ANTONIO RAMIREZ NUÑEZ </t>
  </si>
  <si>
    <t>IC-7677</t>
  </si>
  <si>
    <t xml:space="preserve">Fact#: 359052-361570 Rec#: 18192 CABEZA BENITEZ MONSERRATE FATIMA </t>
  </si>
  <si>
    <t>IC-7676</t>
  </si>
  <si>
    <t xml:space="preserve">Fact#: 362296 Rec#: 18191 BELLO MENDEZ JOSELINE ZORAIDA </t>
  </si>
  <si>
    <t>IC-7675</t>
  </si>
  <si>
    <t xml:space="preserve">Fact#: 358645-361173 Rec#: 18190 KEVIN BLADIMIR PONCE GREFA </t>
  </si>
  <si>
    <t>IC-7674</t>
  </si>
  <si>
    <t xml:space="preserve">Fact#: 360963 Rec#: 18189 LAURA BEATRIZ  ENCALADA ESPINOZA </t>
  </si>
  <si>
    <t>IC-7673</t>
  </si>
  <si>
    <t xml:space="preserve">Fact#: 357271-359739-362254 Rec#: 18188 SANCHEZ ALVARADO JACINTA ROSARIO </t>
  </si>
  <si>
    <t>IC-7672</t>
  </si>
  <si>
    <t xml:space="preserve">Fact#: 357778-360249-362755 Rec#: 18187 RODRIGUEZ VALVERDE MARGARITA ELIZABETH </t>
  </si>
  <si>
    <t>IC-7671</t>
  </si>
  <si>
    <t>Fact#: 362351 Rec#: 33325 VALLEJO PROANO FABIAN IGNACIO</t>
  </si>
  <si>
    <t>IC-7708</t>
  </si>
  <si>
    <t>Fact#: 360792-362924-362925 Rec#: 33324 DENNIS TOMALA ALBA ROSA</t>
  </si>
  <si>
    <t>IC-7707</t>
  </si>
  <si>
    <t>Fact#: 355630-358094-360630 Rec#: 33323 CORPALVAH S A</t>
  </si>
  <si>
    <t>IC-7670</t>
  </si>
  <si>
    <t>Fact#: 359643-362160 Rec#: 33322 MORA REYES JOSE FRANK</t>
  </si>
  <si>
    <t>IC-7669</t>
  </si>
  <si>
    <t>Fact#: 359262-361786 Rec#: 33321 PINCAY SILVA FERNANDO RAFAEL</t>
  </si>
  <si>
    <t>IC-7668</t>
  </si>
  <si>
    <t>Fact#: 360906 Rec#: 33320 ALVARO CORNEJO RODRIGUEZ</t>
  </si>
  <si>
    <t>IC-7667</t>
  </si>
  <si>
    <t>Fact#: 358553-361088 Rec#: 33319 YEPEZ MOREIRA TOMAS MIGUEL</t>
  </si>
  <si>
    <t>IC-7666</t>
  </si>
  <si>
    <t>Fact#: 361737 Rec#: 33318 GONZALEZ SANCHEZ CESAR IVAN</t>
  </si>
  <si>
    <t>IC-7665</t>
  </si>
  <si>
    <t xml:space="preserve">Fact#: 360155-362676 Rec#: 33317 GILBERT SILVA CECILIA MARIA </t>
  </si>
  <si>
    <t>IC-7607</t>
  </si>
  <si>
    <t xml:space="preserve">Fact#: 3918-4137-4354 Rec#: 33316 CALLE DURAN DIEGO VINICIO </t>
  </si>
  <si>
    <t>IC-7606</t>
  </si>
  <si>
    <t xml:space="preserve">Fact#: 358778-361301 Rec#: 18186 JORJY JIMY RIVERA MONTIEL </t>
  </si>
  <si>
    <t>IC-7589</t>
  </si>
  <si>
    <t xml:space="preserve">Fact#: 361893 Rec#: 18185 SEGOVIA TOMALA DENNIS ABEL </t>
  </si>
  <si>
    <t>IC-7588</t>
  </si>
  <si>
    <t xml:space="preserve">Fact#: 337642-340633-344158 Rec#: 18184 NELSON ENRIQUE FLORES ENRIQUEZ </t>
  </si>
  <si>
    <t>IC-7587</t>
  </si>
  <si>
    <t xml:space="preserve">Fact#: 359365-361890 Rec#: 18183 JIMA BRAVO  JOSE FLORENCIO  </t>
  </si>
  <si>
    <t>IC-7586</t>
  </si>
  <si>
    <t xml:space="preserve">Fact#: 359082-361600 Rec#: 18182 CHACHA MOREIRA SINTIA PAOLA </t>
  </si>
  <si>
    <t>IC-7585</t>
  </si>
  <si>
    <t xml:space="preserve">Fact#: 357799-360269-362772 Rec#: 18181 VALENCIA ANGULO AMIRA MERCEDES </t>
  </si>
  <si>
    <t>IC-7584</t>
  </si>
  <si>
    <t xml:space="preserve">Fact#: 361713 Rec#: 18180 GONZALEZ MURO CARLOS LUIS </t>
  </si>
  <si>
    <t>IC-7583</t>
  </si>
  <si>
    <t xml:space="preserve">Fact#: 360939 Rec#: 18179 CAROLA MISHEL ABISAAB MEDINA </t>
  </si>
  <si>
    <t>IC-7582</t>
  </si>
  <si>
    <t xml:space="preserve">Fact#: 362466 Rec#: 18178 GANCINO TOAPANTA NAPOLEON ISRAEL </t>
  </si>
  <si>
    <t>IC-7581</t>
  </si>
  <si>
    <t xml:space="preserve">Fact#: 356180-358663-361189 Rec#: 18177 JONATHAN XAVIER RIVAS FIGUEROA </t>
  </si>
  <si>
    <t>IC-7580</t>
  </si>
  <si>
    <t xml:space="preserve">Fact#: 362197 Rec#: 18176 AVILES PEREZ ALFONSO </t>
  </si>
  <si>
    <t>IC-7579</t>
  </si>
  <si>
    <t xml:space="preserve">Fact#: 361781 Rec#: 18175 CALI PINCAY SANDRA ELIZABETH  </t>
  </si>
  <si>
    <t>IC-7578</t>
  </si>
  <si>
    <t xml:space="preserve">Fact#: 356331-358809-361331 Rec#: 18174 SILVIA FILOMENA MOLINA BARONA </t>
  </si>
  <si>
    <t>IC-7577</t>
  </si>
  <si>
    <t xml:space="preserve">Fact#: 359284-361808 Rec#: 18173 APOLO QUEZADA IVAN RAMIRO </t>
  </si>
  <si>
    <t>IC-7576</t>
  </si>
  <si>
    <t xml:space="preserve">Fact#: 335416-338358-341350-344874 Rec#: 18172 SOLEDISPA LAVAYEN DANNY ARNULFO </t>
  </si>
  <si>
    <t>IC-7575</t>
  </si>
  <si>
    <t xml:space="preserve">Fact#: 356515-358990-361510 Rec#: 18171 TAMAYO CARABALLOSO LISANDRA MERCEDES </t>
  </si>
  <si>
    <t>IC-7574</t>
  </si>
  <si>
    <t xml:space="preserve">Fact#: 361973 Rec#: 18170 ORTEGA ARGUELLO GISELLA LORENA </t>
  </si>
  <si>
    <t>IC-7573</t>
  </si>
  <si>
    <t xml:space="preserve">Fact#: 361671 Rec#: 18169 DIAZ CHAMBA WALTER OVIDIO </t>
  </si>
  <si>
    <t>IC-7572</t>
  </si>
  <si>
    <t xml:space="preserve">Fact#: 362799 Rec#: 18168 FLORES CORTEZ KETTY BEATRIZ </t>
  </si>
  <si>
    <t>IC-7571</t>
  </si>
  <si>
    <t xml:space="preserve">Fact#: 360928 Rec#: 18167 BELINDA LEONOR QUIJANO GOMEZ </t>
  </si>
  <si>
    <t>IC-7570</t>
  </si>
  <si>
    <t xml:space="preserve">Fact#: 356666-359137-361659 Rec#: 18166 ELIZALDE MAZZINI PAULINA GABRIELA </t>
  </si>
  <si>
    <t>IC-7569</t>
  </si>
  <si>
    <t xml:space="preserve">Fact#: 358674-361199 Rec#: 18164 LUIS JOSE GUTIERREZ CASTILLO </t>
  </si>
  <si>
    <t>IC-7567</t>
  </si>
  <si>
    <t xml:space="preserve">Fact#: 346387-348836 Rec#: 18163 HUAYAMAVE GOMEZ BYRON JAVIER </t>
  </si>
  <si>
    <t>IC-7566</t>
  </si>
  <si>
    <t xml:space="preserve">Fact#: 358631-361159 Rec#: 18162 GLORIA GABRIELA VARGAS ACUÑA </t>
  </si>
  <si>
    <t>IC-7565</t>
  </si>
  <si>
    <t xml:space="preserve">Fact#: 359163-361686 Rec#: 18161 CARRASCO ARANA LEONELA MERCEDES </t>
  </si>
  <si>
    <t>IC-7564</t>
  </si>
  <si>
    <t>ICAZA RIVAS ENRIQUE MEDARDO CANCELA TELEFONO 3909448 ABONA SGTE FACTURA, PAGO WESTERN UNION</t>
  </si>
  <si>
    <t>AT-3293</t>
  </si>
  <si>
    <t>Jun/2021</t>
  </si>
  <si>
    <t>3908534</t>
  </si>
  <si>
    <t>3909959</t>
  </si>
  <si>
    <t>3960265</t>
  </si>
  <si>
    <t>3908204</t>
  </si>
  <si>
    <t>3907791</t>
  </si>
  <si>
    <t>at-3302</t>
  </si>
  <si>
    <t xml:space="preserve">ESPINOSA RAMIREZ RAUL                   </t>
  </si>
  <si>
    <t xml:space="preserve">MARCHELLE GUIM GINO                     </t>
  </si>
  <si>
    <t xml:space="preserve">JURADO VELEZ JONNY EUGENIO              </t>
  </si>
  <si>
    <t xml:space="preserve">LINO MARTIN  BRITO BRITO                </t>
  </si>
  <si>
    <t xml:space="preserve">PINO ARROBA ALVARO ERNESTO              </t>
  </si>
  <si>
    <t xml:space="preserve">CESAR AUGUSTO  RADA AGUIRRE             </t>
  </si>
  <si>
    <t xml:space="preserve">HOLGUIN LOOR ALEX STALIN                </t>
  </si>
  <si>
    <t xml:space="preserve">GARCIA DROUET ENRIQUE RICARDO           </t>
  </si>
  <si>
    <t xml:space="preserve">COMISARIATO FRIGOCAMPO COFRI S          </t>
  </si>
  <si>
    <t>3908483</t>
  </si>
  <si>
    <t>3900244</t>
  </si>
  <si>
    <t>3908462</t>
  </si>
  <si>
    <t>3909789</t>
  </si>
  <si>
    <t>3907152</t>
  </si>
  <si>
    <t>3909261</t>
  </si>
  <si>
    <t xml:space="preserve">FERNANDEZ ORMAZA MONICA JOHAIR          </t>
  </si>
  <si>
    <t xml:space="preserve">PERALTA AVILES MIGUEL ANGEL             </t>
  </si>
  <si>
    <t xml:space="preserve">ERIKA SUGEY ANCHUNDIA ALVARADO          </t>
  </si>
  <si>
    <t xml:space="preserve">EDDIE ENRIQUE HERRERA MEDINA            </t>
  </si>
  <si>
    <t xml:space="preserve">CORPALVAH S A                           </t>
  </si>
  <si>
    <t xml:space="preserve">YEPEZ MOREIRA TOMAS MIGUEL              </t>
  </si>
  <si>
    <t>BCO PACIFICO MES DE JUNIO</t>
  </si>
  <si>
    <t>0924657562</t>
  </si>
  <si>
    <t>3909198</t>
  </si>
  <si>
    <t>0925432734</t>
  </si>
  <si>
    <t>3906966</t>
  </si>
  <si>
    <t>0992846836001</t>
  </si>
  <si>
    <t>3930167</t>
  </si>
  <si>
    <t>0922600085</t>
  </si>
  <si>
    <t>3909533</t>
  </si>
  <si>
    <t>13:59:49</t>
  </si>
  <si>
    <t>1705577540</t>
  </si>
  <si>
    <t>23923345</t>
  </si>
  <si>
    <t>15:36:45</t>
  </si>
  <si>
    <t>0910940501</t>
  </si>
  <si>
    <t>3909547</t>
  </si>
  <si>
    <t>15:29:05</t>
  </si>
  <si>
    <t>0920960911</t>
  </si>
  <si>
    <t>3909270</t>
  </si>
  <si>
    <t>0918646977</t>
  </si>
  <si>
    <t>3908938</t>
  </si>
  <si>
    <t>15:56:28</t>
  </si>
  <si>
    <t>REC-5987-GFL4-302259</t>
  </si>
  <si>
    <t>07:42:22</t>
  </si>
  <si>
    <t>20210617</t>
  </si>
  <si>
    <t>REC-5987-GFL4-302422</t>
  </si>
  <si>
    <t>08:00:14</t>
  </si>
  <si>
    <t>REC-096-HG9K-328331</t>
  </si>
  <si>
    <t>10:22:31</t>
  </si>
  <si>
    <t>REC-5310-Z4YZ-313422</t>
  </si>
  <si>
    <t>11:32:26</t>
  </si>
  <si>
    <t>REC-245-BEJI-701240</t>
  </si>
  <si>
    <t>REC-3095-T359-451717</t>
  </si>
  <si>
    <t>14:22:58</t>
  </si>
  <si>
    <t>REC-5695-A2E3-36477</t>
  </si>
  <si>
    <t>14:28:39</t>
  </si>
  <si>
    <t>REC-348-AB9D-175001</t>
  </si>
  <si>
    <t>REC-348-AB9D-175002</t>
  </si>
  <si>
    <t>14:46:06</t>
  </si>
  <si>
    <t>REC-096-LIO1-570511</t>
  </si>
  <si>
    <t>15:59:38</t>
  </si>
  <si>
    <t>REC-3809-A3ZD-49775</t>
  </si>
  <si>
    <t>16:33:49</t>
  </si>
  <si>
    <t>REC-5568-A20P-56207</t>
  </si>
  <si>
    <t>17:00:30</t>
  </si>
  <si>
    <t>REC-4164-A1CB-139576</t>
  </si>
  <si>
    <t>17:19:45</t>
  </si>
  <si>
    <t>REC-944-PR10-450693</t>
  </si>
  <si>
    <t>17:55:32</t>
  </si>
  <si>
    <t>REC-3370-A6JI-285378</t>
  </si>
  <si>
    <t>19:49:39</t>
  </si>
  <si>
    <t>REC-3187-A2UB-179370</t>
  </si>
  <si>
    <t>20:25:40</t>
  </si>
  <si>
    <t>REC-678-3V18-591242</t>
  </si>
  <si>
    <t>09:03:13</t>
  </si>
  <si>
    <t>20210616</t>
  </si>
  <si>
    <t>REC-048-AFEP-266688</t>
  </si>
  <si>
    <t>09:56:25</t>
  </si>
  <si>
    <t>REC-7433-PR32-273379</t>
  </si>
  <si>
    <t>10:22:50</t>
  </si>
  <si>
    <t>REC-072-A6LX-228927</t>
  </si>
  <si>
    <t>10:28:58</t>
  </si>
  <si>
    <t>REC-072-AJ3R-268777</t>
  </si>
  <si>
    <t>10:37:55</t>
  </si>
  <si>
    <t>REC-072-4PW8-225361</t>
  </si>
  <si>
    <t>11:13:19</t>
  </si>
  <si>
    <t>REC-072-4PW8-225362</t>
  </si>
  <si>
    <t>11:13:53</t>
  </si>
  <si>
    <t>REC-5620-A1012-281946</t>
  </si>
  <si>
    <t>12:52:05</t>
  </si>
  <si>
    <t>REC-072-TTF1-338048</t>
  </si>
  <si>
    <t>13:32:33</t>
  </si>
  <si>
    <t>0951063957</t>
  </si>
  <si>
    <t>3908174</t>
  </si>
  <si>
    <t>REC-3161-KURB-461088</t>
  </si>
  <si>
    <t>14:04:35</t>
  </si>
  <si>
    <t>REC-061-A1AW-64450</t>
  </si>
  <si>
    <t>14:23:32</t>
  </si>
  <si>
    <t>REC-072-AV01-16725</t>
  </si>
  <si>
    <t>14:39:01</t>
  </si>
  <si>
    <t>REC-390-BBF4-332058</t>
  </si>
  <si>
    <t>15:18:20</t>
  </si>
  <si>
    <t>REC-3371-EGEG-282306</t>
  </si>
  <si>
    <t>15:30:25</t>
  </si>
  <si>
    <t>REC-223-V7XD-303246</t>
  </si>
  <si>
    <t>15:31:56</t>
  </si>
  <si>
    <t>REC-267-B13P-1593592</t>
  </si>
  <si>
    <t>15:35:08</t>
  </si>
  <si>
    <t>REC-3109-TTH2-707822</t>
  </si>
  <si>
    <t>15:37:26</t>
  </si>
  <si>
    <t>1309869707</t>
  </si>
  <si>
    <t>3909322</t>
  </si>
  <si>
    <t>REC-609-A1M3-344360</t>
  </si>
  <si>
    <t>16:07:23</t>
  </si>
  <si>
    <t>REC-4654-ART3-293237</t>
  </si>
  <si>
    <t>16:49:18</t>
  </si>
  <si>
    <t>REC-620-VWAG-137751</t>
  </si>
  <si>
    <t>17:22:20</t>
  </si>
  <si>
    <t>REC-3370-A6JI-285236</t>
  </si>
  <si>
    <t>19:40:02</t>
  </si>
  <si>
    <t>REC-3295-1TWC-239118</t>
  </si>
  <si>
    <t>19:06:20</t>
  </si>
  <si>
    <t>20210615</t>
  </si>
  <si>
    <t>REC-348-1R2Q-467259</t>
  </si>
  <si>
    <t>10:19:51</t>
  </si>
  <si>
    <t>0701739526</t>
  </si>
  <si>
    <t>3909483</t>
  </si>
  <si>
    <t>REC-7277-RQ46-234203</t>
  </si>
  <si>
    <t>10:39:41</t>
  </si>
  <si>
    <t>0926714700</t>
  </si>
  <si>
    <t>3906780</t>
  </si>
  <si>
    <t>REC-3161-KURB-460879</t>
  </si>
  <si>
    <t>10:44:17</t>
  </si>
  <si>
    <t>REC-241-BEJD-594714</t>
  </si>
  <si>
    <t>11:54:50</t>
  </si>
  <si>
    <t>REC-3412-PTE5-242085</t>
  </si>
  <si>
    <t>12:42:47</t>
  </si>
  <si>
    <t>REC-3187-A2UE-68096</t>
  </si>
  <si>
    <t>12:59:15</t>
  </si>
  <si>
    <t>REC-3187-A2UE-68101</t>
  </si>
  <si>
    <t>13:40:45</t>
  </si>
  <si>
    <t>REC-223-B7CD-610172</t>
  </si>
  <si>
    <t>15:15:04</t>
  </si>
  <si>
    <t>REC-536-TDSM-172198</t>
  </si>
  <si>
    <t>15:29:46</t>
  </si>
  <si>
    <t>REC-4319-1AH9-12576</t>
  </si>
  <si>
    <t>16:42:37</t>
  </si>
  <si>
    <t>REC-3577-A1IU-177702</t>
  </si>
  <si>
    <t>16:44:00</t>
  </si>
  <si>
    <t>REC-043-HXVM-331667</t>
  </si>
  <si>
    <t>17:04:59</t>
  </si>
  <si>
    <t>REC-3175-C8JC-335467</t>
  </si>
  <si>
    <t>17:37:03</t>
  </si>
  <si>
    <t>REC-072-TTF1-337948</t>
  </si>
  <si>
    <t>18:18:58</t>
  </si>
  <si>
    <t>REC-3022-FNNL-565761</t>
  </si>
  <si>
    <t>18:38:22</t>
  </si>
  <si>
    <t>REC-3520-A1CH-293441</t>
  </si>
  <si>
    <t>09:09:21</t>
  </si>
  <si>
    <t>20210614</t>
  </si>
  <si>
    <t>REC-478-A723-3164</t>
  </si>
  <si>
    <t>09:40:15</t>
  </si>
  <si>
    <t>REC-678-3V18-591045</t>
  </si>
  <si>
    <t>09:44:46</t>
  </si>
  <si>
    <t>REC-986-B099-3417</t>
  </si>
  <si>
    <t>10:24:00</t>
  </si>
  <si>
    <t>REC-3371-LD0C-318839</t>
  </si>
  <si>
    <t>10:31:26</t>
  </si>
  <si>
    <t>REC-226-B7CC-746401</t>
  </si>
  <si>
    <t>11:12:19</t>
  </si>
  <si>
    <t>REC-3161-KURB-460757</t>
  </si>
  <si>
    <t>11:57:37</t>
  </si>
  <si>
    <t>at-3296</t>
  </si>
  <si>
    <t>REC-3023-IZCF-600346</t>
  </si>
  <si>
    <t>12:30:31</t>
  </si>
  <si>
    <t>REC-061-A6S4-165848</t>
  </si>
  <si>
    <t>12:58:31</t>
  </si>
  <si>
    <t>0926639022</t>
  </si>
  <si>
    <t>3930252</t>
  </si>
  <si>
    <t>REC-390-SB17-615338</t>
  </si>
  <si>
    <t>13:45:00</t>
  </si>
  <si>
    <t>REC-3422-A3IU-656480</t>
  </si>
  <si>
    <t>13:55:20</t>
  </si>
  <si>
    <t>REC-072-AV01-16361</t>
  </si>
  <si>
    <t>REC-678-3V18-591111</t>
  </si>
  <si>
    <t>14:40:07</t>
  </si>
  <si>
    <t>REC-3360-IPEN-245324</t>
  </si>
  <si>
    <t>15:06:59</t>
  </si>
  <si>
    <t>REC-224-B7CE-24426</t>
  </si>
  <si>
    <t>15:16:18</t>
  </si>
  <si>
    <t>REC-543-U5H7-589086</t>
  </si>
  <si>
    <t>15:19:46</t>
  </si>
  <si>
    <t>REC-048-QNCI-648452</t>
  </si>
  <si>
    <t>REC-048-QNCI-648453</t>
  </si>
  <si>
    <t>REC-096-LIO1-570250</t>
  </si>
  <si>
    <t>16:42:51</t>
  </si>
  <si>
    <t>REC-4810-FSJ5-217673</t>
  </si>
  <si>
    <t>16:53:00</t>
  </si>
  <si>
    <t>REC-3187-A2UB-178979</t>
  </si>
  <si>
    <t>17:38:22</t>
  </si>
  <si>
    <t>REC-3109-TTH2-707636</t>
  </si>
  <si>
    <t>REC-4963-A3A0-223361</t>
  </si>
  <si>
    <t>19:02:30</t>
  </si>
  <si>
    <t>REC-3414-PTE7-173552</t>
  </si>
  <si>
    <t>10:25:04</t>
  </si>
  <si>
    <t>20210613</t>
  </si>
  <si>
    <t>REC-3792-A24Z-589439</t>
  </si>
  <si>
    <t>13:56:56</t>
  </si>
  <si>
    <t>REC-3792-A24Z-589448</t>
  </si>
  <si>
    <t>14:14:53</t>
  </si>
  <si>
    <t>REC-223-B7CD-609863</t>
  </si>
  <si>
    <t>18:05:07</t>
  </si>
  <si>
    <t>REC-3172-LIO3-87684</t>
  </si>
  <si>
    <t>11:54:01</t>
  </si>
  <si>
    <t>20210612</t>
  </si>
  <si>
    <t>0923793624</t>
  </si>
  <si>
    <t>3909367</t>
  </si>
  <si>
    <t>REC-7902-A7P3-5378</t>
  </si>
  <si>
    <t>11:56:49</t>
  </si>
  <si>
    <t>REC-3187-A2UE-67749</t>
  </si>
  <si>
    <t>14:16:02</t>
  </si>
  <si>
    <t>REC-061-A1AW-64286</t>
  </si>
  <si>
    <t>14:49:47</t>
  </si>
  <si>
    <t>REC-226-B7CC-746280</t>
  </si>
  <si>
    <t>15:01:08</t>
  </si>
  <si>
    <t>1305440420</t>
  </si>
  <si>
    <t>3909346</t>
  </si>
  <si>
    <t>REC-4960-A1QG-121536</t>
  </si>
  <si>
    <t>17:41:10</t>
  </si>
  <si>
    <t>REC-5635-A2YS-50611</t>
  </si>
  <si>
    <t>18:51:03</t>
  </si>
  <si>
    <t>REC-3187-A2UE-67664</t>
  </si>
  <si>
    <t>19:09:24</t>
  </si>
  <si>
    <t>20210611</t>
  </si>
  <si>
    <t>REC-3187-A2UE-67673</t>
  </si>
  <si>
    <t>19:37:11</t>
  </si>
  <si>
    <t>REC-3161-KURB-460473</t>
  </si>
  <si>
    <t>11:28:19</t>
  </si>
  <si>
    <t>REC-3533-CP5G-362653</t>
  </si>
  <si>
    <t>12:14:42</t>
  </si>
  <si>
    <t>1713935714</t>
  </si>
  <si>
    <t>3909517</t>
  </si>
  <si>
    <t>REC-3792-A39T-142129</t>
  </si>
  <si>
    <t>12:50:12</t>
  </si>
  <si>
    <t>0910552793</t>
  </si>
  <si>
    <t>3907533</t>
  </si>
  <si>
    <t>REC-4164-A1CB-139166</t>
  </si>
  <si>
    <t>14:13:54</t>
  </si>
  <si>
    <t>REC-3371-EFX5-200079</t>
  </si>
  <si>
    <t>14:30:28</t>
  </si>
  <si>
    <t>REC-4164-A1CB-139174</t>
  </si>
  <si>
    <t>15:44:44</t>
  </si>
  <si>
    <t>REC-096-DCIZ-482940</t>
  </si>
  <si>
    <t>15:53:38</t>
  </si>
  <si>
    <t>0919166348</t>
  </si>
  <si>
    <t>3903565</t>
  </si>
  <si>
    <t>REC-3170-YGVG-346478</t>
  </si>
  <si>
    <t>16:02:48</t>
  </si>
  <si>
    <t>REC-3189-YWSY-179503</t>
  </si>
  <si>
    <t>16:09:41</t>
  </si>
  <si>
    <t>REC-3295-1T8A-223256</t>
  </si>
  <si>
    <t>09:48:33</t>
  </si>
  <si>
    <t>20210610</t>
  </si>
  <si>
    <t>REC-342-EBMO-306905</t>
  </si>
  <si>
    <t>10:49:07</t>
  </si>
  <si>
    <t>REC-342-EBMO-306906</t>
  </si>
  <si>
    <t>10:49:25</t>
  </si>
  <si>
    <t>REC-096-ZU7N-275973</t>
  </si>
  <si>
    <t>10:58:06</t>
  </si>
  <si>
    <t>REC-049-A518-1583615</t>
  </si>
  <si>
    <t>12:00:13</t>
  </si>
  <si>
    <t>0926410291</t>
  </si>
  <si>
    <t>3909254</t>
  </si>
  <si>
    <t>REC-028-AJSG-579788</t>
  </si>
  <si>
    <t>12:04:36</t>
  </si>
  <si>
    <t>REC-3815-A3ZR-30233</t>
  </si>
  <si>
    <t>12:05:53</t>
  </si>
  <si>
    <t>0912372190</t>
  </si>
  <si>
    <t>3909495</t>
  </si>
  <si>
    <t>REC-3260-CTO1-98193</t>
  </si>
  <si>
    <t>12:31:09</t>
  </si>
  <si>
    <t>REC-4179-LOE1-101755</t>
  </si>
  <si>
    <t>13:47:57</t>
  </si>
  <si>
    <t>REC-3295-1T8E-246954</t>
  </si>
  <si>
    <t>14:03:05</t>
  </si>
  <si>
    <t>REC-3295-1T8E-246955</t>
  </si>
  <si>
    <t>REC-7812-PT01-1765</t>
  </si>
  <si>
    <t>14:23:12</t>
  </si>
  <si>
    <t>REC-5310-Z4YZ-103647</t>
  </si>
  <si>
    <t>14:27:59</t>
  </si>
  <si>
    <t>REC-5460-A2UF-42221</t>
  </si>
  <si>
    <t>14:33:50</t>
  </si>
  <si>
    <t>REC-4961-A24R-56962</t>
  </si>
  <si>
    <t>14:35:40</t>
  </si>
  <si>
    <t>REC-6397-A5XK-28393</t>
  </si>
  <si>
    <t>14:41:00</t>
  </si>
  <si>
    <t>REC-4257-A219-177059</t>
  </si>
  <si>
    <t>15:40:35</t>
  </si>
  <si>
    <t>REC-518-RI6X-448248</t>
  </si>
  <si>
    <t>19:26:56</t>
  </si>
  <si>
    <t>REC-096-DCIZ-482731</t>
  </si>
  <si>
    <t>10:00:28</t>
  </si>
  <si>
    <t>20210609</t>
  </si>
  <si>
    <t>REC-5680-PS51-51923</t>
  </si>
  <si>
    <t>10:03:47</t>
  </si>
  <si>
    <t>REC-4316-IOU4-52918</t>
  </si>
  <si>
    <t>10:21:14</t>
  </si>
  <si>
    <t>REC-3172-YIGY-295121</t>
  </si>
  <si>
    <t>10:30:59</t>
  </si>
  <si>
    <t>0929738672</t>
  </si>
  <si>
    <t>3909457</t>
  </si>
  <si>
    <t>REC-4319-1AH9-12413</t>
  </si>
  <si>
    <t>11:29:43</t>
  </si>
  <si>
    <t>REC-613-BK8R-434164</t>
  </si>
  <si>
    <t>11:33:26</t>
  </si>
  <si>
    <t>N8497409</t>
  </si>
  <si>
    <t>3900357</t>
  </si>
  <si>
    <t>REC-4319-A1I3-31418</t>
  </si>
  <si>
    <t>11:33:42</t>
  </si>
  <si>
    <t>REC-7779-SS95-61575</t>
  </si>
  <si>
    <t>12:35:20</t>
  </si>
  <si>
    <t>REC-061-A6S3-223915</t>
  </si>
  <si>
    <t>14:16:44</t>
  </si>
  <si>
    <t>0918941055</t>
  </si>
  <si>
    <t>3902149</t>
  </si>
  <si>
    <t>REC-046-A3YA-141059</t>
  </si>
  <si>
    <t>14:31:21</t>
  </si>
  <si>
    <t>REC-944-PR10-449872</t>
  </si>
  <si>
    <t>14:56:43</t>
  </si>
  <si>
    <t>REC-3422-A3IU-656107</t>
  </si>
  <si>
    <t>15:04:56</t>
  </si>
  <si>
    <t>REC-3784-ATA2-191818</t>
  </si>
  <si>
    <t>15:05:41</t>
  </si>
  <si>
    <t>REC-4532-A2S9-28421</t>
  </si>
  <si>
    <t>16:12:53</t>
  </si>
  <si>
    <t>REC-536-2GEZ-368874</t>
  </si>
  <si>
    <t>16:18:53</t>
  </si>
  <si>
    <t>REC-096-LIO1-569766</t>
  </si>
  <si>
    <t>17:08:58</t>
  </si>
  <si>
    <t>REC-223-V7XD-302225</t>
  </si>
  <si>
    <t>17:16:32</t>
  </si>
  <si>
    <t>REC-536-TDSM-171741</t>
  </si>
  <si>
    <t>17:21:39</t>
  </si>
  <si>
    <t>REC-061-SPOX-309439</t>
  </si>
  <si>
    <t>17:21:57</t>
  </si>
  <si>
    <t>REC-3109-TTH2-707170</t>
  </si>
  <si>
    <t>17:28:22</t>
  </si>
  <si>
    <t>REC-3295-1T8E-246935</t>
  </si>
  <si>
    <t>19:11:49</t>
  </si>
  <si>
    <t>REC-3784-ATA2-191833</t>
  </si>
  <si>
    <t>19:26:54</t>
  </si>
  <si>
    <t>REC-223-B7CD-608991</t>
  </si>
  <si>
    <t>09:16:39</t>
  </si>
  <si>
    <t>20210608</t>
  </si>
  <si>
    <t>REC-048-AFEP-265948</t>
  </si>
  <si>
    <t>09:47:10</t>
  </si>
  <si>
    <t>REC-3023-IZCF-599791</t>
  </si>
  <si>
    <t>10:52:21</t>
  </si>
  <si>
    <t>REC-5645-A1066-4104</t>
  </si>
  <si>
    <t>11:27:15</t>
  </si>
  <si>
    <t>0906102439</t>
  </si>
  <si>
    <t>3909512</t>
  </si>
  <si>
    <t>REC-3201-Y46O-454352</t>
  </si>
  <si>
    <t>11:45:40</t>
  </si>
  <si>
    <t>REC-944-PR10-449728</t>
  </si>
  <si>
    <t>11:51:50</t>
  </si>
  <si>
    <t>0993100269001</t>
  </si>
  <si>
    <t>REC-536-2GEZ-368694</t>
  </si>
  <si>
    <t>11:53:30</t>
  </si>
  <si>
    <t>REC-7542-PS29-20252</t>
  </si>
  <si>
    <t>11:57:54</t>
  </si>
  <si>
    <t>REC-072-AV01-15671</t>
  </si>
  <si>
    <t>11:59:42</t>
  </si>
  <si>
    <t>REC-4301-IAI1-20353</t>
  </si>
  <si>
    <t>12:00:16</t>
  </si>
  <si>
    <t>0925102212</t>
  </si>
  <si>
    <t>3909436</t>
  </si>
  <si>
    <t>REC-3175-C8JC-334834</t>
  </si>
  <si>
    <t>13:11:40</t>
  </si>
  <si>
    <t>REC-3370-A6JI-284302</t>
  </si>
  <si>
    <t>13:48:29</t>
  </si>
  <si>
    <t>REC-3370-A6JI-284303</t>
  </si>
  <si>
    <t>13:48:40</t>
  </si>
  <si>
    <t>REC-7451-QPQ1-20254</t>
  </si>
  <si>
    <t>14:09:53</t>
  </si>
  <si>
    <t>REC-7984-A772-27974</t>
  </si>
  <si>
    <t>14:16:43</t>
  </si>
  <si>
    <t>REC-049-A2U2-71398</t>
  </si>
  <si>
    <t>14:17:39</t>
  </si>
  <si>
    <t>REC-551-B2PQ-329113</t>
  </si>
  <si>
    <t>14:50:28</t>
  </si>
  <si>
    <t>REC-165-LOA2-179027</t>
  </si>
  <si>
    <t>15:04:50</t>
  </si>
  <si>
    <t>REC-7100-A69T-18823</t>
  </si>
  <si>
    <t>15:20:09</t>
  </si>
  <si>
    <t>REC-1129-B167-73</t>
  </si>
  <si>
    <t>16:03:03</t>
  </si>
  <si>
    <t>REC-4164-A1LY-156069</t>
  </si>
  <si>
    <t>16:29:16</t>
  </si>
  <si>
    <t>REC-5221-A543-36332</t>
  </si>
  <si>
    <t>16:50:14</t>
  </si>
  <si>
    <t>REC-3422-A25Y-116241</t>
  </si>
  <si>
    <t>REC-028-AJSG-579647</t>
  </si>
  <si>
    <t>18:47:40</t>
  </si>
  <si>
    <t>REC-3792-A24Z-588752</t>
  </si>
  <si>
    <t>18:48:07</t>
  </si>
  <si>
    <t>0916096563</t>
  </si>
  <si>
    <t>3909452</t>
  </si>
  <si>
    <t>REC-342-EBMO-306763</t>
  </si>
  <si>
    <t>19:21:17</t>
  </si>
  <si>
    <t>REC-096-ZU7N-275876</t>
  </si>
  <si>
    <t>20:33:21</t>
  </si>
  <si>
    <t>REC-7916-AV03-3897</t>
  </si>
  <si>
    <t>09:28:39</t>
  </si>
  <si>
    <t>20210607</t>
  </si>
  <si>
    <t>REC-609-A3AI-110343</t>
  </si>
  <si>
    <t>09:32:40</t>
  </si>
  <si>
    <t>REC-4620-A1TY-964218</t>
  </si>
  <si>
    <t>10:09:37</t>
  </si>
  <si>
    <t>0922310339</t>
  </si>
  <si>
    <t>3907671</t>
  </si>
  <si>
    <t>REC-3172-LIO7-131897</t>
  </si>
  <si>
    <t>10:46:58</t>
  </si>
  <si>
    <t>3909218</t>
  </si>
  <si>
    <t>REC-097-AJSC-517126</t>
  </si>
  <si>
    <t>11:43:03</t>
  </si>
  <si>
    <t>REC-097-AJSC-517127</t>
  </si>
  <si>
    <t>11:45:21</t>
  </si>
  <si>
    <t>REC-7057-A66Z-25118</t>
  </si>
  <si>
    <t>13:12:54</t>
  </si>
  <si>
    <t>REC-3187-YWS5-627111</t>
  </si>
  <si>
    <t>13:34:54</t>
  </si>
  <si>
    <t>REC-4866-A1XE-983318</t>
  </si>
  <si>
    <t>13:57:42</t>
  </si>
  <si>
    <t>REC-609-A1M3-343626</t>
  </si>
  <si>
    <t>14:03:30</t>
  </si>
  <si>
    <t>REC-3792-A24Z-588462</t>
  </si>
  <si>
    <t>15:07:56</t>
  </si>
  <si>
    <t>REC-3187-A2UB-178437</t>
  </si>
  <si>
    <t>15:29:11</t>
  </si>
  <si>
    <t>REC-5310-Z4YZ-991040</t>
  </si>
  <si>
    <t>15:40:22</t>
  </si>
  <si>
    <t>REC-245-BEJI-700030</t>
  </si>
  <si>
    <t>15:50:56</t>
  </si>
  <si>
    <t>0916649700</t>
  </si>
  <si>
    <t>3900046</t>
  </si>
  <si>
    <t>REC-4313-IAI9-992351</t>
  </si>
  <si>
    <t>15:59:46</t>
  </si>
  <si>
    <t>REC-585-ZQVC-473117</t>
  </si>
  <si>
    <t>16:13:59</t>
  </si>
  <si>
    <t>REC-061-A13Z-55884</t>
  </si>
  <si>
    <t>16:20:57</t>
  </si>
  <si>
    <t>REC-5635-A2YS-50072</t>
  </si>
  <si>
    <t>17:07:54</t>
  </si>
  <si>
    <t>0959757758</t>
  </si>
  <si>
    <t>3909143</t>
  </si>
  <si>
    <t>REC-4743-FSC1-999445</t>
  </si>
  <si>
    <t>17:29:47</t>
  </si>
  <si>
    <t>REC-3182-YQG9-301997</t>
  </si>
  <si>
    <t>REC-5635-A2YS-50081</t>
  </si>
  <si>
    <t>17:51:08</t>
  </si>
  <si>
    <t>REC-3187-A2UB-178464</t>
  </si>
  <si>
    <t>18:13:49</t>
  </si>
  <si>
    <t>REC-5635-A2YS-50088</t>
  </si>
  <si>
    <t>18:20:12</t>
  </si>
  <si>
    <t>REC-4164-A19P-181072</t>
  </si>
  <si>
    <t>18:48:22</t>
  </si>
  <si>
    <t>1756920896</t>
  </si>
  <si>
    <t>3903531</t>
  </si>
  <si>
    <t>REC-7809-LV49-3022</t>
  </si>
  <si>
    <t>19:43:53</t>
  </si>
  <si>
    <t>0920734530</t>
  </si>
  <si>
    <t>3909390</t>
  </si>
  <si>
    <t>REC-3200-SAMK-248624</t>
  </si>
  <si>
    <t>09:51:03</t>
  </si>
  <si>
    <t>20210606</t>
  </si>
  <si>
    <t>REC-4910-A22F-32369</t>
  </si>
  <si>
    <t>10:48:16</t>
  </si>
  <si>
    <t>REC-008-PB65-404206</t>
  </si>
  <si>
    <t>13:20:29</t>
  </si>
  <si>
    <t>REC-609-A1M3-343522</t>
  </si>
  <si>
    <t>13:48:32</t>
  </si>
  <si>
    <t>REC-3834-A4T5-113377</t>
  </si>
  <si>
    <t>15:37:11</t>
  </si>
  <si>
    <t>REC-5310-Z4YZ-954392</t>
  </si>
  <si>
    <t>19:47:15</t>
  </si>
  <si>
    <t>REC-3792-A39T-141418</t>
  </si>
  <si>
    <t>10:26:42</t>
  </si>
  <si>
    <t>20210605</t>
  </si>
  <si>
    <t>REC-5762-FE91-922065</t>
  </si>
  <si>
    <t>REC-008-PB65-404089</t>
  </si>
  <si>
    <t>11:35:12</t>
  </si>
  <si>
    <t>REC-008-PB65-404090</t>
  </si>
  <si>
    <t>11:36:05</t>
  </si>
  <si>
    <t>REC-008-PB65-404091</t>
  </si>
  <si>
    <t>REC-008-PB65-404092</t>
  </si>
  <si>
    <t>REC-663-CU33-1491762</t>
  </si>
  <si>
    <t>12:12:53</t>
  </si>
  <si>
    <t>REC-3172-LIO7-131725</t>
  </si>
  <si>
    <t>12:16:50</t>
  </si>
  <si>
    <t>REC-342-EBMO-306393</t>
  </si>
  <si>
    <t>13:44:43</t>
  </si>
  <si>
    <t>REC-342-VEHD-494431</t>
  </si>
  <si>
    <t>14:11:32</t>
  </si>
  <si>
    <t>REC-3022-A364-150250</t>
  </si>
  <si>
    <t>14:13:55</t>
  </si>
  <si>
    <t>REC-7608-PS84-932405</t>
  </si>
  <si>
    <t>14:48:35</t>
  </si>
  <si>
    <t>REC-609-A1M3-343387</t>
  </si>
  <si>
    <t>REC-048-AFEP-265840</t>
  </si>
  <si>
    <t>15:08:29</t>
  </si>
  <si>
    <t>REC-4717-FRZ4-933560</t>
  </si>
  <si>
    <t>15:24:30</t>
  </si>
  <si>
    <t>REC-3370-A6JI-284018</t>
  </si>
  <si>
    <t>16:33:23</t>
  </si>
  <si>
    <t>REC-3370-A6JI-284019</t>
  </si>
  <si>
    <t>16:33:41</t>
  </si>
  <si>
    <t>REC-004-P4FN-114931</t>
  </si>
  <si>
    <t>16:33:45</t>
  </si>
  <si>
    <t>REC-3161-KURB-459854</t>
  </si>
  <si>
    <t>17:39:43</t>
  </si>
  <si>
    <t>0923837017</t>
  </si>
  <si>
    <t>3902501</t>
  </si>
  <si>
    <t>REC-5585-RQ83-43098</t>
  </si>
  <si>
    <t>17:59:30</t>
  </si>
  <si>
    <t>REC-342-EBMO-306433</t>
  </si>
  <si>
    <t>18:55:07</t>
  </si>
  <si>
    <t>REC-4960-A1QG-120594</t>
  </si>
  <si>
    <t>08:55:57</t>
  </si>
  <si>
    <t>20210604</t>
  </si>
  <si>
    <t>REC-4960-A1QG-120595</t>
  </si>
  <si>
    <t>08:56:17</t>
  </si>
  <si>
    <t>REC-3370-A6JI-283776</t>
  </si>
  <si>
    <t>09:21:45</t>
  </si>
  <si>
    <t>REC-072-TTF1-336589</t>
  </si>
  <si>
    <t>09:52:37</t>
  </si>
  <si>
    <t>REC-355-N45U-596232</t>
  </si>
  <si>
    <t>10:17:31</t>
  </si>
  <si>
    <t>REC-518-RI6W-447340</t>
  </si>
  <si>
    <t>11:10:37</t>
  </si>
  <si>
    <t>0921482428</t>
  </si>
  <si>
    <t>REC-4392-A1LW-39963</t>
  </si>
  <si>
    <t>11:10:39</t>
  </si>
  <si>
    <t>REC-609-A3AI-110154</t>
  </si>
  <si>
    <t>11:15:09</t>
  </si>
  <si>
    <t>REC-5635-A2YS-49792</t>
  </si>
  <si>
    <t>11:39:08</t>
  </si>
  <si>
    <t>REC-3295-1TWC-238279</t>
  </si>
  <si>
    <t>12:38:10</t>
  </si>
  <si>
    <t>REC-3370-A6JI-283849</t>
  </si>
  <si>
    <t>13:34:50</t>
  </si>
  <si>
    <t>REC-045-VMU0-368913</t>
  </si>
  <si>
    <t>13:41:39</t>
  </si>
  <si>
    <t>REC-3172-LIO4-261994</t>
  </si>
  <si>
    <t>14:03:40</t>
  </si>
  <si>
    <t>REC-3520-A1CH-292261</t>
  </si>
  <si>
    <t>14:39:31</t>
  </si>
  <si>
    <t>0910486208</t>
  </si>
  <si>
    <t>3909507</t>
  </si>
  <si>
    <t>REC-4202-A16N-9269</t>
  </si>
  <si>
    <t>15:10:57</t>
  </si>
  <si>
    <t>REC-223-B7CD-608541</t>
  </si>
  <si>
    <t>15:27:42</t>
  </si>
  <si>
    <t>REC-3182-YQHG-246738</t>
  </si>
  <si>
    <t>15:34:49</t>
  </si>
  <si>
    <t>REC-3182-YQHE-257306</t>
  </si>
  <si>
    <t>16:19:18</t>
  </si>
  <si>
    <t>REC-5680-PS51-905938</t>
  </si>
  <si>
    <t>16:35:48</t>
  </si>
  <si>
    <t>REC-3201-Y46O-453817</t>
  </si>
  <si>
    <t>17:44:05</t>
  </si>
  <si>
    <t>REC-008-PB65-404062</t>
  </si>
  <si>
    <t>20:33:28</t>
  </si>
  <si>
    <t>REC-3371-EGEG-280518</t>
  </si>
  <si>
    <t>10:28:06</t>
  </si>
  <si>
    <t>20210603</t>
  </si>
  <si>
    <t>REC-3175-A3LN-156373</t>
  </si>
  <si>
    <t>10:47:48</t>
  </si>
  <si>
    <t>REC-518-RI6X-447586</t>
  </si>
  <si>
    <t>10:56:42</t>
  </si>
  <si>
    <t>REC-609-A3AI-110000</t>
  </si>
  <si>
    <t>10:59:02</t>
  </si>
  <si>
    <t>REC-5635-A2YS-49669</t>
  </si>
  <si>
    <t>11:25:59</t>
  </si>
  <si>
    <t>REC-5117-A283-6106</t>
  </si>
  <si>
    <t>11:27:50</t>
  </si>
  <si>
    <t>REC-095-AJSE-700071</t>
  </si>
  <si>
    <t>11:31:47</t>
  </si>
  <si>
    <t>0923226211</t>
  </si>
  <si>
    <t>3909330</t>
  </si>
  <si>
    <t>REC-3392-A39W-434829</t>
  </si>
  <si>
    <t>12:28:03</t>
  </si>
  <si>
    <t>REC-3175-C8JC-334402</t>
  </si>
  <si>
    <t>12:38:41</t>
  </si>
  <si>
    <t>REC-4593-TAN5-847381</t>
  </si>
  <si>
    <t>12:51:15</t>
  </si>
  <si>
    <t>REC-5762-FE91-847355</t>
  </si>
  <si>
    <t>12:51:18</t>
  </si>
  <si>
    <t>REC-4963-A3A0-850970</t>
  </si>
  <si>
    <t>13:54:45</t>
  </si>
  <si>
    <t>REC-072-AV01-15192</t>
  </si>
  <si>
    <t>14:04:00</t>
  </si>
  <si>
    <t>REC-4717-FRZ4-855407</t>
  </si>
  <si>
    <t>15:10:31</t>
  </si>
  <si>
    <t>REC-095-AJSE-700130</t>
  </si>
  <si>
    <t>15:13:59</t>
  </si>
  <si>
    <t>REC-095-AJSE-700131</t>
  </si>
  <si>
    <t>15:15:49</t>
  </si>
  <si>
    <t>0919708255</t>
  </si>
  <si>
    <t>3909567</t>
  </si>
  <si>
    <t>REC-224-B7CE-23383</t>
  </si>
  <si>
    <t>REC-3187-A2UE-66899</t>
  </si>
  <si>
    <t>16:37:01</t>
  </si>
  <si>
    <t>REC-3370-A6JI-283738</t>
  </si>
  <si>
    <t>16:52:36</t>
  </si>
  <si>
    <t>REC-3158-KURJ-227462</t>
  </si>
  <si>
    <t>17:08:25</t>
  </si>
  <si>
    <t>REC-4164-A19X-174663</t>
  </si>
  <si>
    <t>17:21:54</t>
  </si>
  <si>
    <t>REC-3520-A1CH-292117</t>
  </si>
  <si>
    <t>18:25:05</t>
  </si>
  <si>
    <t>REC-4866-A1XE-783340</t>
  </si>
  <si>
    <t>08:54:21</t>
  </si>
  <si>
    <t>20210602</t>
  </si>
  <si>
    <t>REC-3109-TTH2-706533</t>
  </si>
  <si>
    <t>09:50:01</t>
  </si>
  <si>
    <t>REC-3295-1TWC-237992</t>
  </si>
  <si>
    <t>10:21:05</t>
  </si>
  <si>
    <t>REC-348-AB9D-172812</t>
  </si>
  <si>
    <t>10:31:48</t>
  </si>
  <si>
    <t>REC-4963-A3A0-792162</t>
  </si>
  <si>
    <t>10:45:29</t>
  </si>
  <si>
    <t>REC-3512-A4FC-299284</t>
  </si>
  <si>
    <t>11:13:52</t>
  </si>
  <si>
    <t>REC-2004-CNH2-612105</t>
  </si>
  <si>
    <t>11:22:08</t>
  </si>
  <si>
    <t>REC-3187-YWS5-626580</t>
  </si>
  <si>
    <t>11:33:37</t>
  </si>
  <si>
    <t>REC-3175-A3LN-156214</t>
  </si>
  <si>
    <t>12:23:37</t>
  </si>
  <si>
    <t>REC-3182-YQHD-287419</t>
  </si>
  <si>
    <t>12:33:01</t>
  </si>
  <si>
    <t>REC-536-2GEZ-368101</t>
  </si>
  <si>
    <t>12:33:04</t>
  </si>
  <si>
    <t>REC-191-A381-801523</t>
  </si>
  <si>
    <t>12:48:11</t>
  </si>
  <si>
    <t>1306496686</t>
  </si>
  <si>
    <t>23923031</t>
  </si>
  <si>
    <t>REC-364-14ZM-1432955</t>
  </si>
  <si>
    <t>13:06:34</t>
  </si>
  <si>
    <t>REC-3187-A2UB-178029</t>
  </si>
  <si>
    <t>13:50:05</t>
  </si>
  <si>
    <t>REC-4007-OIT2-807449</t>
  </si>
  <si>
    <t>14:24:30</t>
  </si>
  <si>
    <t>REC-3295-1T8E-246282</t>
  </si>
  <si>
    <t>14:54:32</t>
  </si>
  <si>
    <t>REC-3095-T359-450547</t>
  </si>
  <si>
    <t>14:55:34</t>
  </si>
  <si>
    <t>REC-536-TDSM-170960</t>
  </si>
  <si>
    <t>16:06:35</t>
  </si>
  <si>
    <t>REC-4717-FRZ4-815587</t>
  </si>
  <si>
    <t>16:28:37</t>
  </si>
  <si>
    <t>REC-3161-KURB-459409</t>
  </si>
  <si>
    <t>16:31:12</t>
  </si>
  <si>
    <t>REC-3295-1T8D-190105</t>
  </si>
  <si>
    <t>17:30:32</t>
  </si>
  <si>
    <t>REC-3809-A3ZD-48532</t>
  </si>
  <si>
    <t>17:32:50</t>
  </si>
  <si>
    <t>0916469851</t>
  </si>
  <si>
    <t>3909570</t>
  </si>
  <si>
    <t>REC-8026-B346-385</t>
  </si>
  <si>
    <t>17:48:35</t>
  </si>
  <si>
    <t>REC-3370-A6JI-283585</t>
  </si>
  <si>
    <t>18:25:53</t>
  </si>
  <si>
    <t>REC-027-AJSJ-579702</t>
  </si>
  <si>
    <t>09:05:34</t>
  </si>
  <si>
    <t>20210601</t>
  </si>
  <si>
    <t>REC-3022-A364-149432</t>
  </si>
  <si>
    <t>10:35:20</t>
  </si>
  <si>
    <t>REC-7806-B391-171</t>
  </si>
  <si>
    <t>10:38:37</t>
  </si>
  <si>
    <t>REC-048-QNCI-647477</t>
  </si>
  <si>
    <t>11:35:55</t>
  </si>
  <si>
    <t>0913528295</t>
  </si>
  <si>
    <t>3900324</t>
  </si>
  <si>
    <t>REC-096-DCIZ-481909</t>
  </si>
  <si>
    <t>12:27:42</t>
  </si>
  <si>
    <t>REC-4313-IAI9-757140</t>
  </si>
  <si>
    <t>12:32:30</t>
  </si>
  <si>
    <t>REC-355-N45U-595623</t>
  </si>
  <si>
    <t>REC-008-PB64-395402</t>
  </si>
  <si>
    <t>13:31:49</t>
  </si>
  <si>
    <t>REC-011-JVA0-534606</t>
  </si>
  <si>
    <t>13:36:11</t>
  </si>
  <si>
    <t>REC-4164-A19P-180455</t>
  </si>
  <si>
    <t>13:44:22</t>
  </si>
  <si>
    <t>REC-011-JVA0-534629</t>
  </si>
  <si>
    <t>0956039424</t>
  </si>
  <si>
    <t>3902637</t>
  </si>
  <si>
    <t>REC-5202-A528-765844</t>
  </si>
  <si>
    <t>15:08:05</t>
  </si>
  <si>
    <t>REC-536-2GEZ-367954</t>
  </si>
  <si>
    <t>15:25:40</t>
  </si>
  <si>
    <t>REC-5635-A2YS-49467</t>
  </si>
  <si>
    <t>15:37:34</t>
  </si>
  <si>
    <t>at-3293</t>
  </si>
  <si>
    <t>REC-165-LOA2-178090</t>
  </si>
  <si>
    <t>15:54:25</t>
  </si>
  <si>
    <t>REC-364-NKDD-377143</t>
  </si>
  <si>
    <t>15:59:10</t>
  </si>
  <si>
    <t>REC-3175-A3LN-156162</t>
  </si>
  <si>
    <t>16:03:58</t>
  </si>
  <si>
    <t>REC-609-A3AI-109694</t>
  </si>
  <si>
    <t>16:08:29</t>
  </si>
  <si>
    <t>REC-7457-A1FZ-13812</t>
  </si>
  <si>
    <t>16:13:40</t>
  </si>
  <si>
    <t>REC-022-U5UL-362417</t>
  </si>
  <si>
    <t>16:23:31</t>
  </si>
  <si>
    <t>REC-7492-A6NE-26401</t>
  </si>
  <si>
    <t>16:38:58</t>
  </si>
  <si>
    <t>REC-3370-A6JI-283395</t>
  </si>
  <si>
    <t>17:01:17</t>
  </si>
  <si>
    <t>REC-096-LIO1-568613</t>
  </si>
  <si>
    <t>17:05:06</t>
  </si>
  <si>
    <t>REC-5987-GFL4-773014</t>
  </si>
  <si>
    <t>17:09:22</t>
  </si>
  <si>
    <t>REC-585-ZQVC-472483</t>
  </si>
  <si>
    <t>17:24:27</t>
  </si>
  <si>
    <t>REC-3295-1T8A-222760</t>
  </si>
  <si>
    <t>18:02:52</t>
  </si>
  <si>
    <t>REC-2004-CNH2-612061</t>
  </si>
  <si>
    <t>18:06:41</t>
  </si>
  <si>
    <t>REC-4963-A3A0-777586</t>
  </si>
  <si>
    <t>18:53:43</t>
  </si>
  <si>
    <t>0930818703</t>
  </si>
  <si>
    <t>3909325</t>
  </si>
  <si>
    <t>REC-096-ZU7N-275136</t>
  </si>
  <si>
    <t>19:44:08</t>
  </si>
  <si>
    <t>WESTERN UNION MES DE JUNIO</t>
  </si>
  <si>
    <t>TRANSFERENCIA</t>
  </si>
  <si>
    <t>ORDEN DE PAGO</t>
  </si>
  <si>
    <t>INTERMATICO#1053730291</t>
  </si>
  <si>
    <t>SALDO SEGÚN ESTADO DE CUENTA AL 30 DE JUNIO DEL 2021</t>
  </si>
  <si>
    <t>SALDO SEGÚN LIBRO BANCOS AL 30 DE JUNIO DEL 2021</t>
  </si>
  <si>
    <t xml:space="preserve">Fact#: 363796-366388 Rec#: 19224 ALEXANDER WELLINGTON ALVARADO CARRIEL </t>
  </si>
  <si>
    <t>IC-10856</t>
  </si>
  <si>
    <t xml:space="preserve">Fact#: 361368-363921-366508 Rec#: 19223 LUIS ENRIQUE COLOMBO MALTA </t>
  </si>
  <si>
    <t>IC-10855</t>
  </si>
  <si>
    <t xml:space="preserve">Fact#: 361676-364230-366804 Rec#: 19222 SALAZAR MONTIEL ABEL OLIMPO </t>
  </si>
  <si>
    <t>IC-10854</t>
  </si>
  <si>
    <t xml:space="preserve">Fact#: 364737-367304 Rec#: 19221 LOPEZ HERRERA FRANKLIN RIGOBERTO </t>
  </si>
  <si>
    <t>IC-10853</t>
  </si>
  <si>
    <t xml:space="preserve">Fact#: 364387-366960 Rec#: 19220 CHOLOTA OQUENDO JORDAN GONZALO </t>
  </si>
  <si>
    <t>IC-10852</t>
  </si>
  <si>
    <t xml:space="preserve">Fact#: 359499-362022-364562 Rec#: 19219 FRANCO GARCIA BYRON NELSON </t>
  </si>
  <si>
    <t>IC-10851</t>
  </si>
  <si>
    <t xml:space="preserve">Fact#: 361716-364268-366842 Rec#: 19218 CEDENO CEVALLOS ALEJANDRO EUGENIO </t>
  </si>
  <si>
    <t>IC-10850</t>
  </si>
  <si>
    <t xml:space="preserve">Fact#: 367281 Rec#: 19217 CASTRO AGUA MARLON JOSE </t>
  </si>
  <si>
    <t>IC-10849</t>
  </si>
  <si>
    <t xml:space="preserve">Fact#: 366624 Rec#: 19216 VASQUEZ GOMEZ FREDDY DOLORES </t>
  </si>
  <si>
    <t>IC-10848</t>
  </si>
  <si>
    <t xml:space="preserve">Fact#: 366192 Rec#: 19215 EDIN ERNESTO CISNEROS MAESTRE </t>
  </si>
  <si>
    <t>IC-10847</t>
  </si>
  <si>
    <t xml:space="preserve">Fact#: 364475-367047 Rec#: 19214 BALLADARES ALVARADO LEONARD ANTHONY </t>
  </si>
  <si>
    <t>IC-10846</t>
  </si>
  <si>
    <t xml:space="preserve">Fact#: 368083 Rec#: 19213 CANARTE SALVATIERRA LUIS ALFONSO </t>
  </si>
  <si>
    <t>IC-10845</t>
  </si>
  <si>
    <t xml:space="preserve">Fact#: 366987 Rec#: 19212 MOREIRA VELEZ MANUEL ISIDRO </t>
  </si>
  <si>
    <t>IC-10844</t>
  </si>
  <si>
    <t xml:space="preserve">Fact#: 364334-366907 Rec#: 19211 GUTIERREZ HERNANDEZ RICARDO ALBERTO </t>
  </si>
  <si>
    <t>IC-10843</t>
  </si>
  <si>
    <t xml:space="preserve">Fact#: 362181-364726-367294 Rec#: 19210 VARGAS PARRALES CARLOS JORGE </t>
  </si>
  <si>
    <t>IC-10842</t>
  </si>
  <si>
    <t xml:space="preserve">Fact#: 364239-366814 Rec#: 19209 DUCHI ALCOSER JHONNY FERNANDO  </t>
  </si>
  <si>
    <t>IC-10841</t>
  </si>
  <si>
    <t xml:space="preserve">Fact#: 362209-364755-367319 Rec#: 19208 CASTRO SAENZ DIANA INDIRA </t>
  </si>
  <si>
    <t>IC-10840</t>
  </si>
  <si>
    <t xml:space="preserve">Fact#: 366319 Rec#: 19207 KEVIN BLADIMIR PONCE GREFA </t>
  </si>
  <si>
    <t>IC-10839</t>
  </si>
  <si>
    <t xml:space="preserve">Fact#: 367465 Rec#: 19206 CABRERA SOLORZANO NELSON CATITO </t>
  </si>
  <si>
    <t>IC-10838</t>
  </si>
  <si>
    <t xml:space="preserve">Fact#: 365960 Rec#: 19205 T &amp; C ECUADOR SETCEC S.A.  </t>
  </si>
  <si>
    <t>IC-10837</t>
  </si>
  <si>
    <t xml:space="preserve">Fact#: 366359 Rec#: 19204 CARLOS ENRIQUE TAPIA TAPIA </t>
  </si>
  <si>
    <t>IC-10836</t>
  </si>
  <si>
    <t xml:space="preserve">Fact#: 366165 Rec#: 19203 ALVARADO PIGUAVE CAROLIN JANET </t>
  </si>
  <si>
    <t>IC-10835</t>
  </si>
  <si>
    <t>GASO BANCARIO PACIFICO #4964156-64286-66657-66745-95283-95372-5006944-7060-18652-18753-30508-30554-43318-43389-75439-75512-88536-88623-5100727-00781-13987-14083-26148-26233-66243-66298-83360-83476-94955-95019-5204073-04171-37599-37684-46844-46916-54279-54</t>
  </si>
  <si>
    <t>DR-2713</t>
  </si>
  <si>
    <t>N/D PACIFICO TRANSF. ROLES DE PAGO 2DA QUINCENA MES DE JULIO 2021</t>
  </si>
  <si>
    <t>N/D PACIFICO TRANSF. CANCELACIÓN DE FACTURA#446 BAQUERIZO DAVILA PABLO JONATHAN</t>
  </si>
  <si>
    <t>N/D PACIFICO TRANSF. REEMBOLSO POR GASTOS DE MOVILIZACIÓN Y CUMPLEAÑOS DE AGO (2 PERSONAS)</t>
  </si>
  <si>
    <t>N/D PACIFICO TRANSF. CANCELACIÓN DE FACTURA#142 BAQUE BAQUE BYRON PAUL Y FACTURA#116 ESTUPIÑAN ANDRADE FRANCISCO JAVIER</t>
  </si>
  <si>
    <t xml:space="preserve">Fact#: 365649 Rec#: 33912 SOLUCIONESVERDES S A </t>
  </si>
  <si>
    <t>IC-11322</t>
  </si>
  <si>
    <t xml:space="preserve">Fact#: 366222 Rec#: 33836 MARIA CRISTINA LOAIZA BREVI </t>
  </si>
  <si>
    <t>IC-10875</t>
  </si>
  <si>
    <t xml:space="preserve">Fact#: 362672-365223-367786 Rec#: 33835 CABRERA ZALAMEA BLANCA ESMERALDA </t>
  </si>
  <si>
    <t>IC-10874</t>
  </si>
  <si>
    <t xml:space="preserve">Fact#: 363654-366242 Rec#: 33834 LUIS ANTONIO CARVAJAL TORAL </t>
  </si>
  <si>
    <t>IC-10873</t>
  </si>
  <si>
    <t>Fact#: 364340-366913 Rec#: 33833 CAMPOS MANZABA ESTEFANIA XIOMARA</t>
  </si>
  <si>
    <t>IC-10862</t>
  </si>
  <si>
    <t xml:space="preserve">Fact#: 366830 Rec#: 33832 SOXO QUICHIMBO IVONNE ALEXANDRA </t>
  </si>
  <si>
    <t>IC-10861</t>
  </si>
  <si>
    <t xml:space="preserve">Fact#: 367712 Rec#: 33831 CHICALA GARCIA GEOVANNY PATRICIO </t>
  </si>
  <si>
    <t>IC-10860</t>
  </si>
  <si>
    <t xml:space="preserve">Fact#: 364736-367303 Rec#: 33830 BUSTAMANTE TORRES CAMILO EDUARDO </t>
  </si>
  <si>
    <t>IC-10859</t>
  </si>
  <si>
    <t xml:space="preserve">Fact#: 366911 Rec#: 33829 PINCAY SILVA FERNANDO RAFAEL </t>
  </si>
  <si>
    <t>IC-10858</t>
  </si>
  <si>
    <t xml:space="preserve">Fact#: 367509 Rec#: 33828 PRADO FRANCO ANDREA JACQUELINE </t>
  </si>
  <si>
    <t>IC-10857</t>
  </si>
  <si>
    <t xml:space="preserve">Fact#: 367092 Rec#: 19202 ORTEGA ARGUELLO GISELLA LORENA </t>
  </si>
  <si>
    <t>IC-10834</t>
  </si>
  <si>
    <t xml:space="preserve">Fact#: 367317 Rec#: 19201 PONCE CARRIEL BRENDA LIZETH </t>
  </si>
  <si>
    <t>IC-10833</t>
  </si>
  <si>
    <t xml:space="preserve">Fact#: 358781-361304-363860 Rec#: 19200 EINER JOSE VALENCIA BUSTAMANTE </t>
  </si>
  <si>
    <t>IC-10832</t>
  </si>
  <si>
    <t xml:space="preserve">Fact#: 356884-359348-361873 Rec#: 19199 MORILLO GRIBORIO JUAN PABLO </t>
  </si>
  <si>
    <t>IC-10831</t>
  </si>
  <si>
    <t xml:space="preserve">Fact#: 362904-365439-368006 Rec#: 19198 PANTA MURILLO DELIA ESTHER </t>
  </si>
  <si>
    <t>IC-10830</t>
  </si>
  <si>
    <t xml:space="preserve">Fact#: 365982 Rec#: 19197 ASOCIACION DE PROPIETARIOS DEL CENTRO COMERCIAL MIXCENTER </t>
  </si>
  <si>
    <t>IC-10829</t>
  </si>
  <si>
    <t xml:space="preserve">Fact#: 364060-366643 Rec#: 19196 FREDDY PABLO  ENDARA SAAVEDRA </t>
  </si>
  <si>
    <t>IC-10828</t>
  </si>
  <si>
    <t xml:space="preserve">Fact#: 367004 Rec#: 19195 ROMMEL ANTONIO ZAMORA TRIGUERO </t>
  </si>
  <si>
    <t>IC-10827</t>
  </si>
  <si>
    <t xml:space="preserve">Fact#: 363943-366529 Rec#: 19194 VILMA NINFA MORA MORA </t>
  </si>
  <si>
    <t>IC-10826</t>
  </si>
  <si>
    <t xml:space="preserve">Fact#: 363991-366575 Rec#: 19193 ESMERALDA MARITZA ALVARADO SEGURA </t>
  </si>
  <si>
    <t>IC-10825</t>
  </si>
  <si>
    <t xml:space="preserve">Fact#: 366069 Rec#: 19192 EDDY MANUEL CHAVEZ CEDEÑO </t>
  </si>
  <si>
    <t>IC-10824</t>
  </si>
  <si>
    <t xml:space="preserve">Fact#: 364956-367520 Rec#: 19191 LANDA SANCHEZ JAZMIN ALEXANDRA </t>
  </si>
  <si>
    <t>IC-10823</t>
  </si>
  <si>
    <t xml:space="preserve">Fact#: 366497 Rec#: 19190 EDUARDO CAMPOSANO ULLOA </t>
  </si>
  <si>
    <t>IC-10822</t>
  </si>
  <si>
    <t xml:space="preserve">Fact#: 367169 Rec#: 19189 MALDONADO VILLAMAR HUMBERTO MARTIN </t>
  </si>
  <si>
    <t>IC-10821</t>
  </si>
  <si>
    <t xml:space="preserve">Fact#: 357007-359474-361998 Rec#: 19188 ESPIN PICO NANCY CRISTINA </t>
  </si>
  <si>
    <t>IC-10820</t>
  </si>
  <si>
    <t xml:space="preserve">Fact#: 361164-363722-366311 Rec#: 19187 MIRIAM ISABEL CRUZ REVELO </t>
  </si>
  <si>
    <t>IC-10819</t>
  </si>
  <si>
    <t xml:space="preserve">Fact#: 364214-366788 Rec#: 19186 ELIZALDE MAZZINI PAULINA GABRIELA </t>
  </si>
  <si>
    <t>IC-10818</t>
  </si>
  <si>
    <t xml:space="preserve">Fact#: 367514 Rec#: 19185 PRECIADO SALVATIERRA PATRICIA PAOLA </t>
  </si>
  <si>
    <t>IC-10817</t>
  </si>
  <si>
    <t xml:space="preserve">Fact#: 359255-361779-364330 Rec#: 19184 CHIRIBOGA GONZALEZ DIGNA MERCEDES </t>
  </si>
  <si>
    <t>IC-10816</t>
  </si>
  <si>
    <t xml:space="preserve">Fact#: 363771-366361 Rec#: 19183 LENIN ANTONIO SARABIA ORELLANA </t>
  </si>
  <si>
    <t>IC-10815</t>
  </si>
  <si>
    <t>Fact#: 367348 Rec#: 33827 ROMERO ROMERO JANETT VICTORIA</t>
  </si>
  <si>
    <t>IC-10796</t>
  </si>
  <si>
    <t xml:space="preserve">Fact#: 366957 Rec#: 33822 PUERO CUERO CARLOS JULIO </t>
  </si>
  <si>
    <t>IC-10771</t>
  </si>
  <si>
    <t>SILVA ESPINOZA CARLOTA ELIZABETH CANCELA TELEFONO 308344 ABONA SGTE FACTURA, BCO PACIFICO POR VENTANILLA</t>
  </si>
  <si>
    <t>AT-3322</t>
  </si>
  <si>
    <t>MORILLO GRIBORIO JUAN PABLO CANCELA TELEFONO 3900147 ABONA SGTE FACTURA, PAGO WESTERN UNION</t>
  </si>
  <si>
    <t>AT-3321</t>
  </si>
  <si>
    <t>MORILLO GRIBORIO JUAN PABLO CANCELA TELEFONO 3900147 ABONA SGTE FACTURA, PAGO WETSERN UNION</t>
  </si>
  <si>
    <t>AT-3320</t>
  </si>
  <si>
    <t>N/D PACIFICO TRANSF. CANCELACIÓN DE FACTURA#5996476 CNEL EP</t>
  </si>
  <si>
    <t>N/D PACIFICO TRANSF. CANCELACIÓN DE FACTURA#31154117 CNEL EP</t>
  </si>
  <si>
    <t>N/D PACIFICO TRANSF. CANCELACIÓN DE FACTURA#31309370 CNEL EP</t>
  </si>
  <si>
    <t>N/D PACIFICO TRANSF. CONSUMO DE ENERGÍA ELECTRICA PORTAL AL SOL, COD:200017298429, CTV</t>
  </si>
  <si>
    <t>N/D PACIFICO TRANSF. CANCELACIÓN DE FACTURA#31168547 CNEL EP</t>
  </si>
  <si>
    <t>N/D PACIFICO TRANSF. CANCELACIÓN DE FACTURA#31180925 CNEL EP</t>
  </si>
  <si>
    <t xml:space="preserve">Fact#: 364026-366609 Rec#: 33911 ADRIANA VALENTINA DONOSO SANCHEZ </t>
  </si>
  <si>
    <t>IC-11165</t>
  </si>
  <si>
    <t xml:space="preserve">Fact#: 362380-364925-367490 Rec#: 33826 MARTINEZ PUGA XAVIER ENRRIQUE </t>
  </si>
  <si>
    <t>IC-10775</t>
  </si>
  <si>
    <t xml:space="preserve">Fact#: 366002 Rec#: 33825 LOURDES DEL ROCIO CHAVEZ VELEZ </t>
  </si>
  <si>
    <t>IC-10774</t>
  </si>
  <si>
    <t xml:space="preserve">Fact#: 365799 Rec#: 33824 MORANTE VILLARREAL ROBERTO OMAR </t>
  </si>
  <si>
    <t>IC-10773</t>
  </si>
  <si>
    <t xml:space="preserve">Fact#: 365696 Rec#: 33823 MORANTE VILLARREAL ROBERTO OMAR </t>
  </si>
  <si>
    <t>IC-10772</t>
  </si>
  <si>
    <t xml:space="preserve">Fact#: 355362-367859 Rec#: 33821 QUINTERO ARTEAGA ANDREA PATRICIA </t>
  </si>
  <si>
    <t>IC-10770</t>
  </si>
  <si>
    <t xml:space="preserve">Fact#: 364997-367560 Rec#: 19182 VILLAFUERTE PEREZ PETRA MARIA </t>
  </si>
  <si>
    <t>IC-10769</t>
  </si>
  <si>
    <t xml:space="preserve">Fact#: 4499-4731-4970 Rec#: 19181 CRUZ SANTANA MARCOS BOLIVAR </t>
  </si>
  <si>
    <t>IC-10768</t>
  </si>
  <si>
    <t xml:space="preserve">Fact#: 364811-367377 Rec#: 19180 MACIAS GRACIA JOHNNY FRANCISCO </t>
  </si>
  <si>
    <t>IC-10767</t>
  </si>
  <si>
    <t xml:space="preserve">Fact#: 367447 Rec#: 19179 NEIRA CUENCA MAGNER RICHARD </t>
  </si>
  <si>
    <t>IC-10766</t>
  </si>
  <si>
    <t xml:space="preserve">Fact#: 361531-364087-366670 Rec#: 19178 ARIAS FLORES ENRIQUE SEBASTIAN </t>
  </si>
  <si>
    <t>IC-10765</t>
  </si>
  <si>
    <t xml:space="preserve">Fact#: 365469-368035 Rec#: 19177 LEON MENDOZA JANETH MARIA </t>
  </si>
  <si>
    <t>IC-10764</t>
  </si>
  <si>
    <t xml:space="preserve">Fact#: 365642 Rec#: 19176 LABORATORIOS RENALABSA S A </t>
  </si>
  <si>
    <t>IC-10763</t>
  </si>
  <si>
    <t xml:space="preserve">Fact#: 364519-367094 Rec#: 19175 TENORIO PRECIADO SUSANA MIRELLA </t>
  </si>
  <si>
    <t>IC-10762</t>
  </si>
  <si>
    <t xml:space="preserve">Fact#: 365326 Rec#: 19174 BADILLO BOBADILLA FRANCISCO JAVIER </t>
  </si>
  <si>
    <t>IC-10761</t>
  </si>
  <si>
    <t xml:space="preserve">Fact#: 364137-366719 Rec#: 19173 HOLGUIN SUAREZ NELSON AMADOR </t>
  </si>
  <si>
    <t>IC-10760</t>
  </si>
  <si>
    <t xml:space="preserve">Fact#: 362223-364768-367332 Rec#: 19172 PONCE GANCHOZO MARICELA RAQUEL  </t>
  </si>
  <si>
    <t>IC-10759</t>
  </si>
  <si>
    <t xml:space="preserve">Fact#: 366325 Rec#: 19171 ANDREA CANAHUATI CHAIN </t>
  </si>
  <si>
    <t>IC-10758</t>
  </si>
  <si>
    <t xml:space="preserve">Fact#: 366698 Rec#: 19170 PINO MATAMOROS GALO EFRAIN </t>
  </si>
  <si>
    <t>IC-10757</t>
  </si>
  <si>
    <t xml:space="preserve">Fact#: 365488-368055 Rec#: 19169 COELLO BONES PORFIRIA PETITA </t>
  </si>
  <si>
    <t>IC-10756</t>
  </si>
  <si>
    <t xml:space="preserve">Fact#: 365665 Rec#: 19168 ALLINPUBLICIDAD&amp;MARKETING S A </t>
  </si>
  <si>
    <t>IC-10755</t>
  </si>
  <si>
    <t xml:space="preserve">Fact#: 367222 Rec#: 19167 CASTRO CASTILLO BYRON MANUEL </t>
  </si>
  <si>
    <t>IC-10754</t>
  </si>
  <si>
    <t xml:space="preserve">Fact#: 362484-365026-367587 Rec#: 19166 ALAVA CORNEJO JOSE ISRAEL </t>
  </si>
  <si>
    <t>IC-10753</t>
  </si>
  <si>
    <t xml:space="preserve">Fact#: 367944 Rec#: 19165 BERMUDEZ COROZO DIANA ELIZABETH </t>
  </si>
  <si>
    <t>IC-10752</t>
  </si>
  <si>
    <t xml:space="preserve">Fact#: 363580-366171 Rec#: 19164 ASTUDILLO AYORA CECILIA FILOMENA </t>
  </si>
  <si>
    <t>IC-10751</t>
  </si>
  <si>
    <t xml:space="preserve">Fact#: 362135-364680-367249 Rec#: 19163 GUAMANQUISPE FLORES ESPERANZA ANTONIETA </t>
  </si>
  <si>
    <t>IC-10750</t>
  </si>
  <si>
    <t xml:space="preserve">Fact#: 365896 Rec#: 19162 ASISTENCA TECNICA INDUSTRIAL ATEIND S.A.  </t>
  </si>
  <si>
    <t>IC-10749</t>
  </si>
  <si>
    <t xml:space="preserve">Fact#: 367415 Rec#: 19161 LEON GARCIA MARCELA VERONICA </t>
  </si>
  <si>
    <t>IC-10748</t>
  </si>
  <si>
    <t xml:space="preserve">Fact#: 364189-366764 Rec#: 19160 VALENCIA VICTOR HUGO </t>
  </si>
  <si>
    <t>IC-10747</t>
  </si>
  <si>
    <t xml:space="preserve">Fact#: 362105-364649-367221 Rec#: 19159 CREME DURAND YORDAN </t>
  </si>
  <si>
    <t>IC-10746</t>
  </si>
  <si>
    <t xml:space="preserve">Fact#: 365838 Rec#: 19158 VASQUEZ MOREIRA HILDA VIVIANA </t>
  </si>
  <si>
    <t>IC-10745</t>
  </si>
  <si>
    <t xml:space="preserve">Fact#: 365839 Rec#: 19157 VASQUEZ MOREIRA HILDA VIVIANA </t>
  </si>
  <si>
    <t>IC-10744</t>
  </si>
  <si>
    <t xml:space="preserve">Fact#: 366387 Rec#: 19156 LORENA LISSET NUÑEZ RODRIGUEZ </t>
  </si>
  <si>
    <t>IC-10743</t>
  </si>
  <si>
    <t xml:space="preserve">Fact#: 324248-327024-329792-332648-335573-338515-341507-345031 Rec#: 19155 ESCOBAR RODRIGUEZ RICARDO DANIEL </t>
  </si>
  <si>
    <t>IC-10742</t>
  </si>
  <si>
    <t xml:space="preserve">Fact#: 306453-309275-312064 Rec#: 19154 KAREN FATIMA YANCE VEGA </t>
  </si>
  <si>
    <t>IC-10741</t>
  </si>
  <si>
    <t xml:space="preserve">Fact#: 361351-363904-366493 Rec#: 19153 MAYRA MARIELA MORAN MOREIRA </t>
  </si>
  <si>
    <t>IC-10740</t>
  </si>
  <si>
    <t xml:space="preserve">Fact#: 365888 Rec#: 19152 MERA NEVAREZ FREDEVINDA ALEXANDRA </t>
  </si>
  <si>
    <t>IC-10739</t>
  </si>
  <si>
    <t xml:space="preserve">Fact#: 366905 Rec#: 19151 CALI PINCAY SANDRA ELIZABETH  </t>
  </si>
  <si>
    <t>IC-10738</t>
  </si>
  <si>
    <t xml:space="preserve">Fact#: 361227-363783-366374 Rec#: 19150 DIEGO FRANCISCO PONCE MENDOZA </t>
  </si>
  <si>
    <t>IC-10737</t>
  </si>
  <si>
    <t xml:space="preserve">Fact#: 367828 Rec#: 19149 LINO VILLEGAS ANGEL ALFONSO </t>
  </si>
  <si>
    <t>IC-10736</t>
  </si>
  <si>
    <t xml:space="preserve">Fact#: 358834-361357-363910 Rec#: 19148 ANDREA DEL PILAR LOOR SUAREZ </t>
  </si>
  <si>
    <t>IC-10735</t>
  </si>
  <si>
    <t xml:space="preserve">Fact#: 361489-364041-366622 Rec#: 19147 VACA LOPEZ DAVID MANUEL </t>
  </si>
  <si>
    <t>IC-10734</t>
  </si>
  <si>
    <t xml:space="preserve">Fact#: 364317-366891 Rec#: 19146 MEDINA BORJA LEONARDO JAVIER </t>
  </si>
  <si>
    <t>IC-10733</t>
  </si>
  <si>
    <t xml:space="preserve">Fact#: 345865-346543-349003 Rec#: 19145 SORALLA GENOVEVA OCHOA MUÑOZ </t>
  </si>
  <si>
    <t>IC-10732</t>
  </si>
  <si>
    <t xml:space="preserve">Fact#: 366352 Rec#: 19144 JERRY JEFFREY GARCIA HUAYAMAVE </t>
  </si>
  <si>
    <t>IC-10731</t>
  </si>
  <si>
    <t xml:space="preserve">Fact#: 366563 Rec#: 33820 MEIBOL CRUZ VELEZ SANCHEZ </t>
  </si>
  <si>
    <t>IC-10699</t>
  </si>
  <si>
    <t xml:space="preserve">Fact#: 367660 Rec#: 34056 REYES HERRERA SILVIA LORENA </t>
  </si>
  <si>
    <t>IC-12217</t>
  </si>
  <si>
    <t>Fact#: 365796 Rec#: 33819 RUIZ ROMAN ROMMEL ELIAS</t>
  </si>
  <si>
    <t>IC-10698</t>
  </si>
  <si>
    <t xml:space="preserve">Fact#: 361843-364397-366970 Rec#: 33817 GUZMAN CELLERI GINGER DEL ROCIO </t>
  </si>
  <si>
    <t>IC-10690</t>
  </si>
  <si>
    <t xml:space="preserve">Fact#: 366189-366190 Rec#: 33816 LUIS DANIEL CHIANG GUERRERO </t>
  </si>
  <si>
    <t>IC-10689</t>
  </si>
  <si>
    <t xml:space="preserve">Fact#: 366014 Rec#: 33815 GIOVANNY NARVAEZ PORTILLA </t>
  </si>
  <si>
    <t>IC-10675</t>
  </si>
  <si>
    <t xml:space="preserve">Fact#: 364201-366776 Rec#: 33814 BAJANA DE LA ROSA SANTIAGO EDISON </t>
  </si>
  <si>
    <t>IC-10674</t>
  </si>
  <si>
    <t xml:space="preserve">Fact#: 363583-366174 Rec#: 33813 HUGO RENE LUNA </t>
  </si>
  <si>
    <t>IC-10673</t>
  </si>
  <si>
    <t xml:space="preserve">Fact#: 364688-367257 Rec#: 33812 AMAGUAYA CHUQUI ANGEL DANIEL </t>
  </si>
  <si>
    <t>IC-10672</t>
  </si>
  <si>
    <t xml:space="preserve">Fact#: 366234 Rec#: 33811 MANUEL ISIDRO RICAURTE GARCES </t>
  </si>
  <si>
    <t>IC-10671</t>
  </si>
  <si>
    <t xml:space="preserve">Fact#: 365771 Rec#: 33810 ASISTMED ASISTENCIA A MEDICOS S.A. </t>
  </si>
  <si>
    <t>IC-10670</t>
  </si>
  <si>
    <t xml:space="preserve">Fact#: 366025 Rec#: 33809 VICTOR ANTONIO AGUSTO ALVARADO </t>
  </si>
  <si>
    <t>IC-10669</t>
  </si>
  <si>
    <t xml:space="preserve">Fact#: 364463-367035 Rec#: 33808 CEVALLOS ORVEN AMADITA </t>
  </si>
  <si>
    <t>IC-10668</t>
  </si>
  <si>
    <t xml:space="preserve">Fact#: 364951-367515 Rec#: 33807 ARMIJOS SALAZAR ANA ISABEL </t>
  </si>
  <si>
    <t>IC-10667</t>
  </si>
  <si>
    <t xml:space="preserve">Fact#: 367474 Rec#: 33806 CHACON CALDERON SARITA MARIA DE LOS ANGEL </t>
  </si>
  <si>
    <t>IC-10666</t>
  </si>
  <si>
    <t xml:space="preserve">Fact#: 361293-363850-366441 Rec#: 19142 ALONSO RIGOBERTO VALENCIA CHICA </t>
  </si>
  <si>
    <t>IC-10664</t>
  </si>
  <si>
    <t xml:space="preserve">Fact#: 368144 Rec#: 19141 ARAUZ ALVAREZ RAMON ENRIQUE </t>
  </si>
  <si>
    <t>IC-10663</t>
  </si>
  <si>
    <t xml:space="preserve">Fact#: 363435-366028 Rec#: 19140 JEFFREY LEE FRANCO CUMMINGS </t>
  </si>
  <si>
    <t>IC-10662</t>
  </si>
  <si>
    <t xml:space="preserve">Fact#: 364285-366860 Rec#: 19139 RUIZ SOLANO KELVIL ORLANDO </t>
  </si>
  <si>
    <t>IC-10661</t>
  </si>
  <si>
    <t xml:space="preserve">Fact#: 364733-367300 Rec#: 19138 SOLARTE SOLARTE HERNEY SEBASTIAN </t>
  </si>
  <si>
    <t>IC-10660</t>
  </si>
  <si>
    <t xml:space="preserve">Fact#: 364529-367103 Rec#: 19137 REYES ZAVALA CRISTOPHER DANIEL </t>
  </si>
  <si>
    <t>IC-10659</t>
  </si>
  <si>
    <t xml:space="preserve">Fact#: 362488-365030-367591 Rec#: 19136 PALACIOS ALVARADO JULIO RAMON </t>
  </si>
  <si>
    <t>IC-10658</t>
  </si>
  <si>
    <t xml:space="preserve">Fact#: 366140 Rec#: 19135 ENCALADA SANCHEZ NIEVES ELIZABETH </t>
  </si>
  <si>
    <t>IC-10657</t>
  </si>
  <si>
    <t xml:space="preserve">Fact#: 366103 Rec#: 19134 GREI DOLORES  DELGADO FARIA </t>
  </si>
  <si>
    <t>IC-10656</t>
  </si>
  <si>
    <t xml:space="preserve">Fact#: 366090 Rec#: 19133 CAROLA MISHEL ABISAAB MEDINA </t>
  </si>
  <si>
    <t>IC-10655</t>
  </si>
  <si>
    <t xml:space="preserve">Fact#: 367448 Rec#: 19132 ARGUELLO CORTEZ OSCAR NICOLAS </t>
  </si>
  <si>
    <t>IC-10654</t>
  </si>
  <si>
    <t xml:space="preserve">Fact#: 364644-367216 Rec#: 19131 GOMEZ VERA NATALY ELIZABETH </t>
  </si>
  <si>
    <t>IC-10653</t>
  </si>
  <si>
    <t xml:space="preserve">Fact#: 366755 Rec#: 19130 PINCAY RUIZ VICENTA MARLENE </t>
  </si>
  <si>
    <t>IC-10652</t>
  </si>
  <si>
    <t xml:space="preserve">Fact#: 366110 Rec#: 19129 OSCAR HUMBERTO  BRITO GUILLEN </t>
  </si>
  <si>
    <t>IC-10651</t>
  </si>
  <si>
    <t xml:space="preserve">Fact#: 365996 Rec#: 19128 SONNIA VANESSA AVILA ESPINOZA </t>
  </si>
  <si>
    <t>IC-10650</t>
  </si>
  <si>
    <t xml:space="preserve">Fact#: 4954 Rec#: 19127 CACUANGO LINCANGO EDISON FABIAN </t>
  </si>
  <si>
    <t>IC-10649</t>
  </si>
  <si>
    <t xml:space="preserve">Fact#: 359799-362311-364856 Rec#: 19126 ALVARADO JALCA JAZMIN ESTHER </t>
  </si>
  <si>
    <t>IC-10648</t>
  </si>
  <si>
    <t xml:space="preserve">Fact#: 360768-363313-365906 Rec#: 19125 PRETOMEL S.A.  </t>
  </si>
  <si>
    <t>IC-10647</t>
  </si>
  <si>
    <t xml:space="preserve">Fact#: 365874 Rec#: 19124 FERNANDEZ CEVALLOS S.A FERCEVSA  </t>
  </si>
  <si>
    <t>IC-10646</t>
  </si>
  <si>
    <t xml:space="preserve">Fact#: 365873 Rec#: 19123 FERNANDEZ CEVALLOS S.A FERCEVSA  </t>
  </si>
  <si>
    <t>IC-10645</t>
  </si>
  <si>
    <t xml:space="preserve">Fact#: 5028 Rec#: 19122 SANGUNA RON TANIA GRICELDA </t>
  </si>
  <si>
    <t>IC-10644</t>
  </si>
  <si>
    <t xml:space="preserve">Fact#: 303869-306630-309437 Rec#: 19121 LORENZO PASTOR TUMBACO CHIQUITO </t>
  </si>
  <si>
    <t>IC-10643</t>
  </si>
  <si>
    <t xml:space="preserve">Fact#: 364117-366699 Rec#: 19120 ZAMBRANO CASTRO JOSE JAIR </t>
  </si>
  <si>
    <t>IC-10642</t>
  </si>
  <si>
    <t xml:space="preserve">Fact#: 367352 Rec#: 19119 PONCE BURGOS NORMA ISABEL  </t>
  </si>
  <si>
    <t>IC-10641</t>
  </si>
  <si>
    <t xml:space="preserve">Fact#: 367353 Rec#: 19118 PONCE BURGOS NORMA ISABEL  </t>
  </si>
  <si>
    <t>IC-10640</t>
  </si>
  <si>
    <t xml:space="preserve">Fact#: 365354-367935 Rec#: 19117 ESPINOZA LOPEZ RAUL STEWAR </t>
  </si>
  <si>
    <t>IC-10639</t>
  </si>
  <si>
    <t xml:space="preserve">Fact#: 366209 Rec#: 19116 MARIA PIEDAD MONTALVAN CAMPOVERDE </t>
  </si>
  <si>
    <t>IC-10638</t>
  </si>
  <si>
    <t xml:space="preserve">Fact#: 363952-366537 Rec#: 19115 ALEX RICARDO POLIT LUNA </t>
  </si>
  <si>
    <t>IC-10637</t>
  </si>
  <si>
    <t xml:space="preserve">Fact#: 365711 Rec#: 19114 SALTOS RODRIGUEZ ANDREA EDITH </t>
  </si>
  <si>
    <t>IC-10636</t>
  </si>
  <si>
    <t xml:space="preserve">Fact#: 364129-366711 Rec#: 19113 SALTOS RODRIGUEZ ANDREA EDITH </t>
  </si>
  <si>
    <t>IC-10635</t>
  </si>
  <si>
    <t xml:space="preserve">Fact#: 367999 Rec#: 19112 CABELLO CHIRIGUAYA REIMUNDO ISRAEL </t>
  </si>
  <si>
    <t>IC-10634</t>
  </si>
  <si>
    <t xml:space="preserve">Fact#: 361135-363693-366279 Rec#: 19111 NUBIA CICELY LOPEZ CONTRERAS </t>
  </si>
  <si>
    <t>IC-10633</t>
  </si>
  <si>
    <t xml:space="preserve">Fact#: 362751-365299 Rec#: 19110 CAMACHO RONQUILLO WASHINGTON LEONARDO </t>
  </si>
  <si>
    <t>IC-10632</t>
  </si>
  <si>
    <t xml:space="preserve">Fact#: 365482-368049 Rec#: 33805 MANZANO SORIA EDISSON XAVIER </t>
  </si>
  <si>
    <t>IC-10611</t>
  </si>
  <si>
    <t xml:space="preserve">Fact#: 365410-367979 Rec#: 33804 DE LA ROSA RIOS JULIO ENRIQUE </t>
  </si>
  <si>
    <t>IC-10610</t>
  </si>
  <si>
    <t xml:space="preserve">Fact#: 365227-366716 Rec#: 33802 GILBERT SILVA CECILIA MARIA </t>
  </si>
  <si>
    <t>IC-10601</t>
  </si>
  <si>
    <t xml:space="preserve">Fact#: 365000 Rec#: 33801 ANGEL ROGELIO PUMA MEDINA </t>
  </si>
  <si>
    <t>IC-10593</t>
  </si>
  <si>
    <t>JURADO VELEZ JONNY EUGENIO CANCELA TELEFONO 3900938 ABONA SGTE FACTURA, PAGO WESTERN UNION</t>
  </si>
  <si>
    <t>AT-3319</t>
  </si>
  <si>
    <t>FERNANDEZ CEVALLOS S.A FERCEVSA CANCELA TELEFONO 3908222 ABONA SGTE FACTURA, PAGO WESTERN UNION</t>
  </si>
  <si>
    <t>AT-3318</t>
  </si>
  <si>
    <t xml:space="preserve">Fact#: 367270 Rec#: 33800 ARANA BARROS AMBAR GEOVANA </t>
  </si>
  <si>
    <t>IC-10592</t>
  </si>
  <si>
    <t xml:space="preserve">Fact#: 365271-367848 Rec#: 33799 CORAIZACA RODRIGUEZ ROBINSON UBALDO </t>
  </si>
  <si>
    <t>IC-10585</t>
  </si>
  <si>
    <t xml:space="preserve">Fact#: 364065-366649 Rec#: 19109 MARTEN CABALLERO NILDA </t>
  </si>
  <si>
    <t>IC-10584</t>
  </si>
  <si>
    <t xml:space="preserve">Fact#: 367496 Rec#: 19108 GOMEZ ALCIVAR RUBER GIL </t>
  </si>
  <si>
    <t>IC-10583</t>
  </si>
  <si>
    <t xml:space="preserve">Fact#: 363857-366449 Rec#: 19107 JORJY JIMY RIVERA MONTIEL </t>
  </si>
  <si>
    <t>IC-10582</t>
  </si>
  <si>
    <t xml:space="preserve">Fact#: 364442-367013 Rec#: 19106 FERNANDEZ PACHECO DIANA ISABEL </t>
  </si>
  <si>
    <t>IC-10581</t>
  </si>
  <si>
    <t xml:space="preserve">Fact#: 361898-364448-367019 Rec#: 19105 MORENO OVIEDO LUIS ITALO </t>
  </si>
  <si>
    <t>IC-10580</t>
  </si>
  <si>
    <t xml:space="preserve">Fact#: 366092 Rec#: 19104 MARCOS ALFREDO CHANG HI FONG </t>
  </si>
  <si>
    <t>IC-10579</t>
  </si>
  <si>
    <t xml:space="preserve">Fact#: 4953 Rec#: 19103 SANCHEZ RIOS FERNANDO ALEXIS </t>
  </si>
  <si>
    <t>IC-10578</t>
  </si>
  <si>
    <t xml:space="preserve">Fact#: 367940 Rec#: 19102 TRIVINO ANDRADE JUAN SEBASTIAN </t>
  </si>
  <si>
    <t>IC-10577</t>
  </si>
  <si>
    <t xml:space="preserve">Fact#: 4986 Rec#: 19101 TIO ALVAREZ ADRIAN </t>
  </si>
  <si>
    <t>IC-10576</t>
  </si>
  <si>
    <t xml:space="preserve">Fact#: 366185 Rec#: 19100 DE LUCCA MEJIA ROSA ELVIRA </t>
  </si>
  <si>
    <t>IC-10575</t>
  </si>
  <si>
    <t xml:space="preserve">Fact#: 367309 Rec#: 19099 AVILES PEREZ ALFONSO </t>
  </si>
  <si>
    <t>IC-10574</t>
  </si>
  <si>
    <t xml:space="preserve">Fact#: 367573 Rec#: 19098 LAINEZ FRANCO MILDRED BETSABE </t>
  </si>
  <si>
    <t>IC-10573</t>
  </si>
  <si>
    <t xml:space="preserve">Fact#: 358443-360979-363535 Rec#: 19097 MARIA PATRICIA  RODRIGUEZ SANCHEZ  </t>
  </si>
  <si>
    <t>IC-10572</t>
  </si>
  <si>
    <t xml:space="preserve">Fact#: 367098 Rec#: 19096 ROBALINO VALENCIA  SPARTA SUSANA  </t>
  </si>
  <si>
    <t>IC-10571</t>
  </si>
  <si>
    <t xml:space="preserve">Fact#: 290066-292305-294643 Rec#: 19095 BIOJO BURBANO MIGUEL ANTONIO </t>
  </si>
  <si>
    <t>IC-10570</t>
  </si>
  <si>
    <t xml:space="preserve">Fact#: 365480-368048 Rec#: 19094 CHOEZ BAQUERIZO JAIME ALEXANDER </t>
  </si>
  <si>
    <t>IC-10569</t>
  </si>
  <si>
    <t xml:space="preserve">Fact#: 367948 Rec#: 19093 QUIMIS CHIQUITO LUPE DIONICIO </t>
  </si>
  <si>
    <t>IC-10568</t>
  </si>
  <si>
    <t xml:space="preserve">Fact#: 366612 Rec#: 19092 TOMALA SANCAN JORGE LUIS </t>
  </si>
  <si>
    <t>IC-10567</t>
  </si>
  <si>
    <t xml:space="preserve">Fact#: 366758 Rec#: 19091 TOMALA SANCAN JORGE LUIS </t>
  </si>
  <si>
    <t>IC-10566</t>
  </si>
  <si>
    <t xml:space="preserve">Fact#: 367267 Rec#: 19090 SAQUICELA SORIA MARCELO ALEJANDRO </t>
  </si>
  <si>
    <t>IC-10565</t>
  </si>
  <si>
    <t xml:space="preserve">Fact#: 366236 Rec#: 19089 LISETTE JOHANNA MEZA VEGA </t>
  </si>
  <si>
    <t>IC-10564</t>
  </si>
  <si>
    <t xml:space="preserve">Fact#: 361643-364198-366773 Rec#: 19088 ANANGONO COTTO ALEXANDRA MARIBEL </t>
  </si>
  <si>
    <t>IC-10563</t>
  </si>
  <si>
    <t xml:space="preserve">Fact#: 363745-366335 Rec#: 19087 RUBEN ESTEBAN URRUTIA VINUEZA </t>
  </si>
  <si>
    <t>IC-10562</t>
  </si>
  <si>
    <t xml:space="preserve">Fact#: 368004 Rec#: 19086 VELOZ VERA FERNANDO GREGORIO </t>
  </si>
  <si>
    <t>IC-10561</t>
  </si>
  <si>
    <t xml:space="preserve">Fact#: 366569 Rec#: 19085 BEATRIZ MARIA DEL CARMEN PACHECO BALLESTEROS </t>
  </si>
  <si>
    <t>IC-10560</t>
  </si>
  <si>
    <t xml:space="preserve">Fact#: 367005 Rec#: 19084 AVILA ORTIZ GEOVANNY FABRICIO </t>
  </si>
  <si>
    <t>IC-10559</t>
  </si>
  <si>
    <t xml:space="preserve">Fact#: 364569-367143 Rec#: 19083 FLORES GORDILLO LUIS EDUARDO </t>
  </si>
  <si>
    <t>IC-10558</t>
  </si>
  <si>
    <t xml:space="preserve">Fact#: 364360-366934 Rec#: 19082 APOLO QUEZADA IVAN RAMIRO </t>
  </si>
  <si>
    <t>IC-10557</t>
  </si>
  <si>
    <t xml:space="preserve">Fact#: 366394 Rec#: 33798 MARIA FERNANDA GONZALEZ MITE </t>
  </si>
  <si>
    <t>IC-10556</t>
  </si>
  <si>
    <t xml:space="preserve">Fact#: 366639 Rec#: 33797 MINO DOYLET YOLANDA ABIGAIL </t>
  </si>
  <si>
    <t>IC-10555</t>
  </si>
  <si>
    <t xml:space="preserve">Fact#: 367554 Rec#: 33796 SUESCUM ROMERO  NATHALY VIRINEYA  </t>
  </si>
  <si>
    <t>IC-10554</t>
  </si>
  <si>
    <t xml:space="preserve">Fact#: 367955 Rec#: 33795 AVEIGA PAINI CARLOS ENRIQUE </t>
  </si>
  <si>
    <t>IC-10553</t>
  </si>
  <si>
    <t xml:space="preserve">Fact#: 363480-366073 Rec#: 33794 BENILDA JESUS ACOSTA ZAMBRANO </t>
  </si>
  <si>
    <t>IC-10552</t>
  </si>
  <si>
    <t xml:space="preserve">Fact#: 367286 Rec#: 33793 KOPPEL ADUM ANA GIANNINA </t>
  </si>
  <si>
    <t>IC-10551</t>
  </si>
  <si>
    <t xml:space="preserve">Fact#: 4532-4763 Rec#: 33792 ZAPATA FLORES GILMAR FABRICIO </t>
  </si>
  <si>
    <t>IC-10512</t>
  </si>
  <si>
    <t>Fact#: 365989 Rec#: 34055 OTECEL</t>
  </si>
  <si>
    <t>IC-12216</t>
  </si>
  <si>
    <t xml:space="preserve">Fact#: 365714-368154 Rec#: 33790 SINERGIA MARIN SANCHEZ S.A. SINERMASA </t>
  </si>
  <si>
    <t>IC-10510</t>
  </si>
  <si>
    <t xml:space="preserve">Fact#: 364968-367531 Rec#: 33788 JARAMILLO JALON JOSE GABRIEL </t>
  </si>
  <si>
    <t>IC-10508</t>
  </si>
  <si>
    <t xml:space="preserve">Fact#: 364426-366999 Rec#: 33786 PALADINES RODRIGUEZ VICTOR EMILIO  </t>
  </si>
  <si>
    <t>IC-10506</t>
  </si>
  <si>
    <t xml:space="preserve">Fact#: 367460 Rec#: 33785 VALLEJO PROANO FABIAN IGNACIO </t>
  </si>
  <si>
    <t>IC-10505</t>
  </si>
  <si>
    <t xml:space="preserve">Fact#: 367690 Rec#: 33784 TAMMY CARMEN CAAMAÑO CORNEJO </t>
  </si>
  <si>
    <t>IC-10504</t>
  </si>
  <si>
    <t xml:space="preserve">Fact#: 367407 Rec#: 33783 ESPINOSA ESPINOZA HUGO STANLEY </t>
  </si>
  <si>
    <t>IC-10503</t>
  </si>
  <si>
    <t xml:space="preserve">Fact#: 367740 Rec#: 33782 INZHIVOTKINA YANA </t>
  </si>
  <si>
    <t>IC-10491</t>
  </si>
  <si>
    <t xml:space="preserve">Fact#: 366074 Rec#: 33781 LOURDES JANET BRITO GUILLEN </t>
  </si>
  <si>
    <t>IC-10490</t>
  </si>
  <si>
    <t xml:space="preserve">Fact#: 367108 Rec#: 33780 GUERRERO RENDON VICTORIA EDITA </t>
  </si>
  <si>
    <t>IC-10489</t>
  </si>
  <si>
    <t xml:space="preserve">Fact#: 366480 Rec#: 33779 ROSANA LETICIA VIOLA </t>
  </si>
  <si>
    <t>IC-10488</t>
  </si>
  <si>
    <t xml:space="preserve">Fact#: 365004-367566 Rec#: 33778 GUILLEN RENGIFO GLENDA ELIZABETH  </t>
  </si>
  <si>
    <t>IC-10487</t>
  </si>
  <si>
    <t xml:space="preserve">Fact#: 366215 Rec#: 33777 EVELYN ROSANGELA ARGUELLO JURADO </t>
  </si>
  <si>
    <t>IC-10486</t>
  </si>
  <si>
    <t xml:space="preserve">Fact#: 364040-366621 Rec#: 19081 ESTEFANO ATTILIO LANATA GARAICOA </t>
  </si>
  <si>
    <t>IC-10458</t>
  </si>
  <si>
    <t xml:space="preserve">Fact#: 366337 Rec#: 19080 TERESA LEONOR SALAZAR PLUAS </t>
  </si>
  <si>
    <t>IC-10457</t>
  </si>
  <si>
    <t xml:space="preserve">Fact#: 364748-367313 Rec#: 19079 PERALTA RODRIGUEZ MARLON SANTIAGO </t>
  </si>
  <si>
    <t>IC-10456</t>
  </si>
  <si>
    <t xml:space="preserve">Fact#: 367605 Rec#: 19078 SILVA ESPINOZA CARLOTA ELIZABETH </t>
  </si>
  <si>
    <t>IC-10455</t>
  </si>
  <si>
    <t xml:space="preserve">Fact#: 368024 Rec#: 19077 ORTIZ HIDALGO FRANNLIN GEOVANNY </t>
  </si>
  <si>
    <t>IC-10454</t>
  </si>
  <si>
    <t xml:space="preserve">Fact#: 367907 Rec#: 19076 CEVALLOS CRUZ DIANA JENNIFFER </t>
  </si>
  <si>
    <t>IC-10453</t>
  </si>
  <si>
    <t xml:space="preserve">Fact#: 366945 Rec#: 19075 MAYEZA REGALADO JIMMY HARRY </t>
  </si>
  <si>
    <t>IC-10452</t>
  </si>
  <si>
    <t xml:space="preserve">Fact#: 352134-354477-356881 Rec#: 19074 MORA VILLACRES DIANA CAROLINA </t>
  </si>
  <si>
    <t>IC-10451</t>
  </si>
  <si>
    <t xml:space="preserve">Fact#: 367440 Rec#: 19073 SANCHEZ MEDINA FELIX </t>
  </si>
  <si>
    <t>IC-10450</t>
  </si>
  <si>
    <t xml:space="preserve">Fact#: 363521-366114 Rec#: 19072 LAURA BEATRIZ  ENCALADA ESPINOZA </t>
  </si>
  <si>
    <t>IC-10449</t>
  </si>
  <si>
    <t xml:space="preserve">Fact#: 364018-366602 Rec#: 33776 ANGEL ROGELIO PUMA MEDINA </t>
  </si>
  <si>
    <t>IC-10448</t>
  </si>
  <si>
    <t xml:space="preserve">Fact#: 365596-365686-365964-365965-365966-365967-365968 Rec#: 33775 MEGADATOS S.A. </t>
  </si>
  <si>
    <t>IC-10447</t>
  </si>
  <si>
    <t xml:space="preserve">Fact#: 365185-367748 Rec#: 33773 PALMA ZAMAR CESAR EMILIO </t>
  </si>
  <si>
    <t>IC-10442</t>
  </si>
  <si>
    <t xml:space="preserve">Fact#: 366703 Rec#: 19071 DEL VALLE MONTECE SELENA MARIBEL </t>
  </si>
  <si>
    <t>IC-10440</t>
  </si>
  <si>
    <t xml:space="preserve">Fact#: 359703-362218-364764 Rec#: 19070 VELEZ LOZANO HECTOR EDUARDO </t>
  </si>
  <si>
    <t>IC-10439</t>
  </si>
  <si>
    <t xml:space="preserve">Fact#: 363450-366044 Rec#: 19069 ALFREDO BARRIGA HOLGUIN </t>
  </si>
  <si>
    <t>IC-10438</t>
  </si>
  <si>
    <t xml:space="preserve">Fact#: 367406 Rec#: 19068 BELLO MENDEZ JOSELINE ZORAIDA </t>
  </si>
  <si>
    <t>IC-10437</t>
  </si>
  <si>
    <t xml:space="preserve">Fact#: 361939-364488-367060 Rec#: 19067 ANZULES LEMA JUAN GABRIEL </t>
  </si>
  <si>
    <t>IC-10436</t>
  </si>
  <si>
    <t>Fact#: 363433-366026 Rec#: 33791 MANUEL ALFREDO MENDOZA RODRIGUEZ</t>
  </si>
  <si>
    <t>IC-10511</t>
  </si>
  <si>
    <t xml:space="preserve">Fact#: 357837-360308 Rec#: 33787 GRANOBLE OBANDO TANIA MARICELA </t>
  </si>
  <si>
    <t>IC-10507</t>
  </si>
  <si>
    <t xml:space="preserve">Fact#: 363649-366237 Rec#: 33774 JUAN GABRIEL RODRIGUEZ FERNANDEZ </t>
  </si>
  <si>
    <t>IC-10443</t>
  </si>
  <si>
    <t xml:space="preserve">Fact#: 366396 Rec#: 33772 ENRIQUE FEDERICO ARENAS PILATAXI </t>
  </si>
  <si>
    <t>IC-10441</t>
  </si>
  <si>
    <t xml:space="preserve">Fact#: 360926-363485-366078 Rec#: 19066 MARCOS ROBERTO CALDERON VELASQUEZ </t>
  </si>
  <si>
    <t>IC-10435</t>
  </si>
  <si>
    <t xml:space="preserve">Fact#: 365348-367930 Rec#: 19065 JIMENEZ JIMENEZ GABRIEL BENANCIO </t>
  </si>
  <si>
    <t>IC-10434</t>
  </si>
  <si>
    <t xml:space="preserve">Fact#: 366587 Rec#: 19064 NEY AQUILES APOLINARIO RODRIGUEZ </t>
  </si>
  <si>
    <t>IC-10433</t>
  </si>
  <si>
    <t xml:space="preserve">Fact#: 366586 Rec#: 19063 NARCISA MIRELLA ANDRADE SALTOS </t>
  </si>
  <si>
    <t>IC-10432</t>
  </si>
  <si>
    <t xml:space="preserve">Fact#: 362212-364758-367322 Rec#: 19062 CABRERA GOMEZ MARTHA INES </t>
  </si>
  <si>
    <t>IC-10431</t>
  </si>
  <si>
    <t xml:space="preserve">Fact#: 366851 Rec#: 19061 MORA URRUTIA MACARENA IVONNE </t>
  </si>
  <si>
    <t>IC-10430</t>
  </si>
  <si>
    <t xml:space="preserve">Fact#: 364609-367180 Rec#: 19060 CABELLO CHIRIGUAYA DAVID ELIAS </t>
  </si>
  <si>
    <t>IC-10429</t>
  </si>
  <si>
    <t xml:space="preserve">Fact#: 366826 Rec#: 19059 GOMEZ CALDERON ALEXANDRA ELIZABETH </t>
  </si>
  <si>
    <t>IC-10428</t>
  </si>
  <si>
    <t xml:space="preserve">Fact#: 366681 Rec#: 19058 VASQUEZ AYALA MARIA DE LOURDES </t>
  </si>
  <si>
    <t>IC-10427</t>
  </si>
  <si>
    <t xml:space="preserve">Fact#: 366901 Rec#: 19057 RIVADENEIRA SACON GRACE ALEXANDRA </t>
  </si>
  <si>
    <t>IC-10426</t>
  </si>
  <si>
    <t xml:space="preserve">Fact#: 364555-367129 Rec#: 19056 HERNANDEZ MARIA ISABEL </t>
  </si>
  <si>
    <t>IC-10425</t>
  </si>
  <si>
    <t xml:space="preserve">Fact#: 361620-364176-366754 Rec#: 19055 CASTRO RIVERA JONATHAN GEOVANNY </t>
  </si>
  <si>
    <t>IC-10424</t>
  </si>
  <si>
    <t xml:space="preserve">Fact#: 367199 Rec#: 19054 SANCHEZ AGUILAR SORAYA PATRICIA </t>
  </si>
  <si>
    <t>IC-10423</t>
  </si>
  <si>
    <t xml:space="preserve">Fact#: 362319-364864-367427 Rec#: 19053 FERRIN ANDRADE ERICKA MARIUXI </t>
  </si>
  <si>
    <t>IC-10422</t>
  </si>
  <si>
    <t xml:space="preserve">Fact#: 361434-363987-366571 Rec#: 19052 CESAR VICENTE ALDAZABAL ALZAMORA </t>
  </si>
  <si>
    <t>IC-10421</t>
  </si>
  <si>
    <t>Fact#: 363396 Rec#: 33789 CONSORCIO ECUATORIANO DE TELECOMUNICACIONES S.A. CONECEL</t>
  </si>
  <si>
    <t>IC-10509</t>
  </si>
  <si>
    <t xml:space="preserve">Fact#: 365559 Rec#: 33770 DVT DEL ECUADOR S.A </t>
  </si>
  <si>
    <t>IC-10414</t>
  </si>
  <si>
    <t xml:space="preserve">Fact#: 365176-367739 Rec#: 33769 ARIAS ALVAREZ GLADYS MERCEDES </t>
  </si>
  <si>
    <t>IC-10413</t>
  </si>
  <si>
    <t xml:space="preserve">Fact#: 365153 Rec#: 33771 CAMPOSANO VACA GLENDA MARJORIE </t>
  </si>
  <si>
    <t>IC-10416</t>
  </si>
  <si>
    <t xml:space="preserve">Fact#: 364952 Rec#: 33767 JAIME ALBERTO  RINCON GOMEZ </t>
  </si>
  <si>
    <t>IC-10404</t>
  </si>
  <si>
    <t xml:space="preserve">Fact#: 365876 Rec#: 33766 INDUSTRIAL JUVENALIS S.A.  </t>
  </si>
  <si>
    <t>IC-10403</t>
  </si>
  <si>
    <t xml:space="preserve">Fact#: 360853-363412 Rec#: 33765 ANA MIRIAM ACUÑA AUCATOMA </t>
  </si>
  <si>
    <t>IC-10401</t>
  </si>
  <si>
    <t>PAGO TARJ. CORP. CUOTA MES DE JUL-2021</t>
  </si>
  <si>
    <t xml:space="preserve">Fact#: 363444 Rec#: 33768 SERGIO ANDRES SEMMINARIO VALENZUELA </t>
  </si>
  <si>
    <t>IC-10412</t>
  </si>
  <si>
    <t xml:space="preserve">Fact#: 363344-365932 Rec#: 33764 LUZURIAGA CAMPOVERDE MILTON JAIRO </t>
  </si>
  <si>
    <t>IC-10395</t>
  </si>
  <si>
    <t xml:space="preserve">Fact#: 363343-365931 Rec#: 33763 LUZURIAGA CAMPOVERDE MILTON JAIRO </t>
  </si>
  <si>
    <t>IC-10394</t>
  </si>
  <si>
    <t xml:space="preserve">Fact#: 352209-354550-356957 Rec#: 19051 HUALCA ALVARADO GERARDO VLADIMIR </t>
  </si>
  <si>
    <t>IC-10393</t>
  </si>
  <si>
    <t xml:space="preserve">Fact#: 363037-365632 Rec#: 33762 ALENBRAC S.A. </t>
  </si>
  <si>
    <t>IC-10380</t>
  </si>
  <si>
    <t xml:space="preserve">Fact#: 365992 Rec#: 33761 SILVIA XIMENA CHAVEZ CABRERA </t>
  </si>
  <si>
    <t>IC-10379</t>
  </si>
  <si>
    <t xml:space="preserve">Fact#: 298076-300740-303410 Rec#: 33759 SILVIA XIMENA CHAVEZ CABRERA </t>
  </si>
  <si>
    <t>IC-10375</t>
  </si>
  <si>
    <t xml:space="preserve">Fact#: 365616 Rec#: 33758 WANHAI LINES ECUADOR S.A. </t>
  </si>
  <si>
    <t>IC-10374</t>
  </si>
  <si>
    <t xml:space="preserve">Fact#: 365702 Rec#: 33757 CIPORT &amp; TECNAC CIPTE C.L </t>
  </si>
  <si>
    <t>IC-10373</t>
  </si>
  <si>
    <t xml:space="preserve">Fact#: 364589 Rec#: 19050 TOALA VELEZ CONSUELO ELIZABETH </t>
  </si>
  <si>
    <t>IC-10366</t>
  </si>
  <si>
    <t xml:space="preserve">Fact#: 363759 Rec#: 19049 MARIA ELIZABETH SANTOS MACIAS </t>
  </si>
  <si>
    <t>IC-10365</t>
  </si>
  <si>
    <t xml:space="preserve">Fact#: 363540 Rec#: 19048 ROSA MARGARITA  BARRIGA CANTOS </t>
  </si>
  <si>
    <t>IC-10364</t>
  </si>
  <si>
    <t xml:space="preserve">Fact#: 363594 Rec#: 19047 DE LUCCA MEJIA ROSA ELVIRA </t>
  </si>
  <si>
    <t>IC-10363</t>
  </si>
  <si>
    <t xml:space="preserve">Fact#: 365903 Rec#: 19046 PROVEEDORA ANDINA DE ALARMAS INCORPORADAS S.A. PRANAINC </t>
  </si>
  <si>
    <t>IC-10362</t>
  </si>
  <si>
    <t xml:space="preserve">Fact#: 362794-365331 Rec#: 19045 COELLO ACOSTA JUSTINA SUSANA </t>
  </si>
  <si>
    <t>IC-10361</t>
  </si>
  <si>
    <t xml:space="preserve">Fact#: 363710 Rec#: 19044 JANETH CATALINA DAVILA TOMALA </t>
  </si>
  <si>
    <t>IC-10360</t>
  </si>
  <si>
    <t xml:space="preserve">Fact#: 365317 Rec#: 19043 CONTRERAS RODRIGUEZ EUBENIA MARIETA </t>
  </si>
  <si>
    <t>IC-10359</t>
  </si>
  <si>
    <t xml:space="preserve">Fact#: 359601-362118-364663 Rec#: 19042 ALVAREZ CASTILLO AURORA DEL CISNE </t>
  </si>
  <si>
    <t>IC-10358</t>
  </si>
  <si>
    <t xml:space="preserve">Fact#: 364226 Rec#: 19041 ZAMBRANO MOREIRA LUIS ALFREDO </t>
  </si>
  <si>
    <t>IC-10357</t>
  </si>
  <si>
    <t xml:space="preserve">Fact#: 364697 Rec#: 19040 ALZAMORA ALVARADO HECTOR JAVIER </t>
  </si>
  <si>
    <t>IC-10356</t>
  </si>
  <si>
    <t xml:space="preserve">Fact#: 361244-363799 Rec#: 19039 BERNABE LEONEL MARCILLO MARCILLO </t>
  </si>
  <si>
    <t>IC-10355</t>
  </si>
  <si>
    <t xml:space="preserve">Fact#: 363518 Rec#: 33756 CARMEN NARCISA  JURADO PAREDES </t>
  </si>
  <si>
    <t>IC-10354</t>
  </si>
  <si>
    <t xml:space="preserve">Fact#: 363587 Rec#: 33755 VILLAO JURADO ANDREA BELEN </t>
  </si>
  <si>
    <t>IC-10353</t>
  </si>
  <si>
    <t xml:space="preserve">Fact#: 365499 Rec#: 33754 GUAICHA PINCAY DANIEL AUGUSTO </t>
  </si>
  <si>
    <t>IC-10352</t>
  </si>
  <si>
    <t xml:space="preserve">Fact#: 361656-364211 Rec#: 33753 SUQUILANDA VERA MICHAEL ANTONIO </t>
  </si>
  <si>
    <t>IC-10351</t>
  </si>
  <si>
    <t xml:space="preserve">Fact#: 363464 Rec#: 33752 LAURO DAVID TORRES CARRILLO </t>
  </si>
  <si>
    <t>IC-10350</t>
  </si>
  <si>
    <t xml:space="preserve">Fact#: 360687-363232-365826 Rec#: 33751 SOLUCIONES WANDARINA S.A  </t>
  </si>
  <si>
    <t>IC-10349</t>
  </si>
  <si>
    <t xml:space="preserve">Fact#: 358254-360795-363340 Rec#: 19038 BROKER BALUARTE F&amp;L BALUARTEFLJ CIA LTDA  </t>
  </si>
  <si>
    <t>IC-10334</t>
  </si>
  <si>
    <t xml:space="preserve">Fact#: 357366-359834-362348 Rec#: 19037 LEON VILLALVA JUAN CARLOS </t>
  </si>
  <si>
    <t>IC-10333</t>
  </si>
  <si>
    <t xml:space="preserve">Fact#: 363708 Rec#: 19036 GINGER LIZBETH GOMEZ CALDERON </t>
  </si>
  <si>
    <t>IC-10332</t>
  </si>
  <si>
    <t xml:space="preserve">Fact#: 362176-364721 Rec#: 19035 FRANCO RODRIGUEZ FEDERICO ENRIQUE </t>
  </si>
  <si>
    <t>IC-10331</t>
  </si>
  <si>
    <t xml:space="preserve">Fact#: 363696 Rec#: 33750 GIOMAR PAOLA CHOEZ CATUTO </t>
  </si>
  <si>
    <t>IC-10330</t>
  </si>
  <si>
    <t xml:space="preserve">Fact#: 364810 Rec#: 19034 SANTANA MORENO SAUL AUGUSTO </t>
  </si>
  <si>
    <t>IC-10328</t>
  </si>
  <si>
    <t xml:space="preserve">Fact#: 364225 Rec#: 19033 DIAZ CHAMBA WALTER OVIDIO </t>
  </si>
  <si>
    <t>IC-10327</t>
  </si>
  <si>
    <t xml:space="preserve">Fact#: 364656 Rec#: 19032 CHUCA CHANCAY ANDREA BETZABETH </t>
  </si>
  <si>
    <t>IC-10326</t>
  </si>
  <si>
    <t xml:space="preserve">Fact#: 359888-362404-364948 Rec#: 19031 HOLGUIN VAQUE PEDRO PABLO </t>
  </si>
  <si>
    <t>IC-10325</t>
  </si>
  <si>
    <t xml:space="preserve">Fact#: 4530-4761 Rec#: 19030 CORONEL CARRION DOLY ALBERTINA DE LOURDES </t>
  </si>
  <si>
    <t>IC-10324</t>
  </si>
  <si>
    <t xml:space="preserve">Fact#: 365918 Rec#: 19029 DISTRIBUIDORA DE PRODUCTOS DE CONSUMO MASIVO CODIPROMASA C.A. </t>
  </si>
  <si>
    <t>IC-10323</t>
  </si>
  <si>
    <t xml:space="preserve">Fact#: 365917 Rec#: 19028 DISTRIBUIDORA DE PRODUCTOS DE CONSUMO MASIVO CODIPROMASA C.A. </t>
  </si>
  <si>
    <t>IC-10322</t>
  </si>
  <si>
    <t xml:space="preserve">Fact#: 361124-363681 Rec#: 19027 EVELYN DAYANA LINO DELGADO </t>
  </si>
  <si>
    <t>IC-10321</t>
  </si>
  <si>
    <t xml:space="preserve">Fact#: 364010 Rec#: 19026 GABRIEL CLEMENTE MEJIA MATA </t>
  </si>
  <si>
    <t>IC-10320</t>
  </si>
  <si>
    <t xml:space="preserve">Fact#: 364133 Rec#: 19025 CARRILLO ANCHUNDIA FLOR MARIA </t>
  </si>
  <si>
    <t>IC-10319</t>
  </si>
  <si>
    <t xml:space="preserve">Fact#: 361747-364298 Rec#: 19024 ROCAFUERTE FIGUEROA DILGLA MARIANELA </t>
  </si>
  <si>
    <t>IC-10318</t>
  </si>
  <si>
    <t xml:space="preserve">Fact#: 364947 Rec#: 19023 ZAPATA ROMERO ROBERTO DRUVAL </t>
  </si>
  <si>
    <t>IC-10317</t>
  </si>
  <si>
    <t xml:space="preserve">Fact#: 365689 Rec#: 19022 CAPACITACIONES Y EVENTOS ARTE&amp;CAFE ZAMPRO S A </t>
  </si>
  <si>
    <t>IC-10316</t>
  </si>
  <si>
    <t xml:space="preserve">Fact#: 365174 Rec#: 19021 ANDRADE RIVERA RAFAEL ALBERTO </t>
  </si>
  <si>
    <t>IC-10315</t>
  </si>
  <si>
    <t xml:space="preserve">Fact#: 365880 Rec#: 19020 SEGURIDAD &amp; PROTECCION TECNICA SEPROTECSECURITY CIA. LTDA.  </t>
  </si>
  <si>
    <t>IC-10314</t>
  </si>
  <si>
    <t xml:space="preserve">Fact#: 364171 Rec#: 19019 LUQUE RIVAS MARIA ROSA </t>
  </si>
  <si>
    <t>IC-10313</t>
  </si>
  <si>
    <t xml:space="preserve">Fact#: 365322 Rec#: 19018 FALQUEZ SALAVARRIA PATRICIA AZUCENA </t>
  </si>
  <si>
    <t>IC-10312</t>
  </si>
  <si>
    <t xml:space="preserve">Fact#: 364130 Rec#: 19017 PLAZA CHUNGA SILVIA MARIA </t>
  </si>
  <si>
    <t>IC-10311</t>
  </si>
  <si>
    <t xml:space="preserve">Fact#: 364548 Rec#: 19016 SANCHEZ QUINCHUELA INES MONICA </t>
  </si>
  <si>
    <t>IC-10310</t>
  </si>
  <si>
    <t xml:space="preserve">Fact#: 363476 Rec#: 33749 GLORIA ISABEL MITE LEON </t>
  </si>
  <si>
    <t>IC-10309</t>
  </si>
  <si>
    <t xml:space="preserve">Fact#: 363911 Rec#: 33748 GALLEGOS ABARCA FILOMENA RUTH </t>
  </si>
  <si>
    <t>IC-10308</t>
  </si>
  <si>
    <t xml:space="preserve">Fact#: 360789-363335-365925 Rec#: 33747 UNIPACK S.A. </t>
  </si>
  <si>
    <t>IC-10305</t>
  </si>
  <si>
    <t xml:space="preserve">Fact#: 365749 Rec#: 33745 PAYLESS SHOESOURCE ECUADOR CIA. LTDA. </t>
  </si>
  <si>
    <t>IC-10277</t>
  </si>
  <si>
    <t xml:space="preserve">Fact#: 364775 Rec#: 19015 CERCADO MENDOZA MARIA AUXILIADORA </t>
  </si>
  <si>
    <t>IC-10271</t>
  </si>
  <si>
    <t xml:space="preserve">Fact#: 361991-364533 Rec#: 19014 CALONGE GUERRERO JAIR </t>
  </si>
  <si>
    <t>IC-10270</t>
  </si>
  <si>
    <t xml:space="preserve">Fact#: 4894 Rec#: 19013 AGUILAR ECHEVERRIA LUIS FERNANDO </t>
  </si>
  <si>
    <t>IC-10269</t>
  </si>
  <si>
    <t xml:space="preserve">Fact#: 364886 Rec#: 19012 FLOREZ QUINTERO DIEGO ERNESTO </t>
  </si>
  <si>
    <t>IC-10268</t>
  </si>
  <si>
    <t>Fact#: 367387 Rec#: 19143 MORENO TELLO CELI DURINDANA</t>
  </si>
  <si>
    <t>IC-10665</t>
  </si>
  <si>
    <t xml:space="preserve">Fact#: 362096-364640 Rec#: 19011 REYES PINCAY JORGE VICTOR </t>
  </si>
  <si>
    <t>IC-10267</t>
  </si>
  <si>
    <t xml:space="preserve">Fact#: 361459-364013 Rec#: 19010 LAURA MARIA NOBOA BAQUERIZO </t>
  </si>
  <si>
    <t>IC-10266</t>
  </si>
  <si>
    <t xml:space="preserve">Fact#: 362172-364717 Rec#: 19009 ARCENTALES DOMINGUEZ JOSE LEONIDAS </t>
  </si>
  <si>
    <t>IC-10265</t>
  </si>
  <si>
    <t xml:space="preserve">Fact#: 363972 Rec#: 19008 NELSON ENRIQUE FLORES ENRIQUEZ </t>
  </si>
  <si>
    <t>IC-10264</t>
  </si>
  <si>
    <t xml:space="preserve">Fact#: 363837 Rec#: 19007 CESAR ORLANDO VALLEJO VERA </t>
  </si>
  <si>
    <t>IC-10263</t>
  </si>
  <si>
    <t xml:space="preserve">Fact#: 4937 Rec#: 19006 INKA BURGER </t>
  </si>
  <si>
    <t>IC-10262</t>
  </si>
  <si>
    <t xml:space="preserve">Fact#: 365705 Rec#: 19005 DULCES, PASTELES Y TORTAS RADU S.A. </t>
  </si>
  <si>
    <t>IC-10261</t>
  </si>
  <si>
    <t xml:space="preserve">Fact#: 365747 Rec#: 19004 DULCES, PASTELES Y TORTAS RADU S.A. </t>
  </si>
  <si>
    <t>IC-10260</t>
  </si>
  <si>
    <t xml:space="preserve">Fact#: 364432 Rec#: 19003 SALAZAR TELLO NICOLAS EDUARDO </t>
  </si>
  <si>
    <t>IC-10259</t>
  </si>
  <si>
    <t xml:space="preserve">Fact#: 4775 Rec#: 19002 ZABALA BARRIONUEVO RITA CECILIA </t>
  </si>
  <si>
    <t>IC-10258</t>
  </si>
  <si>
    <t xml:space="preserve">Fact#: 361740-364291 Rec#: 19001 ORTIZ ACOSTA HERNAN GONZALO </t>
  </si>
  <si>
    <t>IC-10257</t>
  </si>
  <si>
    <t>Fact#: 365717 Rec#: 33734 DATA TOOLS S.A.</t>
  </si>
  <si>
    <t>IC-11015</t>
  </si>
  <si>
    <t xml:space="preserve">Fact#: 365718 Rec#: 33760 FERRUX S.A. </t>
  </si>
  <si>
    <t>IC-10377</t>
  </si>
  <si>
    <t xml:space="preserve">Fact#: 364455 Rec#: 19000 VALENCIA NIEVES BYRON BOLIVAR </t>
  </si>
  <si>
    <t>IC-10256</t>
  </si>
  <si>
    <t xml:space="preserve">Fact#: 354636-357041-359507 Rec#: 18999 PALMA MACIAS ROBERTO CARLOS </t>
  </si>
  <si>
    <t>IC-10255</t>
  </si>
  <si>
    <t xml:space="preserve">Fact#: 362923-365459 Rec#: 18998 CEDENO PINCAY JOSE MANUEL </t>
  </si>
  <si>
    <t>IC-10254</t>
  </si>
  <si>
    <t xml:space="preserve">Fact#: 362053-364594 Rec#: 18996 MARIN CESAR EDUARDO </t>
  </si>
  <si>
    <t>IC-10252</t>
  </si>
  <si>
    <t xml:space="preserve">Fact#: 364659 Rec#: 18995 CORTEZ CANTOS  PEDRO PABLO  </t>
  </si>
  <si>
    <t>IC-10251</t>
  </si>
  <si>
    <t xml:space="preserve">Fact#: 359917-362433-364978 Rec#: 18994 PANTA GARZON MARCOS STALYN </t>
  </si>
  <si>
    <t>IC-10250</t>
  </si>
  <si>
    <t xml:space="preserve">Fact#: 358944-361465-364019 Rec#: 18993 PAUL FERNANDO SEGURA MACIAS </t>
  </si>
  <si>
    <t>IC-10249</t>
  </si>
  <si>
    <t xml:space="preserve">Fact#: 361049-363604 Rec#: 18992 BELLA FRANCISCA FARIAS BANEGAS </t>
  </si>
  <si>
    <t>IC-10248</t>
  </si>
  <si>
    <t xml:space="preserve">Fact#: 352063-354402-356806 Rec#: 18991 CRISPIN ALTAMIRANO  MONICA ELIZABETH </t>
  </si>
  <si>
    <t>IC-10247</t>
  </si>
  <si>
    <t xml:space="preserve">Fact#: 364915 Rec#: 18990 JIMENEZ OCHOA LUIS ENRIQUE </t>
  </si>
  <si>
    <t>IC-10246</t>
  </si>
  <si>
    <t xml:space="preserve">Fact#: 361572-364124 Rec#: 18989 MURILLO MIRANDA GUILLERMO XAVIER </t>
  </si>
  <si>
    <t>IC-10245</t>
  </si>
  <si>
    <t xml:space="preserve">Fact#: 329058-331896-334810-337750-340742-344266 Rec#: 18988 MARTILLO BUSTAMANTE JIMMY JAVIER </t>
  </si>
  <si>
    <t>IC-10244</t>
  </si>
  <si>
    <t xml:space="preserve">Fact#: 365323 Rec#: 18987 MEZA ANDRADE PAUL EDUARDO </t>
  </si>
  <si>
    <t>IC-10243</t>
  </si>
  <si>
    <t xml:space="preserve">Fact#: 364034 Rec#: 18986 MERO MANTUANO DARWIN IVAN </t>
  </si>
  <si>
    <t>IC-10242</t>
  </si>
  <si>
    <t xml:space="preserve">Fact#: 365418 Rec#: 33744 SAN ANDRES HERNANDEZ JAIME EDUARDO </t>
  </si>
  <si>
    <t>IC-10241</t>
  </si>
  <si>
    <t xml:space="preserve">Fact#: 346307 Rec#: 33743 COBREXLEG SA  </t>
  </si>
  <si>
    <t>IC-10240</t>
  </si>
  <si>
    <t xml:space="preserve">Fact#: 358814-361336-363891 Rec#: 33742 ROSANA LETICIA VIOLA </t>
  </si>
  <si>
    <t>IC-10239</t>
  </si>
  <si>
    <t xml:space="preserve">Fact#: 363409 Rec#: 33741 JORGE ALFREDO FRANCO MORAN </t>
  </si>
  <si>
    <t>IC-10238</t>
  </si>
  <si>
    <t xml:space="preserve">Fact#: 363461 Rec#: 33740 VICTOR HUGO PEZO AQUINO </t>
  </si>
  <si>
    <t>IC-10237</t>
  </si>
  <si>
    <t xml:space="preserve">Fact#: 364096 Rec#: 33739 CARRIEL DELGADO SIRLYS JADIRA </t>
  </si>
  <si>
    <t>IC-10236</t>
  </si>
  <si>
    <t xml:space="preserve">Fact#: 364279 Rec#: 33738 PERALTA CASTILLO ELSA DEL ROCIO </t>
  </si>
  <si>
    <t>IC-10235</t>
  </si>
  <si>
    <t xml:space="preserve">Fact#: 363425 Rec#: 33737 RAFAEL VICENTE ERAZO FALQUEZ </t>
  </si>
  <si>
    <t>IC-10234</t>
  </si>
  <si>
    <t xml:space="preserve">Fact#: 361071-363626 Rec#: 33736 EVELYN ROSANGELA ARGUELLO JURADO </t>
  </si>
  <si>
    <t>IC-10233</t>
  </si>
  <si>
    <t xml:space="preserve">Fact#: 364069 Rec#: 33735 ORTIZ CARRILLO ROBERTO JAVIER </t>
  </si>
  <si>
    <t>IC-10227</t>
  </si>
  <si>
    <t xml:space="preserve">Fact#: 360334 Rec#: 33733 VELEZ SALMERON ELENA YOLANDA </t>
  </si>
  <si>
    <t>IC-10210</t>
  </si>
  <si>
    <t xml:space="preserve">Fact#: 363001-363092-363374-363375-363376-363377-363378 Rec#: 33731 MEGADATOS S.A. </t>
  </si>
  <si>
    <t>IC-10208</t>
  </si>
  <si>
    <t>CAROLINA JEANNETTE  BORDES ESTRADA ABONA SGTE FACTURA, BCO PACIFICO POR VENTANILLA</t>
  </si>
  <si>
    <t>AT-3314</t>
  </si>
  <si>
    <t>N/D PRODUBANCO TRANSF. REEMBOLSO POR MOVILIZACIÓN Y CUMPLEAÑOS DE JULIO, A MERELO ANGULO</t>
  </si>
  <si>
    <t>N/D PACIFICO TRANSF. PAGO DE FONDOS DE RESERVA MES DE JUNIO 2021</t>
  </si>
  <si>
    <t>N/D PACIFICO TRANSF. ANTICIPO A FACTURA MES DE JULIO 2021, A PABLO BAQUERIZO DAVILA</t>
  </si>
  <si>
    <t>N/D PACIFICO TRANSF. ROLES DE PAGO 1ERA QUINCENA MES DE JULIO 2021</t>
  </si>
  <si>
    <t xml:space="preserve">Fact#: 351939-354274-356683 Rec#: 18985 SARMIENTO SARMIENTO JULIO RODRIGO </t>
  </si>
  <si>
    <t>IC-10198</t>
  </si>
  <si>
    <t xml:space="preserve">Fact#: 364063 Rec#: 18984 TAMAYO CARABALLOSO LISANDRA MERCEDES </t>
  </si>
  <si>
    <t>IC-10197</t>
  </si>
  <si>
    <t xml:space="preserve">Fact#: 365597 Rec#: 18983 ASOCIACION DE PROPIETARIOS DE LA URBANIZACION PUER </t>
  </si>
  <si>
    <t>IC-10196</t>
  </si>
  <si>
    <t xml:space="preserve">Fact#: 364315 Rec#: 18982 SIMISTERRA MICOLTA RUBEN DARIO </t>
  </si>
  <si>
    <t>IC-10195</t>
  </si>
  <si>
    <t xml:space="preserve">Fact#: 363702 Rec#: 18981 MARIA DEL ROSARIO GUZMAN MASPONS </t>
  </si>
  <si>
    <t>IC-10194</t>
  </si>
  <si>
    <t xml:space="preserve">Fact#: 364575 Rec#: 18980 BALSECA CALVA GRACIELA RAQUEL </t>
  </si>
  <si>
    <t>IC-10193</t>
  </si>
  <si>
    <t xml:space="preserve">Fact#: 364703 Rec#: 18979 SOLEDISPA ACEBO MILTON ANTONIO </t>
  </si>
  <si>
    <t>IC-10192</t>
  </si>
  <si>
    <t xml:space="preserve">Fact#: 363756 Rec#: 18978 LUIS JOSE GUTIERREZ CASTILLO </t>
  </si>
  <si>
    <t>IC-10191</t>
  </si>
  <si>
    <t xml:space="preserve">Fact#: 324855-327621-330418-333301-336241-339202-342198-345722-348225 Rec#: 18977 BONILLA MIELES MAXIMO REMIGIO </t>
  </si>
  <si>
    <t>IC-10190</t>
  </si>
  <si>
    <t xml:space="preserve">Fact#: 350104-352350-354693 Rec#: 18976 RODRIGUEZ LLAMUCA JOHANNA MIREYA </t>
  </si>
  <si>
    <t>IC-10189</t>
  </si>
  <si>
    <t xml:space="preserve">Fact#: 360772-363317-365910 Rec#: 18975 RUIZ CARRION MARIA DANIELA </t>
  </si>
  <si>
    <t>IC-10188</t>
  </si>
  <si>
    <t xml:space="preserve">Fact#: 363460 Rec#: 18974 MICHELLE LAI YIM LOPEZ CORDOVA </t>
  </si>
  <si>
    <t>IC-10187</t>
  </si>
  <si>
    <t xml:space="preserve">Fact#: 362083-364626 Rec#: 18973 CASTRO BARZOLA KEVIN JONATHAN </t>
  </si>
  <si>
    <t>IC-10186</t>
  </si>
  <si>
    <t xml:space="preserve">Fact#: 365261 Rec#: 18972 VERA GUZMAN MARIA DOLORES </t>
  </si>
  <si>
    <t>IC-10185</t>
  </si>
  <si>
    <t xml:space="preserve">Fact#: 365162 Rec#: 18971 MIRANDA TORRES JUAN ERNESTO </t>
  </si>
  <si>
    <t>IC-10184</t>
  </si>
  <si>
    <t xml:space="preserve">Fact#: 362713-365262 Rec#: 18970 TORRES VILLA GENESIS ELENA </t>
  </si>
  <si>
    <t>IC-10183</t>
  </si>
  <si>
    <t xml:space="preserve">Fact#: 363769 Rec#: 18969 CARLOS ENRIQUE TAPIA TAPIA </t>
  </si>
  <si>
    <t>IC-10182</t>
  </si>
  <si>
    <t xml:space="preserve">Fact#: 364156 Rec#: 18968 CHACHA MOREIRA SINTIA PAOLA </t>
  </si>
  <si>
    <t>IC-10181</t>
  </si>
  <si>
    <t xml:space="preserve">Fact#: 364121 Rec#: 18967 DEL VALLE MONTECE SELENA MARIBEL </t>
  </si>
  <si>
    <t>IC-10180</t>
  </si>
  <si>
    <t xml:space="preserve">Fact#: 365095 Rec#: 33730 IRIGOYEN NEGRON MARIA TERESA </t>
  </si>
  <si>
    <t>IC-10179</t>
  </si>
  <si>
    <t xml:space="preserve">Fact#: 363528 Rec#: 33729 TANNIA ELIZABETH  CARRERA CALDERON </t>
  </si>
  <si>
    <t>IC-10178</t>
  </si>
  <si>
    <t xml:space="preserve">Fact#: 363000-365595 Rec#: 33728 LABORATORIO BIOTANICALS DEL ECUADOR S.A. </t>
  </si>
  <si>
    <t>IC-10177</t>
  </si>
  <si>
    <t xml:space="preserve">Fact#: 362999-365594 Rec#: 33727 LABORATORIO BIOTANICALS DEL ECUADOR S.A. </t>
  </si>
  <si>
    <t>IC-10176</t>
  </si>
  <si>
    <t xml:space="preserve">Fact#: 363502 Rec#: 33726 HUGO ANTONIO SALMERON ACOSTA </t>
  </si>
  <si>
    <t>IC-10175</t>
  </si>
  <si>
    <t xml:space="preserve">Fact#: 365793 Rec#: 33725 ADUANOVACORP S.A.  </t>
  </si>
  <si>
    <t>IC-10174</t>
  </si>
  <si>
    <t xml:space="preserve">Fact#: 359516-362036-364577 Rec#: 33724 SALAS PLUAS PAULO ROBERTO </t>
  </si>
  <si>
    <t>IC-10173</t>
  </si>
  <si>
    <t xml:space="preserve">Fact#: 362820-365356 Rec#: 33723 GUANOLUISA SALAZAR ALEX OSWALDO </t>
  </si>
  <si>
    <t>IC-10162</t>
  </si>
  <si>
    <t xml:space="preserve">Fact#: 362545 Rec#: 33722 CAMACHO SILVA JAVIER ENRIQUE </t>
  </si>
  <si>
    <t>IC-10156</t>
  </si>
  <si>
    <t xml:space="preserve">Fact#: 365909 Rec#: 33818 REPROLIMIT CIA.LTDA  </t>
  </si>
  <si>
    <t>IC-10692</t>
  </si>
  <si>
    <t xml:space="preserve">Fact#: 364833 Rec#: 33803 GABINO MIRANDA DAVID EDUARDO </t>
  </si>
  <si>
    <t>IC-10602</t>
  </si>
  <si>
    <t xml:space="preserve">Fact#: 340143-343672-346666 Rec#: 33746 YOLANDA VERONICA MARTINEZ ESPINOZA </t>
  </si>
  <si>
    <t>IC-10278</t>
  </si>
  <si>
    <t xml:space="preserve">Fact#: 363458 Rec#: 33721 JAVIER MAURICIO RODRIGO ALBAN </t>
  </si>
  <si>
    <t>IC-10152</t>
  </si>
  <si>
    <t xml:space="preserve">Fact#: 364281 Rec#: 33720 PAZMINO PRIETO SIXTO JAVIER </t>
  </si>
  <si>
    <t>IC-10151</t>
  </si>
  <si>
    <t xml:space="preserve">Fact#: 364592 Rec#: 18966 INFANTE MINDIOLA JULIA MARLENE </t>
  </si>
  <si>
    <t>IC-10148</t>
  </si>
  <si>
    <t xml:space="preserve">Fact#: 365849 Rec#: 18965 BRODERIN S.A  </t>
  </si>
  <si>
    <t>IC-10147</t>
  </si>
  <si>
    <t xml:space="preserve">Fact#: 365537 Rec#: 18964 ASOCIACION DE PROPIETARIOS III ETAPA LONDRES </t>
  </si>
  <si>
    <t>IC-10146</t>
  </si>
  <si>
    <t xml:space="preserve">Fact#: 365827 Rec#: 18963 ALVARADO BASURTO SEGUNDO GABRIEL </t>
  </si>
  <si>
    <t>IC-10145</t>
  </si>
  <si>
    <t xml:space="preserve">Fact#: 362443-364988 Rec#: 18962 FLORES ORTEGA MERCEDES ROCIO </t>
  </si>
  <si>
    <t>IC-10144</t>
  </si>
  <si>
    <t xml:space="preserve">Fact#: 364284 Rec#: 18961 VALLEJO MARTINEZ LEIDIZ DIANA </t>
  </si>
  <si>
    <t>IC-10143</t>
  </si>
  <si>
    <t xml:space="preserve">Fact#: 365302 Rec#: 18960 RODRIGUEZ VALVERDE MARGARITA ELIZABETH </t>
  </si>
  <si>
    <t>IC-10142</t>
  </si>
  <si>
    <t xml:space="preserve">Fact#: 363642 Rec#: 18959 MARIA ELENA MORA LUZCANDO </t>
  </si>
  <si>
    <t>IC-10141</t>
  </si>
  <si>
    <t xml:space="preserve">Fact#: 359336-361861-364414 Rec#: 18958 ESCANDON DIAZ FRANCISCO DAVID </t>
  </si>
  <si>
    <t>IC-10140</t>
  </si>
  <si>
    <t xml:space="preserve">Fact#: 361518-364073 Rec#: 18957 MORA GUERRERO HILDA ANTONIETA </t>
  </si>
  <si>
    <t>IC-10139</t>
  </si>
  <si>
    <t xml:space="preserve">Fact#: 357462-359930-362446 Rec#: 18956 LEMA PARCO JULIO CESAR </t>
  </si>
  <si>
    <t>IC-10138</t>
  </si>
  <si>
    <t xml:space="preserve">Fact#: 362900-365436 Rec#: 18955 ZAVALA AVELLAN NELSON MARTIN </t>
  </si>
  <si>
    <t>IC-10137</t>
  </si>
  <si>
    <t xml:space="preserve">Fact#: 364837 Rec#: 18954 LOPEZ MALDONADO CARLOS ROLANDO </t>
  </si>
  <si>
    <t>IC-10136</t>
  </si>
  <si>
    <t xml:space="preserve">Fact#: 362381-364926 Rec#: 18953 MORA FUENTES ALONSO GABRIEL </t>
  </si>
  <si>
    <t>IC-10135</t>
  </si>
  <si>
    <t xml:space="preserve">Fact#: 364174 Rec#: 18952 VERA GUZMAN SILVIA AZUCENA </t>
  </si>
  <si>
    <t>IC-10134</t>
  </si>
  <si>
    <t>N/D PACIFICO CANCELACIÓN DE FACTURA#7682240 OTECEL S.A. Y CUOTA 13/24</t>
  </si>
  <si>
    <t>Fact#: 365674 Rec#: 33719 JORGE ARTURO ZANABRIA VILLAMAR</t>
  </si>
  <si>
    <t>IC-10116</t>
  </si>
  <si>
    <t>Fact#: 363950 Rec#: 33718 XAVIER ALFREDO ZANABRIA VILLAMAR</t>
  </si>
  <si>
    <t>IC-10115</t>
  </si>
  <si>
    <t>Fact#: 363656 Rec#: 33717 CAROLINA AMALIA IDROVO PIEDRAHITA</t>
  </si>
  <si>
    <t>IC-10114</t>
  </si>
  <si>
    <t>Fact#: 4917 Rec#: 33716 FUNDACION AVSI</t>
  </si>
  <si>
    <t>IC-10113</t>
  </si>
  <si>
    <t xml:space="preserve">Fact#: 362889-365424 Rec#: 18951 QUINDE RENTERIA MARISELA ELIZABETH </t>
  </si>
  <si>
    <t>IC-10112</t>
  </si>
  <si>
    <t xml:space="preserve">Fact#: 358775-361298-363855 Rec#: 18950 LUIS JOSE VELASCO GONZALEZ </t>
  </si>
  <si>
    <t>IC-10111</t>
  </si>
  <si>
    <t xml:space="preserve">Fact#: 360360-362860-365394 Rec#: 18949 LUIS JOSE VELASCO GONZALEZ </t>
  </si>
  <si>
    <t>IC-10110</t>
  </si>
  <si>
    <t xml:space="preserve">Fact#: 358989-361509-364062 Rec#: 18948 MOROCHO CRUZ ELIZABETH MERCEDEZ </t>
  </si>
  <si>
    <t>IC-10109</t>
  </si>
  <si>
    <t xml:space="preserve">Fact#: 365765 Rec#: 18947 SAKURA HATSUMI INTERNACIONAL EXPORTADORA S.A </t>
  </si>
  <si>
    <t>IC-10108</t>
  </si>
  <si>
    <t xml:space="preserve">Fact#: 365959 Rec#: 18946 SAKURA HATSUMI INTERNACIONAL EXPORTADORA S.A </t>
  </si>
  <si>
    <t>IC-10107</t>
  </si>
  <si>
    <t xml:space="preserve">Fact#: 364487 Rec#: 18945 AMBALY ASHOKAN </t>
  </si>
  <si>
    <t>IC-10106</t>
  </si>
  <si>
    <t xml:space="preserve">Fact#: 364441 Rec#: 18944 JIMA BRAVO  JOSE FLORENCIO  </t>
  </si>
  <si>
    <t>IC-10105</t>
  </si>
  <si>
    <t xml:space="preserve">Fact#: 363491 Rec#: 18943 VICENTE GABRIEL VINUEZA MERINO </t>
  </si>
  <si>
    <t>IC-10104</t>
  </si>
  <si>
    <t xml:space="preserve">Fact#: 365956 Rec#: 18942 MAXIPAPER S.A </t>
  </si>
  <si>
    <t>IC-10103</t>
  </si>
  <si>
    <t xml:space="preserve">Fact#: 364443 Rec#: 18941 SEGOVIA TOMALA DENNIS ABEL </t>
  </si>
  <si>
    <t>IC-10102</t>
  </si>
  <si>
    <t xml:space="preserve">Fact#: 365378 Rec#: 18940 CHAVEZ MORA RITA TERESA </t>
  </si>
  <si>
    <t>IC-10101</t>
  </si>
  <si>
    <t xml:space="preserve">Fact#: 362379-364924 Rec#: 18939 VERA VELA ANA MARIA </t>
  </si>
  <si>
    <t>IC-10100</t>
  </si>
  <si>
    <t xml:space="preserve">Fact#: 362697-365250 Rec#: 18938 OCHOA RUIZ JORGE LUIS </t>
  </si>
  <si>
    <t>IC-10099</t>
  </si>
  <si>
    <t xml:space="preserve">Fact#: 358335-360872-363431 Rec#: 18937 DELIA AMPARO SALMERON ACOSTA </t>
  </si>
  <si>
    <t>IC-10098</t>
  </si>
  <si>
    <t xml:space="preserve">Fact#: 365243 Rec#: 18936 MATEO SANTILLAN FERNANDO XAVIER </t>
  </si>
  <si>
    <t>IC-10097</t>
  </si>
  <si>
    <t xml:space="preserve">Fact#: 358969-361490-364042 Rec#: 18935 MINCHALA ZAMBRANO TOBIA ANDRES </t>
  </si>
  <si>
    <t>IC-10096</t>
  </si>
  <si>
    <t xml:space="preserve">Fact#: 365677 Rec#: 33715 CONSTRU-YA S.A. </t>
  </si>
  <si>
    <t>IC-10088</t>
  </si>
  <si>
    <t xml:space="preserve">Fact#: 786-787 Rec#: 33713 F.V - AREA ANDINA S.A. </t>
  </si>
  <si>
    <t>IC-10080</t>
  </si>
  <si>
    <t>N/D PACIFICO TRANSF. CANCELACIÓN DE FACTURA#176106926, 176106927, 176106928, 176106929 CNT EP</t>
  </si>
  <si>
    <t>Fact#: 365881 Rec#: 33712 EMPRESA PUBLICA MUNICIPAL PARA LA GESTIÓN DE LA INNOVACIÓN  Y LA COMPETITIVIDAD, EP</t>
  </si>
  <si>
    <t>IC-10077</t>
  </si>
  <si>
    <t xml:space="preserve">Fact#: 365011 Rec#: 33711 CAGUANA VELESACA NORMA ALEXANDRA </t>
  </si>
  <si>
    <t>IC-10076</t>
  </si>
  <si>
    <t xml:space="preserve">Fact#: 365757 Rec#: 33710 VUMILATINA MEDICINA PREPAGADA S.A. </t>
  </si>
  <si>
    <t>IC-10075</t>
  </si>
  <si>
    <t>Fact#: 365792 Rec#: 33709 CAMPOS VELEZ HENRRY GONZALO</t>
  </si>
  <si>
    <t>IC-10066</t>
  </si>
  <si>
    <t>Fact#: 365884 Rec#: 33708 SERVICIO DE OFICINA COMPUTARIZADO SEROFICOM S.A.</t>
  </si>
  <si>
    <t>IC-10065</t>
  </si>
  <si>
    <t>Fact#: 365527 Rec#: 33707 ASOC. DE PROPIETARIOS URB. VIA AL SOL</t>
  </si>
  <si>
    <t>IC-10064</t>
  </si>
  <si>
    <t xml:space="preserve">Fact#: 365893 Rec#: 18934 LANDIVAR VELIZ CARLOS ALEX </t>
  </si>
  <si>
    <t>IC-10062</t>
  </si>
  <si>
    <t xml:space="preserve">Fact#: 364793 Rec#: 18933 RIVERA PINTO RAMONA ELIZABETH </t>
  </si>
  <si>
    <t>IC-10061</t>
  </si>
  <si>
    <t xml:space="preserve">Fact#: 361964-364508 Rec#: 18932 BENITEZ SIGUENZA CECILIA DEL CARMEN </t>
  </si>
  <si>
    <t>IC-10060</t>
  </si>
  <si>
    <t xml:space="preserve">Fact#: 365781 Rec#: 18931 VIOSCULPT ECUADOR S.A. </t>
  </si>
  <si>
    <t>IC-10059</t>
  </si>
  <si>
    <t xml:space="preserve">Fact#: 363419 Rec#: 18930 EDDA GLADYS PARRALES GOMEZ </t>
  </si>
  <si>
    <t>IC-10058</t>
  </si>
  <si>
    <t xml:space="preserve">Fact#: 365860 Rec#: 18929 LOPEZ FLOREZ CARLOS RAFAEL </t>
  </si>
  <si>
    <t>IC-10057</t>
  </si>
  <si>
    <t xml:space="preserve">Fact#: 365028 Rec#: 18928 GONZALEZ BARRERA ANABEL NATALI </t>
  </si>
  <si>
    <t>IC-10056</t>
  </si>
  <si>
    <t xml:space="preserve">Fact#: 362020-364560 Rec#: 18927 RAMOS PACHAY JOSE MANUEL </t>
  </si>
  <si>
    <t>IC-10055</t>
  </si>
  <si>
    <t xml:space="preserve">Fact#: 365361 Rec#: 18926 ICAZA RIVAS ENRIQUE MEDARDO </t>
  </si>
  <si>
    <t>IC-10054</t>
  </si>
  <si>
    <t xml:space="preserve">Fact#: 362892-365427 Rec#: 18925 MARTINEZ RAMOS CARLOS ANTONIO </t>
  </si>
  <si>
    <t>IC-10053</t>
  </si>
  <si>
    <t xml:space="preserve">Fact#: 358407-360942-363500 Rec#: 18924 MARIA DOLORES COBOS MARMOLEJO </t>
  </si>
  <si>
    <t>IC-10052</t>
  </si>
  <si>
    <t xml:space="preserve">Fact#: 362214-364760 Rec#: 18923 HERRERA LOOR GUILLERMO NILBERTO </t>
  </si>
  <si>
    <t>IC-10051</t>
  </si>
  <si>
    <t xml:space="preserve">Fact#: 4677-4914 Rec#: 18922 BORJA UYANA DANIEL GENARO </t>
  </si>
  <si>
    <t>IC-10050</t>
  </si>
  <si>
    <t xml:space="preserve">Fact#: 364310 Rec#: 18921 ROMERO LOPEZ ANDRES ROBERTO </t>
  </si>
  <si>
    <t>IC-10049</t>
  </si>
  <si>
    <t xml:space="preserve">Fact#: 359873-362388-364932 Rec#: 18920 CABEZAS QUINONEZ LEONELA KATHERINE </t>
  </si>
  <si>
    <t>IC-10048</t>
  </si>
  <si>
    <t xml:space="preserve">Fact#: 361976-364520 Rec#: 18919 ORTEGA CHAVEZ JUANA ALEJANDRINA </t>
  </si>
  <si>
    <t>IC-10047</t>
  </si>
  <si>
    <t xml:space="preserve">Fact#: 361463-364017 Rec#: 18918 VERONICA JAYONARA TENORIO QUIÑONEZ </t>
  </si>
  <si>
    <t>IC-10046</t>
  </si>
  <si>
    <t xml:space="preserve">Fact#: 362428-364973 Rec#: 18917 TOMALA CEDENO ANATOLIA ESTHER </t>
  </si>
  <si>
    <t>IC-10045</t>
  </si>
  <si>
    <t xml:space="preserve">Fact#: 361291-363848 Rec#: 18916 TEODOMIRO MAYO </t>
  </si>
  <si>
    <t>IC-10010</t>
  </si>
  <si>
    <t xml:space="preserve">Fact#: 361498-364052 Rec#: 18915 ROBAYO GONZALEZ ROBERTO JAVIER </t>
  </si>
  <si>
    <t>IC-10009</t>
  </si>
  <si>
    <t xml:space="preserve">Fact#: 361239-363794 Rec#: 18914 SANDRA ELIZABETH BARBERAN GUADAMUD </t>
  </si>
  <si>
    <t>IC-10008</t>
  </si>
  <si>
    <t xml:space="preserve">Fact#: 362238-364783 Rec#: 18913 AGUAYO SOLORZANO JOEL GEOVANNY </t>
  </si>
  <si>
    <t>IC-10007</t>
  </si>
  <si>
    <t xml:space="preserve">Fact#: 362150-364695 Rec#: 18912 VITE CALDERON PEDRO PABLO </t>
  </si>
  <si>
    <t>IC-10006</t>
  </si>
  <si>
    <t xml:space="preserve">Fact#: 362108-364652 Rec#: 18911 ROJAS MELONI LUIS FERNANDO </t>
  </si>
  <si>
    <t>IC-10005</t>
  </si>
  <si>
    <t xml:space="preserve">Fact#: 365891 Rec#: 18910 INDUSTRIA FERREHIERRO S.A.  </t>
  </si>
  <si>
    <t>IC-10004</t>
  </si>
  <si>
    <t xml:space="preserve">Fact#: 364177 Rec#: 18909 PINCAY RUIZ VICENTA MARLENE </t>
  </si>
  <si>
    <t>IC-10003</t>
  </si>
  <si>
    <t xml:space="preserve">Fact#: 358681-361207-363763 Rec#: 18908 PACO OLMEDO ORNA AYMACANA </t>
  </si>
  <si>
    <t>IC-10002</t>
  </si>
  <si>
    <t xml:space="preserve">Fact#: 361899-364449 Rec#: 18907 NEIRA PILLASAGUA ROSA DEL CARMEN </t>
  </si>
  <si>
    <t>IC-10001</t>
  </si>
  <si>
    <t xml:space="preserve">Fact#: 362274-364821 Rec#: 18906 MORENO TELLO CELI DURINDANA </t>
  </si>
  <si>
    <t>IC-10000</t>
  </si>
  <si>
    <t xml:space="preserve">Fact#: 358739-361262-363817 Rec#: 18905 NILO JUSTINO GUERRERO INDIO </t>
  </si>
  <si>
    <t>IC-9999</t>
  </si>
  <si>
    <t xml:space="preserve">Fact#: 361807-364359 Rec#: 18904 VILLEGAS BASTIDAS JOSE ALFREDO </t>
  </si>
  <si>
    <t>IC-9998</t>
  </si>
  <si>
    <t xml:space="preserve">Fact#: 363757 Rec#: 18903 ULISES MARTIN VARGAS FIGUEROA </t>
  </si>
  <si>
    <t>IC-9997</t>
  </si>
  <si>
    <t xml:space="preserve">Fact#: 361306-363862 Rec#: 18902 FELIX EDUARDO CARRERA CEDEÑO </t>
  </si>
  <si>
    <t>IC-9996</t>
  </si>
  <si>
    <t xml:space="preserve">Fact#: 4753 Rec#: 18901 CRUZ JOSE AMABLE </t>
  </si>
  <si>
    <t>IC-9995</t>
  </si>
  <si>
    <t xml:space="preserve">Fact#: 360148-362668-365218 Rec#: 18900 MALDONADO SANDOYA JOHANNA MARIANELA </t>
  </si>
  <si>
    <t>IC-9994</t>
  </si>
  <si>
    <t>N/D POR COMISIONES DE WESTERN UNION POR RECAUDACION DEL 02/07/2021 AL 08/07/2021</t>
  </si>
  <si>
    <t>Fact#: 365740 Rec#: 18891 SOLUCIONES GLOBALES S.A GLOBFAST</t>
  </si>
  <si>
    <t>IC-10792</t>
  </si>
  <si>
    <t>Fact#: 365741 Rec#: 18890 SOLUCIONES GLOBALES S.A GLOBFAST</t>
  </si>
  <si>
    <t>IC-10791</t>
  </si>
  <si>
    <t>Fact#: 363392 Rec#: 33706 CONSORCIO ECUATORIANO DE TELECOMUNICACIONES S.A. CONECEL</t>
  </si>
  <si>
    <t>IC-10031</t>
  </si>
  <si>
    <t>Fact#: 363878 Rec#: 33705 AIMARA RODRIGUEZ FERNANDEZ</t>
  </si>
  <si>
    <t>IC-10017</t>
  </si>
  <si>
    <t>Fact#: 363556 Rec#: 33704 ARMANDO ROBERTO  YAGUAL BRITO</t>
  </si>
  <si>
    <t>IC-10016</t>
  </si>
  <si>
    <t>Fact#: 361361-363914 Rec#: 33703 RUTH ANGELICA VERDEZOTO GAIBOR</t>
  </si>
  <si>
    <t>IC-10015</t>
  </si>
  <si>
    <t>Fact#: 360935-363494 Rec#: 33702 FAUSTO LEONARDO  ORTIZ DE LA CADENA</t>
  </si>
  <si>
    <t>IC-10014</t>
  </si>
  <si>
    <t xml:space="preserve">Fact#: 362247-364791 Rec#: 18899 PEREZ ASENCIO LUCIANO ALBERTO </t>
  </si>
  <si>
    <t>IC-9993</t>
  </si>
  <si>
    <t xml:space="preserve">Fact#: 362142-364687 Rec#: 18898 BERMEO ANDRADE RITA AZUCENA </t>
  </si>
  <si>
    <t>IC-9992</t>
  </si>
  <si>
    <t xml:space="preserve">Fact#: 361936-364485 Rec#: 18897 NEIRA LOY EDISON GUSTAVO </t>
  </si>
  <si>
    <t>IC-9991</t>
  </si>
  <si>
    <t xml:space="preserve">Fact#: 362016-364556 Rec#: 18896 FIGUEROA RIOS MIGUEL IBSEN </t>
  </si>
  <si>
    <t>IC-9990</t>
  </si>
  <si>
    <t xml:space="preserve">Fact#: 364579 Rec#: 18895 VERA VELOZ LISSETTE IRENE </t>
  </si>
  <si>
    <t>IC-9989</t>
  </si>
  <si>
    <t xml:space="preserve">Fact#: 4511-4742 Rec#: 18894 SILVA REA OLIVO AMADO </t>
  </si>
  <si>
    <t>IC-9988</t>
  </si>
  <si>
    <t xml:space="preserve">Fact#: 363055-365650 Rec#: 18893 FOODSERVEC FOOD SERVICE ECUADOR S.A </t>
  </si>
  <si>
    <t>IC-9987</t>
  </si>
  <si>
    <t xml:space="preserve">Fact#: 4782 Rec#: 18892 GUTIERREZ ALVAREZ TERESA EUGENIA </t>
  </si>
  <si>
    <t>IC-9986</t>
  </si>
  <si>
    <t xml:space="preserve">Fact#: 362281-364827 Rec#: 18889 MENDIETA VILLALVA ROSA MARIA </t>
  </si>
  <si>
    <t>IC-9983</t>
  </si>
  <si>
    <t xml:space="preserve">Fact#: 364127 Rec#: 18888 MERCHAN  PEREZ FABIAN BERNARDINO </t>
  </si>
  <si>
    <t>IC-9982</t>
  </si>
  <si>
    <t xml:space="preserve">Fact#: 360912-363470 Rec#: 18887 ELSIE RUTH  ZERDA BARRENO </t>
  </si>
  <si>
    <t>IC-9981</t>
  </si>
  <si>
    <t xml:space="preserve">Fact#: 364651 Rec#: 18886 BHURANI SUMEET </t>
  </si>
  <si>
    <t>IC-9980</t>
  </si>
  <si>
    <t xml:space="preserve">Fact#: 362494-365036 Rec#: 18885 AVILES ECHEVER GUSTAVO MICHAEL </t>
  </si>
  <si>
    <t>IC-9979</t>
  </si>
  <si>
    <t xml:space="preserve">Fact#: 365633 Rec#: 33701 OPENGROUP S.A. </t>
  </si>
  <si>
    <t>IC-9972</t>
  </si>
  <si>
    <t xml:space="preserve">Fact#: 365546 Rec#: 33700 LG ELECTRONICS PANAMA S.A </t>
  </si>
  <si>
    <t>IC-9971</t>
  </si>
  <si>
    <t xml:space="preserve">Fact#: 365142 Rec#: 33698 DE SANTIS NEIRA JUAN JAIME CRISTIAN </t>
  </si>
  <si>
    <t>IC-9955</t>
  </si>
  <si>
    <t>GUALAN HIDALGO MARCO ANTONIO ABONA SGTE FACTURA, BCO PACIFICO POR DEP EN CTA #DOC TBBA-02-0007-FC_USER</t>
  </si>
  <si>
    <t>AT-3311</t>
  </si>
  <si>
    <t xml:space="preserve">Fact#: 362244 Rec#: 33697 GUALAN HIDALGO MARCO ANTONIO </t>
  </si>
  <si>
    <t>IC-9954</t>
  </si>
  <si>
    <t xml:space="preserve">Fact#: 364213 Rec#: 18884 ARROBA VALENCIA  JULIO ZENON  </t>
  </si>
  <si>
    <t>IC-9951</t>
  </si>
  <si>
    <t xml:space="preserve">Fact#: 361282-363839 Rec#: 18883 CECILIA ISABEL PORTILLA ESPINOZA </t>
  </si>
  <si>
    <t>IC-9950</t>
  </si>
  <si>
    <t xml:space="preserve">Fact#: 363880 Rec#: 18882 DAYANNA ANABELL BAQUERIZO AQUINO </t>
  </si>
  <si>
    <t>IC-9949</t>
  </si>
  <si>
    <t xml:space="preserve">Fact#: 362362-364907 Rec#: 18881 VERA DEL PEZO DOLORES VICTORIA </t>
  </si>
  <si>
    <t>IC-9948</t>
  </si>
  <si>
    <t xml:space="preserve">Fact#: 361804-364356 Rec#: 18880 ESCOBAR HERRERA EDISON EDUARDO </t>
  </si>
  <si>
    <t>IC-9947</t>
  </si>
  <si>
    <t xml:space="preserve">Fact#: 359087-361604-364161 Rec#: 18879 CHESME BONILLA NATIVIDAD ELIZABETH </t>
  </si>
  <si>
    <t>IC-9946</t>
  </si>
  <si>
    <t xml:space="preserve">Fact#: 365419 Rec#: 18878 GONZALEZ CHINEA HUMBERTO </t>
  </si>
  <si>
    <t>IC-9945</t>
  </si>
  <si>
    <t xml:space="preserve">Fact#: 365644 Rec#: 18877 FILUS S.A </t>
  </si>
  <si>
    <t>IC-9944</t>
  </si>
  <si>
    <t xml:space="preserve">Fact#: 365643 Rec#: 18876 FILUS S.A </t>
  </si>
  <si>
    <t>IC-9943</t>
  </si>
  <si>
    <t xml:space="preserve">Fact#: 365762 Rec#: 18875 CORPORACION DE TRANSPORTISTAS DEL ECUADOR S.A. </t>
  </si>
  <si>
    <t>IC-9942</t>
  </si>
  <si>
    <t xml:space="preserve">Fact#: 365979 Rec#: 18874 ASESORAMIENTO GLOBAL INTEGRAL ABOGADOS ABBHV S.A.  </t>
  </si>
  <si>
    <t>IC-9941</t>
  </si>
  <si>
    <t xml:space="preserve">Fact#: 360917-363475 Rec#: 18873 EDDY MANUEL CHAVEZ CEDEÑO </t>
  </si>
  <si>
    <t>IC-9940</t>
  </si>
  <si>
    <t xml:space="preserve">Fact#: 361512-364066 Rec#: 18872 ESTUPIÑAN BAJAÑA JORDAN EDWARD </t>
  </si>
  <si>
    <t>IC-9939</t>
  </si>
  <si>
    <t xml:space="preserve">Fact#: 364132 Rec#: 18871 QUIÑONEZ VILLOTA KATTY ELIANA </t>
  </si>
  <si>
    <t>IC-9938</t>
  </si>
  <si>
    <t xml:space="preserve">Fact#: 358915-361435-363988 Rec#: 18870 DAVID PETER CHAVEZ GUALE </t>
  </si>
  <si>
    <t>IC-9937</t>
  </si>
  <si>
    <t xml:space="preserve">Fact#: 365226 Rec#: 18869 ROSARIO GRANDA SANDRA KARINA </t>
  </si>
  <si>
    <t>IC-9936</t>
  </si>
  <si>
    <t xml:space="preserve">Fact#: 364139 Rec#: 18868 SANCHEZ CARRIEL NARCISA DE JESUS </t>
  </si>
  <si>
    <t>IC-9935</t>
  </si>
  <si>
    <t xml:space="preserve">Fact#: 4491-4723 Rec#: 18867 GARCIA RAMOS JOSE RIGOBERTO </t>
  </si>
  <si>
    <t>IC-9934</t>
  </si>
  <si>
    <t xml:space="preserve">Fact#: 4492-4724 Rec#: 18866 GARCIA RAMOS JOSE RIGOBERTO </t>
  </si>
  <si>
    <t>IC-9933</t>
  </si>
  <si>
    <t xml:space="preserve">Fact#: 341872-345395-347897-352526-354870-359737 Rec#: 18865 BAQUE MAGALLANES ENMA VERONICA </t>
  </si>
  <si>
    <t>IC-9932</t>
  </si>
  <si>
    <t xml:space="preserve">Fact#: 363254-365846 Rec#: 18864 MIRANDA COPPIANO JUAN CARLOS </t>
  </si>
  <si>
    <t>IC-9931</t>
  </si>
  <si>
    <t xml:space="preserve">Fact#: 365221 Rec#: 18863 BRIONES ALVARADO MERCEDES MARLENE </t>
  </si>
  <si>
    <t>IC-9930</t>
  </si>
  <si>
    <t xml:space="preserve">Fact#: 361422-363975 Rec#: 18862 RAWAD MACHLB BZEIH BARAKAT </t>
  </si>
  <si>
    <t>IC-9929</t>
  </si>
  <si>
    <t xml:space="preserve">Fact#: 364216 Rec#: 18861 CAZAR ERAZO RODRIGO ARTURO </t>
  </si>
  <si>
    <t>IC-9928</t>
  </si>
  <si>
    <t xml:space="preserve">Fact#: 362972-365569 Rec#: 18860 IGLESIA DE JESUCRISTO SUD </t>
  </si>
  <si>
    <t>IC-9927</t>
  </si>
  <si>
    <t>Fact#: 365912 Rec#: 33696 ADMINASES S A</t>
  </si>
  <si>
    <t>IC-9926</t>
  </si>
  <si>
    <t>Fact#: 364385 Rec#: 33695 REIMBERG BADUY PETER PAUL</t>
  </si>
  <si>
    <t>IC-9925</t>
  </si>
  <si>
    <t>Fact#: 365624 Rec#: 33694 ANEMASA S.A.</t>
  </si>
  <si>
    <t>IC-9924</t>
  </si>
  <si>
    <t>Fact#: 365620 Rec#: 33693 AUTOMERCADO S.A.</t>
  </si>
  <si>
    <t>IC-9923</t>
  </si>
  <si>
    <t>Fact#: 365621 Rec#: 33692 AUTOMERCADO S.A.</t>
  </si>
  <si>
    <t>IC-9922</t>
  </si>
  <si>
    <t>Fact#: 364365 Rec#: 33691 MANRIQUE OSORIO XAVIER ENRIQUE</t>
  </si>
  <si>
    <t>IC-9921</t>
  </si>
  <si>
    <t>Fact#: 363774 Rec#: 33690 ALFREDO GEOVANNY SANCHEZ BENAVIDES</t>
  </si>
  <si>
    <t>IC-9920</t>
  </si>
  <si>
    <t>Fact#: 364729 Rec#: 33689 ALFREDO GEOVANNY SANCHEZ BENAVIDES</t>
  </si>
  <si>
    <t>IC-9919</t>
  </si>
  <si>
    <t>Fact#: 364478 Rec#: 33688 VELIZ CASTRO RICARDO XAVIER</t>
  </si>
  <si>
    <t>IC-9918</t>
  </si>
  <si>
    <t>Fact#: 365641 Rec#: 33687 ELECTROMOOM S.A.</t>
  </si>
  <si>
    <t>IC-9917</t>
  </si>
  <si>
    <t>KARINA PATRICIA GIRALDO MONTERO ABONA SGTE FACTURA, PAGO WESTERN UNION</t>
  </si>
  <si>
    <t>AT-3309</t>
  </si>
  <si>
    <t>VISA - MASTERCARD - PACIFICARD CANCELACION PAGO DEL CLIENTE RIERA ORDONEZ MIGUEL ANGEL POR PAYMENTS</t>
  </si>
  <si>
    <t>NC-4</t>
  </si>
  <si>
    <t xml:space="preserve">Fact#: 359683-362199-364745 Rec#: 18859 BURGOS GOYA MARLIE  KATHERINE </t>
  </si>
  <si>
    <t>IC-9885</t>
  </si>
  <si>
    <t xml:space="preserve">Fact#: 362895-365431 Rec#: 18858 CARRERA MOYANO DEMETRIO ARNOLDO </t>
  </si>
  <si>
    <t>IC-9884</t>
  </si>
  <si>
    <t xml:space="preserve">Fact#: 361451-364005 Rec#: 18857 PEDRO ROBERTO MERELLO LOPEZ </t>
  </si>
  <si>
    <t>IC-9883</t>
  </si>
  <si>
    <t xml:space="preserve">Fact#: 362134-364679 Rec#: 18856 MACIAS PENAFIEL KATTY MARIBEL </t>
  </si>
  <si>
    <t>IC-9882</t>
  </si>
  <si>
    <t xml:space="preserve">Fact#: 360009-362524-365067 Rec#: 18855 PRIETO VEGA MARTHA MARIA ELIZABETH </t>
  </si>
  <si>
    <t>IC-9881</t>
  </si>
  <si>
    <t xml:space="preserve">Fact#: 359260-361783-364335 Rec#: 18854 GUARDINI PRIETO ADOLFO GIUSEPPE </t>
  </si>
  <si>
    <t>IC-9880</t>
  </si>
  <si>
    <t xml:space="preserve">Fact#: 4482-4713 Rec#: 18853 SANCHEZ RIOS FERNANDO ALEXIS </t>
  </si>
  <si>
    <t>IC-9879</t>
  </si>
  <si>
    <t xml:space="preserve">Fact#: 363606 Rec#: 18852 JULIO CESAR MONCAYO CRESPIN </t>
  </si>
  <si>
    <t>IC-9878</t>
  </si>
  <si>
    <t xml:space="preserve">Fact#: 361648-364203 Rec#: 18851 SALEM ONETO MARIA AUXILIADORA </t>
  </si>
  <si>
    <t>IC-9877</t>
  </si>
  <si>
    <t xml:space="preserve">Fact#: 360941-363499 Rec#: 18850 MARCOS ALFREDO CHANG HI FONG </t>
  </si>
  <si>
    <t>IC-9876</t>
  </si>
  <si>
    <t xml:space="preserve">Fact#: 362664-365214 Rec#: 18849 PACHECO SOLEDISPA BORIS ALEXIS </t>
  </si>
  <si>
    <t>IC-9875</t>
  </si>
  <si>
    <t xml:space="preserve">Fact#: 365329 Rec#: 18848 PINCAY BAQUE DAYSI PETRONILA </t>
  </si>
  <si>
    <t>IC-9874</t>
  </si>
  <si>
    <t xml:space="preserve">Fact#: 359949-362464-365006 Rec#: 18847 VALLEJO MEDRANDA YURI MAURICIO </t>
  </si>
  <si>
    <t>IC-9873</t>
  </si>
  <si>
    <t xml:space="preserve">Fact#: 357812-360282-362785 Rec#: 18846 PINICAIZA VENEGAS JEAN CARLOS </t>
  </si>
  <si>
    <t>IC-9872</t>
  </si>
  <si>
    <t xml:space="preserve">Fact#: 4483-4714 Rec#: 18845 CACUANGO LINCANGO EDISON FABIAN </t>
  </si>
  <si>
    <t>IC-9871</t>
  </si>
  <si>
    <t xml:space="preserve">Fact#: 361407-363960 Rec#: 18844 CARMEN LUISA PORTUGAL JACOME </t>
  </si>
  <si>
    <t>IC-9870</t>
  </si>
  <si>
    <t xml:space="preserve">Fact#: 361897-364447 Rec#: 18843 PEREIRA CACERES KETTY DEL ROCIO </t>
  </si>
  <si>
    <t>IC-9869</t>
  </si>
  <si>
    <t xml:space="preserve">Fact#: 365367 Rec#: 18842 BERMUDEZ COROZO DIANA ELIZABETH </t>
  </si>
  <si>
    <t>IC-9868</t>
  </si>
  <si>
    <t xml:space="preserve">Fact#: 364004 Rec#: 18841 OSCAR LEONEL MONTERO HINOJOSA </t>
  </si>
  <si>
    <t>IC-9867</t>
  </si>
  <si>
    <t xml:space="preserve">Fact#: 360841-363402 Rec#: 18840 SONNIA VANESSA AVILA ESPINOZA </t>
  </si>
  <si>
    <t>IC-9866</t>
  </si>
  <si>
    <t xml:space="preserve">Fact#: 361403-363956 Rec#: 18839 MARITZA MABEL USHIÑA GIRALDO </t>
  </si>
  <si>
    <t>IC-9865</t>
  </si>
  <si>
    <t xml:space="preserve">Fact#: 358923-361443-363997 Rec#: 18838 KARINA PATRICIA GIRALDO MONTERO </t>
  </si>
  <si>
    <t>IC-9864</t>
  </si>
  <si>
    <t xml:space="preserve">Fact#: 353429-355860-358343 Rec#: 18837 MELVA PATRICIA TORRES ALMEIDA </t>
  </si>
  <si>
    <t>IC-9863</t>
  </si>
  <si>
    <t xml:space="preserve">Fact#: 359434-361959-364505 Rec#: 18836 LOPEZ JARA PATRICIO ALBERTO </t>
  </si>
  <si>
    <t>IC-9862</t>
  </si>
  <si>
    <t xml:space="preserve">Fact#: 358867-361389-363942 Rec#: 18835 JOSE EDUARDO GUILLEN VELEZ </t>
  </si>
  <si>
    <t>IC-9861</t>
  </si>
  <si>
    <t xml:space="preserve">Fact#: 363698 Rec#: 18834 CARLOS IVAN AGUIRRE GARCIA </t>
  </si>
  <si>
    <t>IC-9860</t>
  </si>
  <si>
    <t>Fact#: 4719 Rec#: 33685 GUATEMAL COLIMBA JUAN BAUTISTA</t>
  </si>
  <si>
    <t>IC-9855</t>
  </si>
  <si>
    <t>Fact#: 362106-364650 Rec#: 33684 CASTRO CASTILLO BYRON MANUEL</t>
  </si>
  <si>
    <t>IC-9854</t>
  </si>
  <si>
    <t>Fact#: 363465 Rec#: 33683 ALVARO CORNEJO RODRIGUEZ</t>
  </si>
  <si>
    <t>IC-9853</t>
  </si>
  <si>
    <t xml:space="preserve">Fact#: 365191 Rec#: 33682 BAZURTO MONTIEL PILAR CLARIBEL </t>
  </si>
  <si>
    <t>IC-9852</t>
  </si>
  <si>
    <t xml:space="preserve">Fact#: 358563-361098 Rec#: 33681 LUIS ANTONIO CARVAJAL TORAL </t>
  </si>
  <si>
    <t>IC-9851</t>
  </si>
  <si>
    <t xml:space="preserve">Fact#: 364788 Rec#: 33679 GUALAN HIDALGO MARCO ANTONIO </t>
  </si>
  <si>
    <t>IC-9832</t>
  </si>
  <si>
    <t xml:space="preserve">Fact#: 364787 Rec#: 33678 GUALAN HIDALGO MARCO ANTONIO </t>
  </si>
  <si>
    <t>IC-9831</t>
  </si>
  <si>
    <t>N/D PACIFICO TRANSF. CANCELACIÓN DE FACTURA#176106930 CNT EP</t>
  </si>
  <si>
    <t>N/D PACIFICO TRANSF. PAGO PLLAS. IESS NORMALES MES DE JUNIO 2021, COMP#144730172</t>
  </si>
  <si>
    <t>N/D PACIFICO TRANSF. PAGO PLLAS. IESS PREST. HIPOTECARIO MES DE JUNIO 2021, COMP#11750169</t>
  </si>
  <si>
    <t>N/D PACIFICO TRANSF. PAGO PLLAS. IESS PREST. QUIROGRAFARIOS MES DE JUNIO 2021, COMP#34662711</t>
  </si>
  <si>
    <t>N/D PACIFICO TRANSF. PAGO PLLAS. IESS FONDOS DE RESERVA MES DE JUNIO 2021, COMP#21239354</t>
  </si>
  <si>
    <t>N/D PACIFICO TRANSF. PAGO PLLAS. IESS NORMALES MES DE JUN 2021, COMP#144730122</t>
  </si>
  <si>
    <t xml:space="preserve">Fact#: 360847-363407 Rec#: 33677 KATHERINE MALENA CHILUIZA GARCIA </t>
  </si>
  <si>
    <t>IC-9829</t>
  </si>
  <si>
    <t>Fact#: 364937 Rec#: 33676 SALTOS MATA FILADELFO VLADIMIR</t>
  </si>
  <si>
    <t>IC-9809</t>
  </si>
  <si>
    <t>Fact#: 362908-365444 Rec#: 33675 GALEANO GARCIA LUIS ENRIQUE</t>
  </si>
  <si>
    <t>IC-9808</t>
  </si>
  <si>
    <t>Fact#: 365658 Rec#: 33674 CHRISTIAN JAVIER MIDEROS ROMERO</t>
  </si>
  <si>
    <t>IC-9807</t>
  </si>
  <si>
    <t>Fact#: 362479-365021 Rec#: 33673 ANDRADE FLORENCIA  EMILIO JOSE</t>
  </si>
  <si>
    <t>IC-9806</t>
  </si>
  <si>
    <t>Fact#: 364358 Rec#: 33672 CASTILLO PALMA DANIEL ALFREDO</t>
  </si>
  <si>
    <t>IC-9805</t>
  </si>
  <si>
    <t xml:space="preserve">Fact#: 360462-365600-365601 Rec#: 33671 REFRIGERACIÓN INDUSTRIAL CORNEJO REFRICOR-EC CIA. </t>
  </si>
  <si>
    <t>IC-9804</t>
  </si>
  <si>
    <t xml:space="preserve">Fact#: 363800 Rec#: 18833 GIOVANNY FRANCISCO TOLOZANO YEPEZ </t>
  </si>
  <si>
    <t>IC-9784</t>
  </si>
  <si>
    <t xml:space="preserve">Fact#: 364251 Rec#: 18832 GOMEZ CALDERON ALEXANDRA ELIZABETH </t>
  </si>
  <si>
    <t>IC-9783</t>
  </si>
  <si>
    <t xml:space="preserve">Fact#: 363126-365722 Rec#: 18831 TECNOLOGIAS DE BUSINESS S.A  TECBUSINESS </t>
  </si>
  <si>
    <t>IC-9782</t>
  </si>
  <si>
    <t xml:space="preserve">Fact#: 360512-363056-365651 Rec#: 18830 JORGE LUIS ORTIZ MOLINA </t>
  </si>
  <si>
    <t>IC-9781</t>
  </si>
  <si>
    <t xml:space="preserve">Fact#: 357241-359706-362221 Rec#: 18829 ARBOLEDA CORTEZ CRUZ </t>
  </si>
  <si>
    <t>IC-9780</t>
  </si>
  <si>
    <t xml:space="preserve">Fact#: 4787 Rec#: 18828 GUERRERO CASTRO ROSA ELVIRA </t>
  </si>
  <si>
    <t>IC-9779</t>
  </si>
  <si>
    <t xml:space="preserve">Fact#: 365867 Rec#: 18827 PAN ZI </t>
  </si>
  <si>
    <t>IC-9778</t>
  </si>
  <si>
    <t xml:space="preserve">Fact#: 365866 Rec#: 18826 PAN ZI </t>
  </si>
  <si>
    <t>IC-9777</t>
  </si>
  <si>
    <t xml:space="preserve">Fact#: 360173-362695-365248 Rec#: 18825 LABORDA. JUAN CRUZ </t>
  </si>
  <si>
    <t>IC-9776</t>
  </si>
  <si>
    <t xml:space="preserve">Fact#: 361756-364307 Rec#: 18824 PARRALES GONZALEZ NIXA JASMIN </t>
  </si>
  <si>
    <t>IC-9775</t>
  </si>
  <si>
    <t xml:space="preserve">Fact#: 364196 Rec#: 18823 BAÑOS BARRAGAN FLOR AMERICA </t>
  </si>
  <si>
    <t>IC-9774</t>
  </si>
  <si>
    <t xml:space="preserve">Fact#: 362939-365536 Rec#: 18822 ASOCIACION DE PROPIETARIOS VALLE ALTO ETAPA PARIS </t>
  </si>
  <si>
    <t>IC-9773</t>
  </si>
  <si>
    <t xml:space="preserve">Fact#: 362645-365187 Rec#: 18821 HIDROVO BARREIRO JOSE MIGUEL RUBEN </t>
  </si>
  <si>
    <t>IC-9772</t>
  </si>
  <si>
    <t xml:space="preserve">Fact#: 289399-291713-294039 Rec#: 18820 RODRIGUEZ PLUA DOLORES MARIA </t>
  </si>
  <si>
    <t>IC-9771</t>
  </si>
  <si>
    <t xml:space="preserve">Fact#: 363051-365646 Rec#: 18819 FORMICONSTRUC S.A. </t>
  </si>
  <si>
    <t>IC-9770</t>
  </si>
  <si>
    <t xml:space="preserve">Fact#: 364046 Rec#: 18818 YAGUAL GOMEZ JOHAN ALEJANDRO </t>
  </si>
  <si>
    <t>IC-9769</t>
  </si>
  <si>
    <t xml:space="preserve">Fact#: 363754 Rec#: 18817 WILLINGTON HUGO ROSALES MEDINA </t>
  </si>
  <si>
    <t>IC-9768</t>
  </si>
  <si>
    <t xml:space="preserve">Fact#: 358658-361184-363741 Rec#: 18816 ANGELICA KATTY CALDERON BARRIOS </t>
  </si>
  <si>
    <t>IC-9767</t>
  </si>
  <si>
    <t xml:space="preserve">Fact#: 364110 Rec#: 18815 AGUILAR AVILES ANDREA CAROLINA </t>
  </si>
  <si>
    <t>IC-9766</t>
  </si>
  <si>
    <t xml:space="preserve">Fact#: 363731 Rec#: 18814 KEVIN BLADIMIR PONCE GREFA </t>
  </si>
  <si>
    <t>IC-9765</t>
  </si>
  <si>
    <t xml:space="preserve">Fact#: 365869 Rec#: 18813 VDS C.C.C </t>
  </si>
  <si>
    <t>IC-9764</t>
  </si>
  <si>
    <t xml:space="preserve">Fact#: 362219-364765 Rec#: 18812 BARZOLA ARREAGA IVAN ABEL </t>
  </si>
  <si>
    <t>IC-9763</t>
  </si>
  <si>
    <t xml:space="preserve">Fact#: 364831 Rec#: 18811 VILLAMAR CARRANZA MARISOL DEL PILAR </t>
  </si>
  <si>
    <t>IC-9762</t>
  </si>
  <si>
    <t xml:space="preserve">Fact#: 364140 Rec#: 18810 GAVINO LARREATEGUI  JUAN ALFREDO  </t>
  </si>
  <si>
    <t>IC-9761</t>
  </si>
  <si>
    <t xml:space="preserve">Fact#: 365963 Rec#: 33670 ROMCOEL S.A. </t>
  </si>
  <si>
    <t>IC-9742</t>
  </si>
  <si>
    <t xml:space="preserve">Fact#: 363373 Rec#: 33669 ROMCOEL S.A. </t>
  </si>
  <si>
    <t>IC-9741</t>
  </si>
  <si>
    <t>VARGAS ZAMBRANO HILDA MARIA ABONA SGTES FACTURAS, BCO PACIFICO POR TRANSFERENCIA #DOC 1945</t>
  </si>
  <si>
    <t>AT-3306</t>
  </si>
  <si>
    <t>AMERICAN EXPRESS CANCELACION DEBITO TARJETAS GUAYAQUIL-PAGO DE FACT 363663- 363958- 364086- 365761- 365763- 364342- 364581- 364674- 364782- 365681- 362354- 364899- 364830- 363868- 364832- 364630- 364776- 364857- 365877- 365032- 365083- 365065- 365124-</t>
  </si>
  <si>
    <t>VISA - MASTERCARD - PACIFICARD CANCELACION DEBITO TARJETAS GUAYAQUIL-PAGO DE FACT 365235</t>
  </si>
  <si>
    <t>VISA - MASTERCARD - PACIFICARD CANCELACION DEBITO TARJETAS GUAYAQUIL- PAGO DE FACT 363635- 365578- 363673- 363889- 365654- 365655- 365662-364076- 363892  -364664- 365031-365016-365055-4842- 365164- 365352- 365493   POR DEP EN CTA #DOC 1945</t>
  </si>
  <si>
    <t xml:space="preserve">Fact#: 357624-360099-362616 Rec#: 18809 RODRIGUEZ PALMA NELSON IVAN </t>
  </si>
  <si>
    <t>IC-9738</t>
  </si>
  <si>
    <t xml:space="preserve">Fact#: 362753-365300 Rec#: 18808 REDROBAN MORA MAXIMO PATRICIO </t>
  </si>
  <si>
    <t>IC-9737</t>
  </si>
  <si>
    <t xml:space="preserve">Fact#: 361130-363688 Rec#: 18807 XIMENA DE LOURDES VASQUEZ HINOJOSA </t>
  </si>
  <si>
    <t>IC-9736</t>
  </si>
  <si>
    <t xml:space="preserve">Fact#: 363417 Rec#: 18806 LIDIA JUDITH OJEDA RUIZ </t>
  </si>
  <si>
    <t>IC-9735</t>
  </si>
  <si>
    <t xml:space="preserve">Fact#: 4777 Rec#: 18805 SALINAS GONZALEZ JAIME PATRICIO </t>
  </si>
  <si>
    <t>IC-9734</t>
  </si>
  <si>
    <t xml:space="preserve">Fact#: 360305-362808-365346 Rec#: 18804 VERA GUZMAN ISMAEL ANIBAL </t>
  </si>
  <si>
    <t>IC-9733</t>
  </si>
  <si>
    <t xml:space="preserve">Fact#: 359779-362293-364838 Rec#: 18803 MACIAS CASTRO GINA MAYRA </t>
  </si>
  <si>
    <t>IC-9732</t>
  </si>
  <si>
    <t xml:space="preserve">Fact#: 365519 Rec#: 18802 CANARTE SALVATIERRA LUIS ALFONSO </t>
  </si>
  <si>
    <t>IC-9731</t>
  </si>
  <si>
    <t xml:space="preserve">Fact#: 365742 Rec#: 18801 R.C.N CONSTRUCIONES S.A </t>
  </si>
  <si>
    <t>IC-9730</t>
  </si>
  <si>
    <t xml:space="preserve">Fact#: 365743 Rec#: 18800 R.C.N CONSTRUCIONES S.A </t>
  </si>
  <si>
    <t>IC-9729</t>
  </si>
  <si>
    <t xml:space="preserve">Fact#: 364354 Rec#: 18799 AGUIRRE HURTADO KATHERINE ELIZABETH </t>
  </si>
  <si>
    <t>IC-9728</t>
  </si>
  <si>
    <t xml:space="preserve">Fact#: 361994-364536 Rec#: 18798 ANDRADE AMOROZO AUGUSTO GUIDO </t>
  </si>
  <si>
    <t>IC-9727</t>
  </si>
  <si>
    <t xml:space="preserve">Fact#: 4795 Rec#: 18797 IZA PUMASUNTA JOSSELYN LIZBETH </t>
  </si>
  <si>
    <t>IC-9726</t>
  </si>
  <si>
    <t xml:space="preserve">Fact#: 363735 Rec#: 18796 UBALDO HELIODORO MOTOCHE MEDINA </t>
  </si>
  <si>
    <t>IC-9725</t>
  </si>
  <si>
    <t xml:space="preserve">Fact#: 365447 Rec#: 18795 VERA ROJAS PABLO MARCELO </t>
  </si>
  <si>
    <t>IC-9724</t>
  </si>
  <si>
    <t xml:space="preserve">Fact#: 364413 Rec#: 18794 MOREIRA VELEZ MANUEL ISIDRO </t>
  </si>
  <si>
    <t>IC-9723</t>
  </si>
  <si>
    <t xml:space="preserve">Fact#: 365411 Rec#: 18793 SOLORZANO MURILLO WILLIAM WILFRIDO </t>
  </si>
  <si>
    <t>IC-9722</t>
  </si>
  <si>
    <t xml:space="preserve">Fact#: 364122 Rec#: 18792 CABEZA BENITEZ MONSERRATE FATIMA </t>
  </si>
  <si>
    <t>IC-9721</t>
  </si>
  <si>
    <t xml:space="preserve">Fact#: 365834 Rec#: 18791 ALVARADO COBOS ALDO MANUEL </t>
  </si>
  <si>
    <t>IC-9720</t>
  </si>
  <si>
    <t xml:space="preserve">Fact#: 363231-365825 Rec#: 18790 DULCOSTA S.A. </t>
  </si>
  <si>
    <t>IC-9719</t>
  </si>
  <si>
    <t xml:space="preserve">Fact#: 365957 Rec#: 18789 KAT SUSPENSION AUTOMOTRIZ S.A.  </t>
  </si>
  <si>
    <t>IC-9718</t>
  </si>
  <si>
    <t xml:space="preserve">Fact#: 365160 Rec#: 18788 BARBERAN BRIONES CARMEN ASUNCION </t>
  </si>
  <si>
    <t>IC-9717</t>
  </si>
  <si>
    <t xml:space="preserve">Fact#: 363974 Rec#: 18787 HANS EDUARDO NORIEGA ALBUJA </t>
  </si>
  <si>
    <t>IC-9716</t>
  </si>
  <si>
    <t xml:space="preserve">Fact#: 360359-362859-365393 Rec#: 33668 CARVAJAL PILCO CARLOS LUIS </t>
  </si>
  <si>
    <t>IC-9715</t>
  </si>
  <si>
    <t xml:space="preserve">Fact#: 365213 Rec#: 33667 TIGUA QUIMIZ DENNYS XAVIER </t>
  </si>
  <si>
    <t>IC-9714</t>
  </si>
  <si>
    <t>Fact#: 363703 Rec#: 33664 CINDY LORENA BAJAÑA BELTRAN</t>
  </si>
  <si>
    <t>IC-9561</t>
  </si>
  <si>
    <t>Fact#: 365734 Rec#: 33663 DELGADO VINTIMILLA CARLOS FERNANDO</t>
  </si>
  <si>
    <t>IC-9559</t>
  </si>
  <si>
    <t>Fact#: 363434 Rec#: 33662 ARTURO ALFONSO VELASCO TUTIVEN</t>
  </si>
  <si>
    <t>IC-9558</t>
  </si>
  <si>
    <t>Fact#: 365930 Rec#: 33661 HOLGUIN LOOR ALEX STALIN</t>
  </si>
  <si>
    <t>IC-9557</t>
  </si>
  <si>
    <t>Fact#: 363629 Rec#: 33660 GUILLERMO IGNACIO JORGE BAQUERIZO VASQUEZ</t>
  </si>
  <si>
    <t>IC-9556</t>
  </si>
  <si>
    <t>Fact#: 364067 Rec#: 33659 TENENUELA CEPEDA MARIA MANUELA</t>
  </si>
  <si>
    <t>IC-9555</t>
  </si>
  <si>
    <t>Fact#: 364078 Rec#: 33658 QUINTO BAZAN JOHNN HENRY</t>
  </si>
  <si>
    <t>IC-9554</t>
  </si>
  <si>
    <t>Fact#: 365875 Rec#: 33657 MÜLLER CARDENAS MICHAEL</t>
  </si>
  <si>
    <t>IC-9553</t>
  </si>
  <si>
    <t>Fact#: 364395 Rec#: 33656 VALERO CEPEDA IVONNE MARIA</t>
  </si>
  <si>
    <t>IC-9552</t>
  </si>
  <si>
    <t>Fact#: 4654-4892 Rec#: 33655 RODRIGUEZ GUEVARA MARIA AUGUSTA</t>
  </si>
  <si>
    <t>IC-9551</t>
  </si>
  <si>
    <t>Fact#: 361340-363895 Rec#: 33654 MELCHOR MAURICIO VALENCIA PEREZ</t>
  </si>
  <si>
    <t>IC-9550</t>
  </si>
  <si>
    <t>Fact#: 365540 Rec#: 33653 AUTOMEKANO CIA. LTDA</t>
  </si>
  <si>
    <t>IC-9549</t>
  </si>
  <si>
    <t>Fact#: 365645 Rec#: 33652 WILMER JONAS MEJIA LEON</t>
  </si>
  <si>
    <t>IC-9548</t>
  </si>
  <si>
    <t>Fact#: 365534 Rec#: 33651 ASOC. DE PROPIETARIOS URB. TERRASOL</t>
  </si>
  <si>
    <t>IC-9547</t>
  </si>
  <si>
    <t>Fact#: 365735 Rec#: 33650 RITOMI S.A.</t>
  </si>
  <si>
    <t>IC-9546</t>
  </si>
  <si>
    <t>Fact#: 365687 Rec#: 33649 RITOMI S.A.</t>
  </si>
  <si>
    <t>IC-9545</t>
  </si>
  <si>
    <t>Fact#: 365530 Rec#: 33648 EFFICACITAS CONSULTORA CIA.LTDA.</t>
  </si>
  <si>
    <t>IC-9544</t>
  </si>
  <si>
    <t>Fact#: 365532 Rec#: 33647 EFFICACITAS CONSULTORA CIA.LTDA.</t>
  </si>
  <si>
    <t>IC-9543</t>
  </si>
  <si>
    <t>Fact#: 365531 Rec#: 33646 EFFICACITAS CONSULTORA CIA.LTDA.</t>
  </si>
  <si>
    <t>IC-9542</t>
  </si>
  <si>
    <t>Fact#: 365627 Rec#: 33645 DUPROCSA S.A.</t>
  </si>
  <si>
    <t>IC-9541</t>
  </si>
  <si>
    <t>Fact#: 365618 Rec#: 33644 BELLUSCIO S.A.</t>
  </si>
  <si>
    <t>IC-9535</t>
  </si>
  <si>
    <t>Fact#: 365720 Rec#: 33643 INDUVERIKA S.A.</t>
  </si>
  <si>
    <t>IC-9534</t>
  </si>
  <si>
    <t>Fact#: 365978 Rec#: 33642 MAURA LOOR STALYN ADOLFO</t>
  </si>
  <si>
    <t>IC-9533</t>
  </si>
  <si>
    <t>Fact#: 363413 Rec#: 33641 GISELLE MARIELA CLEMENTE VERA</t>
  </si>
  <si>
    <t>IC-9532</t>
  </si>
  <si>
    <t>Fact#: 363822 Rec#: 33640 EDDIE ENRIQUE HERRERA MEDINA</t>
  </si>
  <si>
    <t>IC-9531</t>
  </si>
  <si>
    <t>Fact#: 363508 Rec#: 33639 FRANKLIN JOAQUIN  DOMINGUEZ VARGAS</t>
  </si>
  <si>
    <t>IC-9530</t>
  </si>
  <si>
    <t>Fact#: 364711 Rec#: 33638 ZULVY BEDON LAGOS</t>
  </si>
  <si>
    <t>IC-9529</t>
  </si>
  <si>
    <t>Fact#: 363452 Rec#: 33637 JENNY CEDEÑO CAAMAÑO</t>
  </si>
  <si>
    <t>IC-9528</t>
  </si>
  <si>
    <t>Fact#: 363761 Rec#: 33636 ANTONIO IGNACIO ARTEAGA FERAUD</t>
  </si>
  <si>
    <t>IC-9526</t>
  </si>
  <si>
    <t>Fact#: 363406 Rec#: 33635 ROBERTO MUZZIO NARANJO</t>
  </si>
  <si>
    <t>IC-9525</t>
  </si>
  <si>
    <t>Fact#: 363949 Rec#: 33634 RICARDO PABLO FALCONI DUEÑAS</t>
  </si>
  <si>
    <t>IC-9524</t>
  </si>
  <si>
    <t>Fact#: 364495 Rec#: 33633 CANDO REYES JOSE MAURICIO</t>
  </si>
  <si>
    <t>IC-9523</t>
  </si>
  <si>
    <t>Fact#: 364867 Rec#: 33632 JOSE FRANCISCO  FERNANDEZ   ESPINOZA</t>
  </si>
  <si>
    <t>IC-9522</t>
  </si>
  <si>
    <t>Fact#: 363553 Rec#: 33631 CARLOS ALBERTO RENDON PALMA</t>
  </si>
  <si>
    <t>IC-9521</t>
  </si>
  <si>
    <t>Fact#: 363400 Rec#: 33630 EVA MARIA VINUEZA OCAÑA</t>
  </si>
  <si>
    <t>IC-9520</t>
  </si>
  <si>
    <t>Fact#: 363571 Rec#: 33629 TERESA DE LA CRUZ TOSCANO BRITO</t>
  </si>
  <si>
    <t>IC-9519</t>
  </si>
  <si>
    <t>Fact#: 363645 Rec#: 33628 LUIS CARLOS ABAD YCAZA</t>
  </si>
  <si>
    <t>IC-9518</t>
  </si>
  <si>
    <t>Fact#: 364484 Rec#: 33627 PERALTA BENITEZ ROBERTO ELIAS</t>
  </si>
  <si>
    <t>IC-9517</t>
  </si>
  <si>
    <t>Fact#: 363505 Rec#: 33626 FAUSTO EDUARDO  CARBO RIVERA</t>
  </si>
  <si>
    <t>IC-9516</t>
  </si>
  <si>
    <t>Fact#: 363905 Rec#: 33625 CARLOS ADALBERTO SALAVARRIA PALMA</t>
  </si>
  <si>
    <t>IC-9515</t>
  </si>
  <si>
    <t>Fact#: 363463 Rec#: 33624 LUIS CESAR GAMARRA GONZALES</t>
  </si>
  <si>
    <t>IC-9514</t>
  </si>
  <si>
    <t>Fact#: 363812 Rec#: 33623 CARLOS BENJAMIN ROSALES PINO</t>
  </si>
  <si>
    <t>IC-9513</t>
  </si>
  <si>
    <t>Fact#: 363545 Rec#: 33622 ANA LUCRECIA  CABRERA GARCIA</t>
  </si>
  <si>
    <t>IC-9512</t>
  </si>
  <si>
    <t>Fact#: 363426 Rec#: 33621 ISABEL ROSARIO QUINDE SORIANO</t>
  </si>
  <si>
    <t>IC-9511</t>
  </si>
  <si>
    <t>Fact#: 363624 Rec#: 33620 GISELLA MARIA YUNES ANDRADE</t>
  </si>
  <si>
    <t>IC-9510</t>
  </si>
  <si>
    <t>Fact#: 363451 Rec#: 33619 MONICA CRIOLLO SALAZAR</t>
  </si>
  <si>
    <t>IC-9509</t>
  </si>
  <si>
    <t>Fact#: 363709 Rec#: 33618 GUILLERMO ELOY SERRANO GOMEZ</t>
  </si>
  <si>
    <t>IC-9508</t>
  </si>
  <si>
    <t>Fact#: 363457 Rec#: 33617 JOSE JOAQUIN OLMEDO CASTELLO</t>
  </si>
  <si>
    <t>IC-9507</t>
  </si>
  <si>
    <t>Fact#: 363697 Rec#: 33616 JUAN XAVIER BENEDETI RIPALDA</t>
  </si>
  <si>
    <t>IC-9506</t>
  </si>
  <si>
    <t>Fact#: 363486 Rec#: 33615 PAULA JESUS SALAZAR MACIAS</t>
  </si>
  <si>
    <t>IC-9505</t>
  </si>
  <si>
    <t>Fact#: 364134 Rec#: 33614 GILBERT SILVA CECILIA MARIA</t>
  </si>
  <si>
    <t>IC-9504</t>
  </si>
  <si>
    <t xml:space="preserve">Fact#: 307244-310022-312782 Rec#: 33665 GILBERT JONES CARLOS LUIS </t>
  </si>
  <si>
    <t>IC-9503</t>
  </si>
  <si>
    <t>Fact#: 364959 Rec#: 33613 NIEVES RODRIGUEZ JORGE ELIECER</t>
  </si>
  <si>
    <t>IC-9502</t>
  </si>
  <si>
    <t>Fact#: 364584 Rec#: 33612 SUSANA HERMELINDA ANALUISA HARO</t>
  </si>
  <si>
    <t>IC-9501</t>
  </si>
  <si>
    <t>Fact#: 364539 Rec#: 33611 VINUEZA GARCIA EDISON EDUARDO</t>
  </si>
  <si>
    <t>IC-9500</t>
  </si>
  <si>
    <t>Fact#: 363415 Rec#: 33610 JAIRO ALBERTO GOMEZ COELLO</t>
  </si>
  <si>
    <t>IC-9499</t>
  </si>
  <si>
    <t>Fact#: 364311 Rec#: 33609 ESPANA BAJANA STEFANIA ELIZABETH</t>
  </si>
  <si>
    <t>IC-9498</t>
  </si>
  <si>
    <t>Fact#: 363637 Rec#: 33608 LUIS EDUARDO SANCHEZ TIMM</t>
  </si>
  <si>
    <t>IC-9497</t>
  </si>
  <si>
    <t xml:space="preserve">Fact#: 364701 Rec#: 33603 ARANA BARROS AMBAR GEOVANA </t>
  </si>
  <si>
    <t>IC-9394</t>
  </si>
  <si>
    <t xml:space="preserve">Fact#: 363575 Rec#: 18786 ALVARADO PIGUAVE CAROLIN JANET </t>
  </si>
  <si>
    <t>IC-9375</t>
  </si>
  <si>
    <t xml:space="preserve">Fact#: 353746-356168-358651 Rec#: 18785 JOHN WALTER GRANDA CEDILLO </t>
  </si>
  <si>
    <t>IC-9374</t>
  </si>
  <si>
    <t xml:space="preserve">Fact#: 364472 Rec#: 18784 CRUZ MONTANO CLAUDIA JOHANNA </t>
  </si>
  <si>
    <t>IC-9373</t>
  </si>
  <si>
    <t xml:space="preserve">Fact#: 361458-364012 Rec#: 18783 CARLOS GREGORIO HURTADO MOSQUERA </t>
  </si>
  <si>
    <t>IC-9372</t>
  </si>
  <si>
    <t xml:space="preserve">Fact#: 364465 Rec#: 18782 SOLEDISPA LAVAYEN DANNY ARNULFO </t>
  </si>
  <si>
    <t>IC-9371</t>
  </si>
  <si>
    <t xml:space="preserve">Fact#: 363561 Rec#: 18781 NELIS MARIA PINARGOTE YEPEZ </t>
  </si>
  <si>
    <t>IC-9370</t>
  </si>
  <si>
    <t xml:space="preserve">Fact#: 4848 Rec#: 18780 PEÑARANDA VILLALTA JORGE ABRAHAN </t>
  </si>
  <si>
    <t>IC-9369</t>
  </si>
  <si>
    <t xml:space="preserve">Fact#: 4778 Rec#: 18779 CHAVEZ ZAMBRANO BRYAN SEBASTIAN </t>
  </si>
  <si>
    <t>IC-9368</t>
  </si>
  <si>
    <t xml:space="preserve">Fact#: 4920 Rec#: 33606 HERRERA CIFUENTES ESTUARDO WLADIMIR </t>
  </si>
  <si>
    <t>IC-9401</t>
  </si>
  <si>
    <t xml:space="preserve">Fact#: 4887 Rec#: 33602 CABEZAS GUERRA MARIA DEL CARMEN </t>
  </si>
  <si>
    <t>IC-9393</t>
  </si>
  <si>
    <t xml:space="preserve">Fact#: 364223 Rec#: 18778 DE LA O CHACON JOSEPH CHRISTIAN </t>
  </si>
  <si>
    <t>IC-9367</t>
  </si>
  <si>
    <t xml:space="preserve">Fact#: 364327 Rec#: 18777 RIVADENEIRA SACON GRACE ALEXANDRA </t>
  </si>
  <si>
    <t>IC-9366</t>
  </si>
  <si>
    <t xml:space="preserve">Fact#: 364090 Rec#: 18776 MORALES CASTRO SAMUEL </t>
  </si>
  <si>
    <t>IC-9365</t>
  </si>
  <si>
    <t xml:space="preserve">Fact#: 365192 Rec#: 18775 GUARANDA MERCHAN NIEVE GRACIELA  </t>
  </si>
  <si>
    <t>IC-9364</t>
  </si>
  <si>
    <t xml:space="preserve">Fact#: 363840 Rec#: 18774 NUBE MARLENE GONZALEZ CASTILLO </t>
  </si>
  <si>
    <t>IC-9363</t>
  </si>
  <si>
    <t xml:space="preserve">Fact#: 364383 Rec#: 18773 YUMBLA MENDIETA MONICA ELIZABETH </t>
  </si>
  <si>
    <t>IC-9362</t>
  </si>
  <si>
    <t xml:space="preserve">Fact#: 361720-364272 Rec#: 18772 MENDEZ VILLON CARMEN MARISOL </t>
  </si>
  <si>
    <t>IC-9361</t>
  </si>
  <si>
    <t xml:space="preserve">Fact#: 353804-356226-358708 Rec#: 18771 RAQUEL YOLANDA POSADA RAMIREZ </t>
  </si>
  <si>
    <t>IC-9360</t>
  </si>
  <si>
    <t xml:space="preserve">Fact#: 364859 Rec#: 18770 GALLEGOS VERA ALEX AUGUSTO </t>
  </si>
  <si>
    <t>IC-9359</t>
  </si>
  <si>
    <t xml:space="preserve">Fact#: 364989 Rec#: 18769 TUMBACO VERA JOSE LUIS </t>
  </si>
  <si>
    <t>IC-9358</t>
  </si>
  <si>
    <t xml:space="preserve">Fact#: 358524-361058-363613 Rec#: 18768 MARCOS ABRAHAM LOOR HOLMES </t>
  </si>
  <si>
    <t>IC-9357</t>
  </si>
  <si>
    <t xml:space="preserve">Fact#: 365571 Rec#: 33666 SOLUCIONES SEGURAS S.A </t>
  </si>
  <si>
    <t>IC-9527</t>
  </si>
  <si>
    <t>Fact#: 365807 Rec#: 33607 MARRIOTT S.A</t>
  </si>
  <si>
    <t>IC-9407</t>
  </si>
  <si>
    <t xml:space="preserve">Fact#: 348383-360079-362595 Rec#: 33604 OCAMPO MORENO CESAR DAVID </t>
  </si>
  <si>
    <t>IC-9395</t>
  </si>
  <si>
    <t>Fact#: 364389 Rec#: 33601 SILVA ARMAS MARIA TERESA</t>
  </si>
  <si>
    <t>IC-9381</t>
  </si>
  <si>
    <t>Fact#: 362842-365379 Rec#: 33600 URAGA AYALA ROBERTO JOSE</t>
  </si>
  <si>
    <t>IC-9380</t>
  </si>
  <si>
    <t>Fact#: 364494 Rec#: 33599 VILLON SORIANO DIOSELINA SOLEDAD</t>
  </si>
  <si>
    <t>IC-9379</t>
  </si>
  <si>
    <t>Fact#: 363879 Rec#: 33598 CATHERINE NICOLE RUGEL CARRERA</t>
  </si>
  <si>
    <t>IC-9378</t>
  </si>
  <si>
    <t>Fact#: 361453-364007 Rec#: 33597 TANIA PAOLA ILLESCAS PIBAQUE</t>
  </si>
  <si>
    <t>IC-9377</t>
  </si>
  <si>
    <t>Fact#: 362798-365335 Rec#: 33596 GUERRERO GUERRERO DIEGO ANDRES</t>
  </si>
  <si>
    <t>IC-9376</t>
  </si>
  <si>
    <t xml:space="preserve">Fact#: 329437-332284-335203-338147-341138-344662 Rec#: 18767 ZAMBRANO MOLINA IVAN EDUARDO </t>
  </si>
  <si>
    <t>IC-9356</t>
  </si>
  <si>
    <t xml:space="preserve">Fact#: 361491-364043 Rec#: 18766 VASQUEZ GOMEZ FREDDY DOLORES </t>
  </si>
  <si>
    <t>IC-9355</t>
  </si>
  <si>
    <t xml:space="preserve">Fact#: 361792-364344 Rec#: 18765 CHAVEZ ZAMBRANO MARIA DOLORES </t>
  </si>
  <si>
    <t>IC-9354</t>
  </si>
  <si>
    <t xml:space="preserve">Fact#: 364636 Rec#: 18764 BORBOR MORENO LUIS ANTONIO </t>
  </si>
  <si>
    <t>IC-9353</t>
  </si>
  <si>
    <t xml:space="preserve">Fact#: 364593 Rec#: 18763 PARRALES CABRERA TEOFILO CELESTINO </t>
  </si>
  <si>
    <t>IC-9352</t>
  </si>
  <si>
    <t xml:space="preserve">Fact#: 365518 Rec#: 18762 BARZOLA ESPINOZA DORA AMALIA </t>
  </si>
  <si>
    <t>IC-9351</t>
  </si>
  <si>
    <t xml:space="preserve">Fact#: 362047-364588 Rec#: 18761 MARTINEZ ABAD DOUGLAS GUILLERMO </t>
  </si>
  <si>
    <t>IC-9350</t>
  </si>
  <si>
    <t xml:space="preserve">Fact#: 362450-364993 Rec#: 18760 LEMOS CASTILLO PEDRO FELIX </t>
  </si>
  <si>
    <t>IC-9349</t>
  </si>
  <si>
    <t xml:space="preserve">Fact#: 361990-364532 Rec#: 18759 ROSERO MERCADO ELSA KARINA </t>
  </si>
  <si>
    <t>IC-9348</t>
  </si>
  <si>
    <t xml:space="preserve">Fact#: 364598 Rec#: 18758 MALDONADO VILLAMAR HUMBERTO MARTIN </t>
  </si>
  <si>
    <t>IC-9347</t>
  </si>
  <si>
    <t xml:space="preserve">Fact#: 363851 Rec#: 18757 JAVIER FEDERICO VILLON ANASTACIO </t>
  </si>
  <si>
    <t>IC-9346</t>
  </si>
  <si>
    <t xml:space="preserve">Fact#: 361934-364483 Rec#: 18756 GOMEZ BAHAMON PEDRO FELIPE </t>
  </si>
  <si>
    <t>IC-9345</t>
  </si>
  <si>
    <t xml:space="preserve">Fact#: 363252 Rec#: 18755 TRSC ENTERPRISES S.A  </t>
  </si>
  <si>
    <t>IC-9344</t>
  </si>
  <si>
    <t xml:space="preserve">Fact#: 364922 Rec#: 18754 MONTEALEGRE PEDRO JOAQUIN </t>
  </si>
  <si>
    <t>IC-9343</t>
  </si>
  <si>
    <t xml:space="preserve">Fact#: 359692-362207-364753 Rec#: 18753 PONCE CARRIEL BRENDA LIZETH </t>
  </si>
  <si>
    <t>IC-9342</t>
  </si>
  <si>
    <t xml:space="preserve">Fact#: 355339-357727-360195 Rec#: 18752 QUEIROLO SECAIRA MICHELLE ALEJANDRA </t>
  </si>
  <si>
    <t>IC-9341</t>
  </si>
  <si>
    <t xml:space="preserve">Fact#: 363801 Rec#: 18751 JAVIER ENRIQUE ARTEAGA MENENDEZ </t>
  </si>
  <si>
    <t>IC-9340</t>
  </si>
  <si>
    <t xml:space="preserve">Fact#: 363809 Rec#: 18750 ANGEL ANTONIO RAMIREZ NUÑEZ </t>
  </si>
  <si>
    <t>IC-9339</t>
  </si>
  <si>
    <t xml:space="preserve">Fact#: 365337 Rec#: 18749 FLORES CORTEZ KETTY BEATRIZ </t>
  </si>
  <si>
    <t>IC-9338</t>
  </si>
  <si>
    <t xml:space="preserve">Fact#: 365258 Rec#: 18748 LINO VILLEGAS ANGEL ALFONSO </t>
  </si>
  <si>
    <t>IC-9337</t>
  </si>
  <si>
    <t xml:space="preserve">Fact#: 363258 Rec#: 18747 MERCHAN BALON CHRISTOPHER FERNANDO </t>
  </si>
  <si>
    <t>IC-9336</t>
  </si>
  <si>
    <t xml:space="preserve">Fact#: 363227 Rec#: 18746 JARRIN LOPEZ VERONICA ELIZABETH </t>
  </si>
  <si>
    <t>IC-9335</t>
  </si>
  <si>
    <t xml:space="preserve">Fact#: 364805 Rec#: 18745 FRANCO BARRAGAN MARLON JULIO </t>
  </si>
  <si>
    <t>IC-9334</t>
  </si>
  <si>
    <t xml:space="preserve">Fact#: 365936 Rec#: 18744 MENDOZA VELEZ CARLOS DAMIAN </t>
  </si>
  <si>
    <t>IC-9333</t>
  </si>
  <si>
    <t xml:space="preserve">Fact#: 364276 Rec#: 18743 MORA URRUTIA MACARENA IVONNE </t>
  </si>
  <si>
    <t>IC-9332</t>
  </si>
  <si>
    <t xml:space="preserve">Fact#: 362680-365230 Rec#: 33595 VILLAMAR SALAZAR CESAR ANTONIO </t>
  </si>
  <si>
    <t>IC-9318</t>
  </si>
  <si>
    <t xml:space="preserve">Fact#: 364270 Rec#: 18742 BELARDE BRAVO WILLIAM JASMANI </t>
  </si>
  <si>
    <t>IC-9316</t>
  </si>
  <si>
    <t xml:space="preserve">Fact#: 4706 Rec#: 18741 YANKOVIC S.A.  </t>
  </si>
  <si>
    <t>IC-9315</t>
  </si>
  <si>
    <t xml:space="preserve">Fact#: 363727 Rec#: 18740 DENISSE JUDITH FLORES HUERTA </t>
  </si>
  <si>
    <t>IC-9314</t>
  </si>
  <si>
    <t xml:space="preserve">Fact#: 359977-362492-365034 Rec#: 18739 MORA MORA MARIA DE LOURDES </t>
  </si>
  <si>
    <t>IC-9313</t>
  </si>
  <si>
    <t xml:space="preserve">Fact#: 4563-4792 Rec#: 18738 SANGUNA RON TANIA GRICELDA </t>
  </si>
  <si>
    <t>IC-9312</t>
  </si>
  <si>
    <t xml:space="preserve">Fact#: 359232-361757-364308 Rec#: 18737 ZAMORA AVILA ANGELA MARIA </t>
  </si>
  <si>
    <t>IC-9311</t>
  </si>
  <si>
    <t xml:space="preserve">Fact#: 362468-365010 Rec#: 18736 LAINEZ FRANCO MILDRED BETSABE </t>
  </si>
  <si>
    <t>IC-9310</t>
  </si>
  <si>
    <t xml:space="preserve">Fact#: 361629-364185 Rec#: 18735 PERALTA GODOY JORGE DAVID </t>
  </si>
  <si>
    <t>IC-9309</t>
  </si>
  <si>
    <t xml:space="preserve">Fact#: 365397 Rec#: 18734 MARURI GUERRA RAUL ENRIQUE </t>
  </si>
  <si>
    <t>IC-9308</t>
  </si>
  <si>
    <t xml:space="preserve">Fact#: 361499-364053 Rec#: 18733 NIETO BARQUET OSCAR AHMED </t>
  </si>
  <si>
    <t>IC-9307</t>
  </si>
  <si>
    <t xml:space="preserve">Fact#: 364283 Rec#: 18732 PILAY QUINDE ALEXI ANDRES </t>
  </si>
  <si>
    <t>IC-9306</t>
  </si>
  <si>
    <t xml:space="preserve">Fact#: 360937-363495 Rec#: 18731 SANDRA PATRICIA MOREJON LLANOS </t>
  </si>
  <si>
    <t>IC-9305</t>
  </si>
  <si>
    <t xml:space="preserve">Fact#: 4749 Rec#: 18730 TIO ALVAREZ ADRIAN </t>
  </si>
  <si>
    <t>IC-9304</t>
  </si>
  <si>
    <t xml:space="preserve">Fact#: 364986 Rec#: 18729 ALVARADO CALDERON LUIS ENRIQUE </t>
  </si>
  <si>
    <t>IC-9303</t>
  </si>
  <si>
    <t xml:space="preserve">Fact#: 363276 Rec#: 18728 VDS C.C.C </t>
  </si>
  <si>
    <t>IC-9302</t>
  </si>
  <si>
    <t xml:space="preserve">Fact#: 364658 Rec#: 18727 ALZAMORA RAMIREZ PEDRO FAUSTO </t>
  </si>
  <si>
    <t>IC-9301</t>
  </si>
  <si>
    <t xml:space="preserve">Fact#: 365205 Rec#: 18726 PAREDES LOPEZ MARIA PIEDAD </t>
  </si>
  <si>
    <t>IC-9300</t>
  </si>
  <si>
    <t xml:space="preserve">Fact#: 364712 Rec#: 18725 CASTRO AGUA MARLON JOSE </t>
  </si>
  <si>
    <t>IC-9299</t>
  </si>
  <si>
    <t xml:space="preserve">Fact#: 363370-365960 Rec#: 18724 T &amp; C ECUADOR SETCEC S.A.  </t>
  </si>
  <si>
    <t>IC-9298</t>
  </si>
  <si>
    <t xml:space="preserve">Fact#: 364517 Rec#: 18723 ORTEGA ARGUELLO GISELLA LORENA </t>
  </si>
  <si>
    <t>IC-9297</t>
  </si>
  <si>
    <t xml:space="preserve">Fact#: 365391 Rec#: 18722 VILLAMAR ARROLLO DOLORES MARGARITA </t>
  </si>
  <si>
    <t>IC-9296</t>
  </si>
  <si>
    <t xml:space="preserve">Fact#: 356298-358776-361299 Rec#: 18721 VICTOR HUGO INTRIAGO ESPINAR </t>
  </si>
  <si>
    <t>IC-9295</t>
  </si>
  <si>
    <t xml:space="preserve">Fact#: 363965 Rec#: 18720 LUIS ENRIQUE APOLINARIO ROJAS </t>
  </si>
  <si>
    <t>IC-9294</t>
  </si>
  <si>
    <t xml:space="preserve">Fact#: 361338-363893 Rec#: 18719 MARGARITA MAGALI VILLAMAR AGUAYO </t>
  </si>
  <si>
    <t>IC-9293</t>
  </si>
  <si>
    <t xml:space="preserve">Fact#: 361339-363894 Rec#: 18718 MARCO VINICIO GONZALEZ LEDESMA </t>
  </si>
  <si>
    <t>IC-9292</t>
  </si>
  <si>
    <t xml:space="preserve">Fact#: 365035 Rec#: 18717 PADILLA ALVAREZ JUAN LEONARDO </t>
  </si>
  <si>
    <t>IC-9291</t>
  </si>
  <si>
    <t xml:space="preserve">Fact#: 365390 Rec#: 18716 HEINERT VILLACIS LEONARDO ANTONIO </t>
  </si>
  <si>
    <t>IC-9290</t>
  </si>
  <si>
    <t xml:space="preserve">Fact#: 360582-363127 Rec#: 18715 COOPERATIVA DE AHORRO Y CREDITO MUSHUK YUYAY-CHIMBORAZO LTDA </t>
  </si>
  <si>
    <t>IC-9289</t>
  </si>
  <si>
    <t xml:space="preserve">Fact#: 363549 Rec#: 18714 ENCALADA SANCHEZ NIEVES ELIZABETH </t>
  </si>
  <si>
    <t>IC-9288</t>
  </si>
  <si>
    <t xml:space="preserve">Fact#: 364301 Rec#: 18713 ROMAN ALVARADO LILIAN ISIDORA </t>
  </si>
  <si>
    <t>IC-9287</t>
  </si>
  <si>
    <t xml:space="preserve">Fact#: 364614 Rec#: 18712 CHELE TORO OSCAR EULICES </t>
  </si>
  <si>
    <t>IC-9286</t>
  </si>
  <si>
    <t xml:space="preserve">Fact#: 362627-365167 Rec#: 18711 DURANGO  ESPINOZA CARLOS LINCOLN </t>
  </si>
  <si>
    <t>IC-9285</t>
  </si>
  <si>
    <t xml:space="preserve">Fact#: 361289-363846 Rec#: 18710 MATILDE PILAR MORA QUIROZ </t>
  </si>
  <si>
    <t>IC-9284</t>
  </si>
  <si>
    <t xml:space="preserve">Fact#: 362902-365437 Rec#: 18709 VELOZ VERA FERNANDO GREGORIO </t>
  </si>
  <si>
    <t>IC-9283</t>
  </si>
  <si>
    <t xml:space="preserve">Fact#: 364047 Rec#: 18708 GONZALEZ MELLA CRISTIAN ALEJANDRO </t>
  </si>
  <si>
    <t>IC-9282</t>
  </si>
  <si>
    <t xml:space="preserve">Fact#: 357270-359738-362253 Rec#: 18707 VELEZ MACIAS  KATHERINE ANGELINE  </t>
  </si>
  <si>
    <t>IC-9281</t>
  </si>
  <si>
    <t xml:space="preserve">Fact#: 357295-359764-362279 Rec#: 18706 TAPIA RODRIGUEZ MARIOLI MARITZA </t>
  </si>
  <si>
    <t>IC-9280</t>
  </si>
  <si>
    <t xml:space="preserve">Fact#: 365178 Rec#: 18705 MENDOZA VELEZ CARLOS DAMIAN </t>
  </si>
  <si>
    <t>IC-9279</t>
  </si>
  <si>
    <t xml:space="preserve">Fact#: 363348 Rec#: 18704 MENDOZA VELEZ CARLOS DAMIAN </t>
  </si>
  <si>
    <t>IC-9278</t>
  </si>
  <si>
    <t xml:space="preserve">Fact#: 362916-365452 Rec#: 18703 ARTEAGA SILVA KATHERINE TATIANA </t>
  </si>
  <si>
    <t>IC-9277</t>
  </si>
  <si>
    <t>Fact#: 362861-365396 Rec#: 33593 RIVERA MARMOLEJO EDGAR ADRIAN</t>
  </si>
  <si>
    <t>IC-9265</t>
  </si>
  <si>
    <t>Fact#: 363277 Rec#: 33592 PASEABORDO S.A</t>
  </si>
  <si>
    <t>IC-9264</t>
  </si>
  <si>
    <t>Fact#: 365168 Rec#: 33591 MURILLO BARAHONA LISSETTE ESTEFANIA</t>
  </si>
  <si>
    <t>IC-9263</t>
  </si>
  <si>
    <t>Fact#: 359836-362350-364895 Rec#: 33590 JUMBO NARANJO LORENA DE LOURDES</t>
  </si>
  <si>
    <t>IC-9262</t>
  </si>
  <si>
    <t>Fact#: 363430 Rec#: 33589 FATIMA LEONOR AGUILAR MURILLO</t>
  </si>
  <si>
    <t>IC-9261</t>
  </si>
  <si>
    <t>Fact#: 362817-365353 Rec#: 33588 ROMERO SORNOZA LUIS ALFREDO</t>
  </si>
  <si>
    <t>IC-9260</t>
  </si>
  <si>
    <t>Fact#: 361821-364374 Rec#: 33587 UBILLA MORAN MARIANA JACQUELINE</t>
  </si>
  <si>
    <t>IC-9259</t>
  </si>
  <si>
    <t>Fact#: 363282 Rec#: 33586 MÜLLER CARDENAS MICHAEL</t>
  </si>
  <si>
    <t>IC-9258</t>
  </si>
  <si>
    <t>Fact#: 363503 Rec#: 33585 JORGE JOSE  TORBAY GONZALEZ</t>
  </si>
  <si>
    <t>IC-9257</t>
  </si>
  <si>
    <t>Fact#: 363259 Rec#: 33584 LA CASA DEL MEDICO LACASADELMEDICO S.A.</t>
  </si>
  <si>
    <t>IC-9256</t>
  </si>
  <si>
    <t>Fact#: 361055-363610 Rec#: 33583 GRACIELA GUADALUPE MEREJILDO VERA</t>
  </si>
  <si>
    <t>IC-9255</t>
  </si>
  <si>
    <t xml:space="preserve">Fact#: 358507-358508 Rec#: 33581 LUIS DANIEL CHIANG GUERRERO </t>
  </si>
  <si>
    <t>IC-9232</t>
  </si>
  <si>
    <t xml:space="preserve">Fact#: 362241-364785 Rec#: 33580 ROMERO ROMERO JANETT VICTORIA </t>
  </si>
  <si>
    <t>IC-9222</t>
  </si>
  <si>
    <t xml:space="preserve">Fact#: 355441-357907-360445 Rec#: 33579 JORGE RODRIGUEZ Y DUQUE </t>
  </si>
  <si>
    <t>IC-9221</t>
  </si>
  <si>
    <t>SUPERCIA, PAGO DE CONTRIBUCIÓN AÑO 2021</t>
  </si>
  <si>
    <t>EG-1</t>
  </si>
  <si>
    <t>AT-3305</t>
  </si>
  <si>
    <t>Jul/2021</t>
  </si>
  <si>
    <t>INTERMATICO</t>
  </si>
  <si>
    <t xml:space="preserve">CHICALA GARCIA GEOVANNY PATRIC          </t>
  </si>
  <si>
    <t xml:space="preserve">CAMPOS MANZABA ESTEFANIA XIOMA          </t>
  </si>
  <si>
    <t>at-3322</t>
  </si>
  <si>
    <t xml:space="preserve">MORANTE VILLARREAL ROBERTO OMA          </t>
  </si>
  <si>
    <t xml:space="preserve">KOPPEL ADUM ANA GIANNINA                </t>
  </si>
  <si>
    <t xml:space="preserve">GUILLEN RENGIFO GLENDA ELIZABE          </t>
  </si>
  <si>
    <t xml:space="preserve">GUAICHA PINCAY DANIEL AUGUSTO           </t>
  </si>
  <si>
    <t xml:space="preserve">SAN ANDRES HERNANDEZ JAIME EDU          </t>
  </si>
  <si>
    <t>at-3314</t>
  </si>
  <si>
    <t>3960344</t>
  </si>
  <si>
    <t xml:space="preserve">RUTH ANGELICA VERDEZOTO GAIBOR          </t>
  </si>
  <si>
    <t>3907169</t>
  </si>
  <si>
    <t>3908657</t>
  </si>
  <si>
    <t>3909922</t>
  </si>
  <si>
    <t>3907544</t>
  </si>
  <si>
    <t>3907525</t>
  </si>
  <si>
    <t>3903217</t>
  </si>
  <si>
    <t>3903841</t>
  </si>
  <si>
    <t>3900329</t>
  </si>
  <si>
    <t>3930042</t>
  </si>
  <si>
    <t xml:space="preserve">GALEANO GARCIA LUIS ENRIQUE             </t>
  </si>
  <si>
    <t xml:space="preserve">CINDY LORENA BAJANA BELTRAN             </t>
  </si>
  <si>
    <t xml:space="preserve">RODRIGUEZ GUEVARA MARIA AUGUST          </t>
  </si>
  <si>
    <t xml:space="preserve">MAURA LOOR STALYN ADOLFO                </t>
  </si>
  <si>
    <t xml:space="preserve">GILBERT JONES CARLOS LUIS               </t>
  </si>
  <si>
    <t xml:space="preserve">URAGA AYALA ROBERTO JOSE                </t>
  </si>
  <si>
    <t xml:space="preserve">RIVERA MARMOLEJO EDGAR ADRIAN           </t>
  </si>
  <si>
    <t xml:space="preserve">MURILLO BARAHONA LISSETTE ESTE          </t>
  </si>
  <si>
    <t>BCO PACIFICO MES DE JULIO</t>
  </si>
  <si>
    <t>0927113563</t>
  </si>
  <si>
    <t>3909659</t>
  </si>
  <si>
    <t>16:09:50</t>
  </si>
  <si>
    <t>16:22:00</t>
  </si>
  <si>
    <t>1302012610</t>
  </si>
  <si>
    <t>3900942</t>
  </si>
  <si>
    <t>14:10:45</t>
  </si>
  <si>
    <t>14:38:52</t>
  </si>
  <si>
    <t>0930533070</t>
  </si>
  <si>
    <t>3909552</t>
  </si>
  <si>
    <t>14:08:42</t>
  </si>
  <si>
    <t>15:47:33</t>
  </si>
  <si>
    <t>0922834734</t>
  </si>
  <si>
    <t>3900384</t>
  </si>
  <si>
    <t>REC-048-QNCI-651217</t>
  </si>
  <si>
    <t>16:24:03</t>
  </si>
  <si>
    <t>20210721</t>
  </si>
  <si>
    <t>REC-3510-A4F9-267121</t>
  </si>
  <si>
    <t>10:13:18</t>
  </si>
  <si>
    <t>20210720</t>
  </si>
  <si>
    <t>REC-3200-SAMB-540967</t>
  </si>
  <si>
    <t>10:49:56</t>
  </si>
  <si>
    <t>REC-223-B7CD-615501</t>
  </si>
  <si>
    <t>11:20:57</t>
  </si>
  <si>
    <t>REC-049-A518-1586985</t>
  </si>
  <si>
    <t>11:50:27</t>
  </si>
  <si>
    <t>REC-049-A518-1586986</t>
  </si>
  <si>
    <t>11:52:09</t>
  </si>
  <si>
    <t>REC-3023-IZCF-603725</t>
  </si>
  <si>
    <t>12:03:58</t>
  </si>
  <si>
    <t>REC-3172-LIO3-89526</t>
  </si>
  <si>
    <t>12:37:25</t>
  </si>
  <si>
    <t>REC-3172-YIHD-272401</t>
  </si>
  <si>
    <t>13:21:05</t>
  </si>
  <si>
    <t>REC-3187-A2UB-182694</t>
  </si>
  <si>
    <t>14:38:23</t>
  </si>
  <si>
    <t>REC-090-ULDN-630618</t>
  </si>
  <si>
    <t>16:16:53</t>
  </si>
  <si>
    <t>REC-4164-A1CB-142003</t>
  </si>
  <si>
    <t>REC-191-A381-412920</t>
  </si>
  <si>
    <t>18:17:24</t>
  </si>
  <si>
    <t>0993038172001</t>
  </si>
  <si>
    <t>3908485</t>
  </si>
  <si>
    <t>REC-072-4PW8-228897</t>
  </si>
  <si>
    <t>17:51:11</t>
  </si>
  <si>
    <t>20210719</t>
  </si>
  <si>
    <t>REC-5635-A2YS-55007</t>
  </si>
  <si>
    <t>18:20:01</t>
  </si>
  <si>
    <t>REC-3175-C8JC-338404</t>
  </si>
  <si>
    <t>18:41:24</t>
  </si>
  <si>
    <t>REC-7492-A6NE-31979</t>
  </si>
  <si>
    <t>19:32:35</t>
  </si>
  <si>
    <t>REC-5987-GFL4-337113</t>
  </si>
  <si>
    <t>07:53:24</t>
  </si>
  <si>
    <t>REC-3022-FNNL-569061</t>
  </si>
  <si>
    <t>09:51:35</t>
  </si>
  <si>
    <t>REC-678-3V18-593892</t>
  </si>
  <si>
    <t>REC-072-AV01-21064</t>
  </si>
  <si>
    <t>10:19:24</t>
  </si>
  <si>
    <t>REC-3533-CP5G-364687</t>
  </si>
  <si>
    <t>11:29:28</t>
  </si>
  <si>
    <t>REC-348-AB9D-178728</t>
  </si>
  <si>
    <t>11:30:39</t>
  </si>
  <si>
    <t>REC-348-AB9D-178729</t>
  </si>
  <si>
    <t>11:31:01</t>
  </si>
  <si>
    <t>REC-5989-GFL6-353314</t>
  </si>
  <si>
    <t>REC-3371-A1DS-237241</t>
  </si>
  <si>
    <t>13:50:33</t>
  </si>
  <si>
    <t>REC-3170-YGVG-349642</t>
  </si>
  <si>
    <t>REC-611-HYM3-118960</t>
  </si>
  <si>
    <t>14:34:09</t>
  </si>
  <si>
    <t>REC-3161-KURB-464857</t>
  </si>
  <si>
    <t>14:55:20</t>
  </si>
  <si>
    <t>REC-048-AFEP-269682</t>
  </si>
  <si>
    <t>15:09:01</t>
  </si>
  <si>
    <t>REC-165-LOA2-183360</t>
  </si>
  <si>
    <t>15:18:56</t>
  </si>
  <si>
    <t>REC-072-KBN0-291644</t>
  </si>
  <si>
    <t>16:30:43</t>
  </si>
  <si>
    <t>REC-3577-A1IU-180893</t>
  </si>
  <si>
    <t>16:53:20</t>
  </si>
  <si>
    <t>REC-226-B7CC-750361</t>
  </si>
  <si>
    <t>16:55:30</t>
  </si>
  <si>
    <t>REC-3187-YWS5-630670</t>
  </si>
  <si>
    <t>17:30:16</t>
  </si>
  <si>
    <t>REC-944-ZF9M-227399</t>
  </si>
  <si>
    <t>17:39:07</t>
  </si>
  <si>
    <t>REC-355-N45U-603070</t>
  </si>
  <si>
    <t>09:14:56</t>
  </si>
  <si>
    <t>20210718</t>
  </si>
  <si>
    <t>REC-096-DCIZ-485854</t>
  </si>
  <si>
    <t>11:16:30</t>
  </si>
  <si>
    <t>REC-904-KZH3-435920</t>
  </si>
  <si>
    <t>14:00:13</t>
  </si>
  <si>
    <t>REC-049-A518-1586836</t>
  </si>
  <si>
    <t>17:32:52</t>
  </si>
  <si>
    <t>REC-4960-A1QG-125277</t>
  </si>
  <si>
    <t>09:42:03</t>
  </si>
  <si>
    <t>20210717</t>
  </si>
  <si>
    <t>REC-223-V7XD-307523</t>
  </si>
  <si>
    <t>10:24:51</t>
  </si>
  <si>
    <t>REC-2004-CNH2-616789</t>
  </si>
  <si>
    <t>10:29:56</t>
  </si>
  <si>
    <t>REC-072-AV01-20925</t>
  </si>
  <si>
    <t>REC-3512-A4FC-304295</t>
  </si>
  <si>
    <t>REC-620-VWAG-140241</t>
  </si>
  <si>
    <t>12:35:59</t>
  </si>
  <si>
    <t>REC-165-M8MT-681297</t>
  </si>
  <si>
    <t>15:02:03</t>
  </si>
  <si>
    <t>3902159</t>
  </si>
  <si>
    <t>REC-165-M8MT-681298</t>
  </si>
  <si>
    <t>15:02:35</t>
  </si>
  <si>
    <t>REC-3187-A2UB-182365</t>
  </si>
  <si>
    <t>15:40:32</t>
  </si>
  <si>
    <t>REC-043-HXVM-332610</t>
  </si>
  <si>
    <t>16:58:09</t>
  </si>
  <si>
    <t>REC-3175-A3LN-161062</t>
  </si>
  <si>
    <t>18:01:17</t>
  </si>
  <si>
    <t>REC-3187-A2UB-182397</t>
  </si>
  <si>
    <t>20:00:41</t>
  </si>
  <si>
    <t>REC-4303-IAI3-271951</t>
  </si>
  <si>
    <t>09:44:38</t>
  </si>
  <si>
    <t>20210716</t>
  </si>
  <si>
    <t>REC-096-DCIZ-485743</t>
  </si>
  <si>
    <t>10:31:09</t>
  </si>
  <si>
    <t>0957884554</t>
  </si>
  <si>
    <t>3909582</t>
  </si>
  <si>
    <t>REC-4960-A1QG-125164</t>
  </si>
  <si>
    <t>10:45:04</t>
  </si>
  <si>
    <t>REC-3182-YQG9-304620</t>
  </si>
  <si>
    <t>REC-7779-SS95-278007</t>
  </si>
  <si>
    <t>11:33:34</t>
  </si>
  <si>
    <t>REC-4549-MAU2-3012</t>
  </si>
  <si>
    <t>REC-049-A518-1586711</t>
  </si>
  <si>
    <t>14:54:39</t>
  </si>
  <si>
    <t>REC-3808-A3Z9-552245</t>
  </si>
  <si>
    <t>15:21:24</t>
  </si>
  <si>
    <t>0918844408</t>
  </si>
  <si>
    <t>3909214</t>
  </si>
  <si>
    <t>REC-3182-YQHD-290989</t>
  </si>
  <si>
    <t>15:23:11</t>
  </si>
  <si>
    <t>REC-3510-A4F9-266792</t>
  </si>
  <si>
    <t>16:07:42</t>
  </si>
  <si>
    <t>REC-5635-A2YS-54646</t>
  </si>
  <si>
    <t>16:57:38</t>
  </si>
  <si>
    <t>0916349079</t>
  </si>
  <si>
    <t>3901180</t>
  </si>
  <si>
    <t>REC-3172-LIO6-151341</t>
  </si>
  <si>
    <t>18:50:34</t>
  </si>
  <si>
    <t>REC-3187-A2UE-70835</t>
  </si>
  <si>
    <t>18:52:28</t>
  </si>
  <si>
    <t>REC-3784-ATA2-193928</t>
  </si>
  <si>
    <t>19:12:36</t>
  </si>
  <si>
    <t>REC-4963-A3A0-235598</t>
  </si>
  <si>
    <t>09:49:04</t>
  </si>
  <si>
    <t>20210715</t>
  </si>
  <si>
    <t>REC-061-A1AW-65674</t>
  </si>
  <si>
    <t>10:07:43</t>
  </si>
  <si>
    <t>0992977930001</t>
  </si>
  <si>
    <t>3907144</t>
  </si>
  <si>
    <t>REC-223-V7XD-307170</t>
  </si>
  <si>
    <t>11:01:33</t>
  </si>
  <si>
    <t>REC-096-HG9K-330165</t>
  </si>
  <si>
    <t>12:09:19</t>
  </si>
  <si>
    <t>REC-223-V7XD-307216</t>
  </si>
  <si>
    <t>13:00:09</t>
  </si>
  <si>
    <t>REC-072-GPG1-234802</t>
  </si>
  <si>
    <t>13:13:50</t>
  </si>
  <si>
    <t>REC-011-JVA0-538479</t>
  </si>
  <si>
    <t>REC-3182-YQHD-290823</t>
  </si>
  <si>
    <t>13:56:08</t>
  </si>
  <si>
    <t>0902197219</t>
  </si>
  <si>
    <t>3908284</t>
  </si>
  <si>
    <t>REC-061-A6S4-167996</t>
  </si>
  <si>
    <t>15:09:17</t>
  </si>
  <si>
    <t>0917891731</t>
  </si>
  <si>
    <t>3901644</t>
  </si>
  <si>
    <t>REC-096-DCIZ-485710</t>
  </si>
  <si>
    <t>15:15:06</t>
  </si>
  <si>
    <t>REC-7984-A772-256697</t>
  </si>
  <si>
    <t>REC-3577-A1IU-180717</t>
  </si>
  <si>
    <t>16:36:00</t>
  </si>
  <si>
    <t>REC-678-3V18-593690</t>
  </si>
  <si>
    <t>16:55:28</t>
  </si>
  <si>
    <t>REC-7608-PS84-260681</t>
  </si>
  <si>
    <t>17:19:55</t>
  </si>
  <si>
    <t>REC-3172-YIG8-332519</t>
  </si>
  <si>
    <t>17:27:23</t>
  </si>
  <si>
    <t>REC-165-LOA2-183144</t>
  </si>
  <si>
    <t>18:28:42</t>
  </si>
  <si>
    <t>REC-3295-1TWC-241505</t>
  </si>
  <si>
    <t>18:54:54</t>
  </si>
  <si>
    <t>REC-223-B7CD-614913</t>
  </si>
  <si>
    <t>19:15:26</t>
  </si>
  <si>
    <t>REC-4963-A3A0-266953</t>
  </si>
  <si>
    <t>20:24:22</t>
  </si>
  <si>
    <t>REC-5989-GFL6-200417</t>
  </si>
  <si>
    <t>09:13:33</t>
  </si>
  <si>
    <t>20210714</t>
  </si>
  <si>
    <t>REC-223-B7CD-614493</t>
  </si>
  <si>
    <t>09:50:17</t>
  </si>
  <si>
    <t>REC-1129-B167-167</t>
  </si>
  <si>
    <t>11:01:38</t>
  </si>
  <si>
    <t>REC-4961-A24R-60240</t>
  </si>
  <si>
    <t>REC-3792-A39T-145473</t>
  </si>
  <si>
    <t>11:39:04</t>
  </si>
  <si>
    <t>REC-5310-Z4YZ-210159</t>
  </si>
  <si>
    <t>11:39:45</t>
  </si>
  <si>
    <t>REC-3095-T359-453881</t>
  </si>
  <si>
    <t>12:24:22</t>
  </si>
  <si>
    <t>REC-3370-A6JI-288670</t>
  </si>
  <si>
    <t>12:31:27</t>
  </si>
  <si>
    <t>REC-3022-A364-154035</t>
  </si>
  <si>
    <t>12:40:49</t>
  </si>
  <si>
    <t>REC-4717-FRZ4-213691</t>
  </si>
  <si>
    <t>12:50:09</t>
  </si>
  <si>
    <t>REC-543-U5H7-591838</t>
  </si>
  <si>
    <t>15:36:22</t>
  </si>
  <si>
    <t>0907181143</t>
  </si>
  <si>
    <t>REC-223-B7CD-614656</t>
  </si>
  <si>
    <t>15:38:08</t>
  </si>
  <si>
    <t>REC-4257-A221-155297</t>
  </si>
  <si>
    <t>16:24:56</t>
  </si>
  <si>
    <t>REC-7276-RQ45-224904</t>
  </si>
  <si>
    <t>17:08:24</t>
  </si>
  <si>
    <t>REC-348-AB9D-178284</t>
  </si>
  <si>
    <t>17:38:30</t>
  </si>
  <si>
    <t>0925878910</t>
  </si>
  <si>
    <t>3909532</t>
  </si>
  <si>
    <t>REC-543-U5H7-591687</t>
  </si>
  <si>
    <t>09:38:14</t>
  </si>
  <si>
    <t>20210713</t>
  </si>
  <si>
    <t>REC-096-DCIZ-485551</t>
  </si>
  <si>
    <t>10:22:58</t>
  </si>
  <si>
    <t>3909492</t>
  </si>
  <si>
    <t>REC-096-DCIZ-485552</t>
  </si>
  <si>
    <t>10:23:23</t>
  </si>
  <si>
    <t>REC-4352-A194-62262</t>
  </si>
  <si>
    <t>10:40:03</t>
  </si>
  <si>
    <t>REC-008-PB64-397815</t>
  </si>
  <si>
    <t>10:52:56</t>
  </si>
  <si>
    <t>REC-008-PB64-397816</t>
  </si>
  <si>
    <t>10:53:53</t>
  </si>
  <si>
    <t>REC-008-PB64-397817</t>
  </si>
  <si>
    <t>10:54:21</t>
  </si>
  <si>
    <t>REC-3392-A39W-438706</t>
  </si>
  <si>
    <t>11:28:13</t>
  </si>
  <si>
    <t>REC-3187-YWS5-630096</t>
  </si>
  <si>
    <t>12:22:17</t>
  </si>
  <si>
    <t>REC-536-2GEZ-371625</t>
  </si>
  <si>
    <t>12:40:37</t>
  </si>
  <si>
    <t>REC-191-A381-176814</t>
  </si>
  <si>
    <t>13:22:46</t>
  </si>
  <si>
    <t>REC-3172-YIGY-298098</t>
  </si>
  <si>
    <t>13:26:01</t>
  </si>
  <si>
    <t>REC-072-TTF1-340385</t>
  </si>
  <si>
    <t>14:06:34</t>
  </si>
  <si>
    <t>REC-986-B099-4521</t>
  </si>
  <si>
    <t>16:36:40</t>
  </si>
  <si>
    <t>REC-3370-A6JI-288591</t>
  </si>
  <si>
    <t>REC-3371-LD0C-321978</t>
  </si>
  <si>
    <t>18:19:28</t>
  </si>
  <si>
    <t>REC-3187-YWS5-630175</t>
  </si>
  <si>
    <t>18:31:46</t>
  </si>
  <si>
    <t>REC-3422-A25Y-118823</t>
  </si>
  <si>
    <t>09:47:12</t>
  </si>
  <si>
    <t>20210712</t>
  </si>
  <si>
    <t>REC-678-3V18-593269</t>
  </si>
  <si>
    <t>10:07:45</t>
  </si>
  <si>
    <t>REC-348-1R2Q-470273</t>
  </si>
  <si>
    <t>10:37:42</t>
  </si>
  <si>
    <t>REC-4278-IOI5-122781</t>
  </si>
  <si>
    <t>10:37:54</t>
  </si>
  <si>
    <t>REC-241-M1DC-368296</t>
  </si>
  <si>
    <t>11:06:19</t>
  </si>
  <si>
    <t>REC-3422-A3IU-659187</t>
  </si>
  <si>
    <t>12:24:51</t>
  </si>
  <si>
    <t>REC-072-AJ3R-271596</t>
  </si>
  <si>
    <t>13:53:38</t>
  </si>
  <si>
    <t>REC-536-TDSM-174700</t>
  </si>
  <si>
    <t>14:00:01</t>
  </si>
  <si>
    <t>REC-165-M8MT-680750</t>
  </si>
  <si>
    <t>0908395650</t>
  </si>
  <si>
    <t>3909534</t>
  </si>
  <si>
    <t>REC-3370-A6JI-288429</t>
  </si>
  <si>
    <t>14:44:43</t>
  </si>
  <si>
    <t>0910610955</t>
  </si>
  <si>
    <t>3960392</t>
  </si>
  <si>
    <t>REC-3200-SAMK-251515</t>
  </si>
  <si>
    <t>15:14:03</t>
  </si>
  <si>
    <t>REC-355-J4YM-702669</t>
  </si>
  <si>
    <t>15:39:56</t>
  </si>
  <si>
    <t>REC-7529-A12D-25853</t>
  </si>
  <si>
    <t>16:52:59</t>
  </si>
  <si>
    <t>REC-4654-ART3-148799</t>
  </si>
  <si>
    <t>17:16:59</t>
  </si>
  <si>
    <t>REC-611-HYM3-118569</t>
  </si>
  <si>
    <t>17:22:06</t>
  </si>
  <si>
    <t>REC-986-B099-4484</t>
  </si>
  <si>
    <t>17:40:37</t>
  </si>
  <si>
    <t>REC-3808-A3Z9-551918</t>
  </si>
  <si>
    <t>17:54:36</t>
  </si>
  <si>
    <t>REC-609-A1M3-346857</t>
  </si>
  <si>
    <t>18:39:36</t>
  </si>
  <si>
    <t>REC-3520-A1CH-297471</t>
  </si>
  <si>
    <t>09:51:30</t>
  </si>
  <si>
    <t>20210711</t>
  </si>
  <si>
    <t>REC-3187-A2UB-181786</t>
  </si>
  <si>
    <t>11:13:54</t>
  </si>
  <si>
    <t>REC-7492-A6NE-31117</t>
  </si>
  <si>
    <t>13:39:26</t>
  </si>
  <si>
    <t>REC-241-BEJD-596955</t>
  </si>
  <si>
    <t>17:05:10</t>
  </si>
  <si>
    <t>REC-3187-A2UE-70336</t>
  </si>
  <si>
    <t>17:41:40</t>
  </si>
  <si>
    <t>0908793474</t>
  </si>
  <si>
    <t>3902608</t>
  </si>
  <si>
    <t>REC-3370-A6JI-288371</t>
  </si>
  <si>
    <t>18:08:40</t>
  </si>
  <si>
    <t>0993252484001</t>
  </si>
  <si>
    <t>3908309</t>
  </si>
  <si>
    <t>REC-3371-EGEG-285333</t>
  </si>
  <si>
    <t>18:23:43</t>
  </si>
  <si>
    <t>REC-5310-Z4YZ-82877</t>
  </si>
  <si>
    <t>09:40:45</t>
  </si>
  <si>
    <t>20210710</t>
  </si>
  <si>
    <t>REC-3187-YWS5-629984</t>
  </si>
  <si>
    <t>10:32:13</t>
  </si>
  <si>
    <t>REC-095-AJSE-704630</t>
  </si>
  <si>
    <t>REC-609-A1M3-346755</t>
  </si>
  <si>
    <t>11:27:34</t>
  </si>
  <si>
    <t>REC-7830-LV66-950</t>
  </si>
  <si>
    <t>11:40:54</t>
  </si>
  <si>
    <t>REC-3295-1T8E-249215</t>
  </si>
  <si>
    <t>11:42:27</t>
  </si>
  <si>
    <t>REC-7734-MAC1-15725</t>
  </si>
  <si>
    <t>12:01:29</t>
  </si>
  <si>
    <t>REC-3370-A6JI-288276</t>
  </si>
  <si>
    <t>12:10:01</t>
  </si>
  <si>
    <t>REC-7529-A12D-25690</t>
  </si>
  <si>
    <t>15:39:52</t>
  </si>
  <si>
    <t>0927193227</t>
  </si>
  <si>
    <t>3908605</t>
  </si>
  <si>
    <t>REC-536-TDSM-174565</t>
  </si>
  <si>
    <t>17:00:28</t>
  </si>
  <si>
    <t>REC-3189-YWSY-181325</t>
  </si>
  <si>
    <t>20210709</t>
  </si>
  <si>
    <t>REC-4235-A1BQ-30843</t>
  </si>
  <si>
    <t>10:22:59</t>
  </si>
  <si>
    <t>REC-7314-A6GU-44204</t>
  </si>
  <si>
    <t>11:27:02</t>
  </si>
  <si>
    <t>REC-3187-A2UB-181589</t>
  </si>
  <si>
    <t>11:32:39</t>
  </si>
  <si>
    <t>REC-678-3V18-593085</t>
  </si>
  <si>
    <t>12:44:31</t>
  </si>
  <si>
    <t>REC-4190-A11N-1485423</t>
  </si>
  <si>
    <t>12:50:29</t>
  </si>
  <si>
    <t>REC-7492-A6NE-30946</t>
  </si>
  <si>
    <t>12:52:46</t>
  </si>
  <si>
    <t>REC-613-BK8R-435081</t>
  </si>
  <si>
    <t>13:52:55</t>
  </si>
  <si>
    <t>REC-4960-A1QG-124437</t>
  </si>
  <si>
    <t>14:12:55</t>
  </si>
  <si>
    <t>REC-4960-A1QG-124438</t>
  </si>
  <si>
    <t>14:13:38</t>
  </si>
  <si>
    <t>REC-3370-A6JI-288199</t>
  </si>
  <si>
    <t>14:25:55</t>
  </si>
  <si>
    <t>REC-609-A1M3-346651</t>
  </si>
  <si>
    <t>14:34:12</t>
  </si>
  <si>
    <t>REC-4164-A19X-177664</t>
  </si>
  <si>
    <t>REC-5680-PS51-68852</t>
  </si>
  <si>
    <t>15:31:17</t>
  </si>
  <si>
    <t>REC-245-BEJI-704288</t>
  </si>
  <si>
    <t>16:45:25</t>
  </si>
  <si>
    <t>at-3309</t>
  </si>
  <si>
    <t>REC-191-A381-9968</t>
  </si>
  <si>
    <t>08:44:02</t>
  </si>
  <si>
    <t>20210708</t>
  </si>
  <si>
    <t>REC-4007-OIT2-11801</t>
  </si>
  <si>
    <t>09:22:11</t>
  </si>
  <si>
    <t>REC-4966-A3Z7-12851</t>
  </si>
  <si>
    <t>09:40:43</t>
  </si>
  <si>
    <t>REC-7314-A6GU-44089</t>
  </si>
  <si>
    <t>REC-5585-A2XB-93199</t>
  </si>
  <si>
    <t>10:50:42</t>
  </si>
  <si>
    <t>REC-4313-IAI9-17727</t>
  </si>
  <si>
    <t>10:54:49</t>
  </si>
  <si>
    <t>REC-096-LIO1-572619</t>
  </si>
  <si>
    <t>11:16:03</t>
  </si>
  <si>
    <t>REC-048-QNCI-650273</t>
  </si>
  <si>
    <t>11:31:29</t>
  </si>
  <si>
    <t>REC-4179-LOE1-21243</t>
  </si>
  <si>
    <t>REC-4179-LOE1-21298</t>
  </si>
  <si>
    <t>REC-3175-C8JC-337340</t>
  </si>
  <si>
    <t>13:03:14</t>
  </si>
  <si>
    <t>0993064238001</t>
  </si>
  <si>
    <t>3909619</t>
  </si>
  <si>
    <t>REC-3371-A1DS-236807</t>
  </si>
  <si>
    <t>13:52:22</t>
  </si>
  <si>
    <t>REC-3260-CTO1-29979</t>
  </si>
  <si>
    <t>REC-5310-Z4YZ-30015</t>
  </si>
  <si>
    <t>14:51:29</t>
  </si>
  <si>
    <t>REC-3792-A24Z-592323</t>
  </si>
  <si>
    <t>15:08:38</t>
  </si>
  <si>
    <t>REC-7731-SS58-10341</t>
  </si>
  <si>
    <t>15:48:15</t>
  </si>
  <si>
    <t>REC-585-VR9E-522584</t>
  </si>
  <si>
    <t>15:56:24</t>
  </si>
  <si>
    <t>REC-3182-YQHG-249872</t>
  </si>
  <si>
    <t>16:01:37</t>
  </si>
  <si>
    <t>REC-4942-A1Z4-34816</t>
  </si>
  <si>
    <t>16:19:46</t>
  </si>
  <si>
    <t>REC-4942-A1Z4-34918</t>
  </si>
  <si>
    <t>16:20:53</t>
  </si>
  <si>
    <t>0918750688</t>
  </si>
  <si>
    <t>3906881</t>
  </si>
  <si>
    <t>REC-3520-A1CH-297261</t>
  </si>
  <si>
    <t>17:10:04</t>
  </si>
  <si>
    <t>REC-1189-B254-37583</t>
  </si>
  <si>
    <t>REC-3187-A2UE-70148</t>
  </si>
  <si>
    <t>17:29:42</t>
  </si>
  <si>
    <t>REC-048-AFEP-268826</t>
  </si>
  <si>
    <t>17:52:00</t>
  </si>
  <si>
    <t>REC-5635-A2YS-53831</t>
  </si>
  <si>
    <t>17:56:46</t>
  </si>
  <si>
    <t>REC-4164-A1CB-141248</t>
  </si>
  <si>
    <t>19:36:04</t>
  </si>
  <si>
    <t>REC-5585-A2XB-93077</t>
  </si>
  <si>
    <t>09:15:38</t>
  </si>
  <si>
    <t>20210707</t>
  </si>
  <si>
    <t>0918779323</t>
  </si>
  <si>
    <t>3909544</t>
  </si>
  <si>
    <t>REC-4963-A3A0-973126</t>
  </si>
  <si>
    <t>10:20:21</t>
  </si>
  <si>
    <t>REC-5466-RP69-7710</t>
  </si>
  <si>
    <t>10:31:50</t>
  </si>
  <si>
    <t>REC-7608-PS84-974746</t>
  </si>
  <si>
    <t>10:40:33</t>
  </si>
  <si>
    <t>REC-7492-A6NE-30662</t>
  </si>
  <si>
    <t>11:13:27</t>
  </si>
  <si>
    <t>REC-7492-A6NE-30663</t>
  </si>
  <si>
    <t>11:14:03</t>
  </si>
  <si>
    <t>REC-023-P4U6-472688</t>
  </si>
  <si>
    <t>REC-4007-OIT2-980680</t>
  </si>
  <si>
    <t>11:54:59</t>
  </si>
  <si>
    <t>REC-223-B7CD-613640</t>
  </si>
  <si>
    <t>12:27:47</t>
  </si>
  <si>
    <t>REC-7366-Y05Q-29650</t>
  </si>
  <si>
    <t>REC-4960-A1QG-124228</t>
  </si>
  <si>
    <t>12:48:57</t>
  </si>
  <si>
    <t>REC-4960-A1QG-124229</t>
  </si>
  <si>
    <t>12:49:17</t>
  </si>
  <si>
    <t>REC-049-A2U2-73772</t>
  </si>
  <si>
    <t>13:21:25</t>
  </si>
  <si>
    <t>0953701091</t>
  </si>
  <si>
    <t>3909371</t>
  </si>
  <si>
    <t>REC-096-LIO1-572521</t>
  </si>
  <si>
    <t>13:52:39</t>
  </si>
  <si>
    <t>REC-3809-A3ZD-51209</t>
  </si>
  <si>
    <t>13:55:09</t>
  </si>
  <si>
    <t>REC-3187-A2UE-70066</t>
  </si>
  <si>
    <t>14:11:30</t>
  </si>
  <si>
    <t>REC-165-M8MT-680294</t>
  </si>
  <si>
    <t>14:39:14</t>
  </si>
  <si>
    <t>REC-3792-A39T-144760</t>
  </si>
  <si>
    <t>15:36:32</t>
  </si>
  <si>
    <t>REC-191-A381-994021</t>
  </si>
  <si>
    <t>15:38:47</t>
  </si>
  <si>
    <t>REC-3187-YWS5-629735</t>
  </si>
  <si>
    <t>15:40:20</t>
  </si>
  <si>
    <t>REC-096-HG9K-329704</t>
  </si>
  <si>
    <t>15:40:21</t>
  </si>
  <si>
    <t>REC-191-A381-994121</t>
  </si>
  <si>
    <t>15:40:31</t>
  </si>
  <si>
    <t>REC-7451-QPQ1-22898</t>
  </si>
  <si>
    <t>0914538590</t>
  </si>
  <si>
    <t>3900428</t>
  </si>
  <si>
    <t>REC-011-JVA0-537923</t>
  </si>
  <si>
    <t>16:29:17</t>
  </si>
  <si>
    <t>REC-223-V7XD-306222</t>
  </si>
  <si>
    <t>17:43:10</t>
  </si>
  <si>
    <t>REC-5643-AA10-3414</t>
  </si>
  <si>
    <t>18:28:38</t>
  </si>
  <si>
    <t>REC-3172-YIG8-331480</t>
  </si>
  <si>
    <t>09:04:28</t>
  </si>
  <si>
    <t>20210706</t>
  </si>
  <si>
    <t>REC-3520-A1CH-296771</t>
  </si>
  <si>
    <t>09:33:24</t>
  </si>
  <si>
    <t>REC-3301-CTQ4-924101</t>
  </si>
  <si>
    <t>09:47:49</t>
  </si>
  <si>
    <t>REC-5585-A2XB-92955</t>
  </si>
  <si>
    <t>10:03:46</t>
  </si>
  <si>
    <t>REC-011-VD5Z-382355</t>
  </si>
  <si>
    <t>10:18:33</t>
  </si>
  <si>
    <t>REC-5016-A1HF-13392</t>
  </si>
  <si>
    <t>12:53:47</t>
  </si>
  <si>
    <t>1754751582001</t>
  </si>
  <si>
    <t>3908177</t>
  </si>
  <si>
    <t>REC-223-V7XD-305930</t>
  </si>
  <si>
    <t>13:09:31</t>
  </si>
  <si>
    <t>3908176</t>
  </si>
  <si>
    <t>REC-223-V7XD-305931</t>
  </si>
  <si>
    <t>13:09:53</t>
  </si>
  <si>
    <t>REC-5635-A2YS-53577</t>
  </si>
  <si>
    <t>13:14:57</t>
  </si>
  <si>
    <t>REC-3172-LIO6-150422</t>
  </si>
  <si>
    <t>13:35:24</t>
  </si>
  <si>
    <t>REC-3577-A26V-555418</t>
  </si>
  <si>
    <t>14:10:30</t>
  </si>
  <si>
    <t>REC-4202-A16N-9449</t>
  </si>
  <si>
    <t>14:56:26</t>
  </si>
  <si>
    <t>REC-5335-A646-947580</t>
  </si>
  <si>
    <t>15:05:52</t>
  </si>
  <si>
    <t>0913442588</t>
  </si>
  <si>
    <t>3903519</t>
  </si>
  <si>
    <t>REC-072-AV01-19410</t>
  </si>
  <si>
    <t>REC-048-AFEP-268560</t>
  </si>
  <si>
    <t>REC-045-VMU0-372539</t>
  </si>
  <si>
    <t>15:59:27</t>
  </si>
  <si>
    <t>REC-4319-1AH9-13171</t>
  </si>
  <si>
    <t>16:32:10</t>
  </si>
  <si>
    <t>REC-5989-GFL6-953520</t>
  </si>
  <si>
    <t>16:38:00</t>
  </si>
  <si>
    <t>REC-355-N45U-601531</t>
  </si>
  <si>
    <t>17:03:02</t>
  </si>
  <si>
    <t>REC-611-HYM3-118240</t>
  </si>
  <si>
    <t>17:15:40</t>
  </si>
  <si>
    <t>REC-342-EBMO-310066</t>
  </si>
  <si>
    <t>17:28:55</t>
  </si>
  <si>
    <t>REC-3189-YWSY-181192</t>
  </si>
  <si>
    <t>17:56:01</t>
  </si>
  <si>
    <t>REC-4164-A19P-184024</t>
  </si>
  <si>
    <t>18:02:56</t>
  </si>
  <si>
    <t>REC-5635-A2YS-53631</t>
  </si>
  <si>
    <t>18:22:14</t>
  </si>
  <si>
    <t>REC-3774-ABA2-868005</t>
  </si>
  <si>
    <t>10:12:42</t>
  </si>
  <si>
    <t>20210705</t>
  </si>
  <si>
    <t>REC-348-1R2Q-469528</t>
  </si>
  <si>
    <t>10:13:12</t>
  </si>
  <si>
    <t>REC-4202-A16N-9434</t>
  </si>
  <si>
    <t>11:02:16</t>
  </si>
  <si>
    <t>REC-518-RI70-207660</t>
  </si>
  <si>
    <t>11:30:57</t>
  </si>
  <si>
    <t>REC-7057-A66Z-26807</t>
  </si>
  <si>
    <t>12:14:26</t>
  </si>
  <si>
    <t>0921017208</t>
  </si>
  <si>
    <t>3909421</t>
  </si>
  <si>
    <t>REC-7809-LV49-3716</t>
  </si>
  <si>
    <t>12:33:13</t>
  </si>
  <si>
    <t>REC-011-JVA0-537672</t>
  </si>
  <si>
    <t>13:42:38</t>
  </si>
  <si>
    <t>REC-348-1R2Q-469614</t>
  </si>
  <si>
    <t>13:55:13</t>
  </si>
  <si>
    <t>REC-342-EBMO-309893</t>
  </si>
  <si>
    <t>14:12:57</t>
  </si>
  <si>
    <t>REC-342-EBMO-309894</t>
  </si>
  <si>
    <t>14:13:28</t>
  </si>
  <si>
    <t>REC-609-A3AI-113060</t>
  </si>
  <si>
    <t>14:22:54</t>
  </si>
  <si>
    <t>REC-072-KBN0-290415</t>
  </si>
  <si>
    <t>14:29:40</t>
  </si>
  <si>
    <t>REC-674-3K2R-1500049</t>
  </si>
  <si>
    <t>14:38:07</t>
  </si>
  <si>
    <t>REC-3182-YQHD-290184</t>
  </si>
  <si>
    <t>14:39:09</t>
  </si>
  <si>
    <t>REC-224-B7CE-26510</t>
  </si>
  <si>
    <t>14:41:10</t>
  </si>
  <si>
    <t>REC-3022-FNNL-567855</t>
  </si>
  <si>
    <t>14:45:53</t>
  </si>
  <si>
    <t>REC-3201-Y46O-457898</t>
  </si>
  <si>
    <t>14:57:41</t>
  </si>
  <si>
    <t>REC-5987-GFL4-898223</t>
  </si>
  <si>
    <t>15:42:25</t>
  </si>
  <si>
    <t>REC-7451-QPQ1-22603</t>
  </si>
  <si>
    <t>15:57:13</t>
  </si>
  <si>
    <t>REC-4313-IAI9-902727</t>
  </si>
  <si>
    <t>16:34:15</t>
  </si>
  <si>
    <t>REC-7637-SS05-2530</t>
  </si>
  <si>
    <t>16:56:32</t>
  </si>
  <si>
    <t>REC-3161-KURB-463222</t>
  </si>
  <si>
    <t>17:19:24</t>
  </si>
  <si>
    <t>REC-7492-A6NE-30435</t>
  </si>
  <si>
    <t>17:19:36</t>
  </si>
  <si>
    <t>REC-6146-A49G-840370</t>
  </si>
  <si>
    <t>20210704</t>
  </si>
  <si>
    <t>REC-226-B7CC-748871</t>
  </si>
  <si>
    <t>09:22:32</t>
  </si>
  <si>
    <t>REC-3520-A1CH-296448</t>
  </si>
  <si>
    <t>11:35:17</t>
  </si>
  <si>
    <t>0919686071</t>
  </si>
  <si>
    <t>3907871</t>
  </si>
  <si>
    <t>REC-3295-1T8D-192295</t>
  </si>
  <si>
    <t>14:26:04</t>
  </si>
  <si>
    <t>REC-2004-CNH2-615497</t>
  </si>
  <si>
    <t>14:56:27</t>
  </si>
  <si>
    <t>REC-3175-A3LN-159793</t>
  </si>
  <si>
    <t>15:30:58</t>
  </si>
  <si>
    <t>REC-7100-A69T-19846</t>
  </si>
  <si>
    <t>15:40:50</t>
  </si>
  <si>
    <t>REC-7545-PS31-15073</t>
  </si>
  <si>
    <t>REC-191-A381-810056</t>
  </si>
  <si>
    <t>07:58:52</t>
  </si>
  <si>
    <t>20210703</t>
  </si>
  <si>
    <t>REC-5762-FE91-813862</t>
  </si>
  <si>
    <t>10:02:16</t>
  </si>
  <si>
    <t>REC-3371-LD0C-321046</t>
  </si>
  <si>
    <t>10:35:33</t>
  </si>
  <si>
    <t>REC-348-1R2Q-469378</t>
  </si>
  <si>
    <t>10:56:36</t>
  </si>
  <si>
    <t>REC-165-M8MT-679720</t>
  </si>
  <si>
    <t>11:48:15</t>
  </si>
  <si>
    <t>REC-4717-FRZ4-822332</t>
  </si>
  <si>
    <t>12:32:17</t>
  </si>
  <si>
    <t>REC-5552-A944-822987</t>
  </si>
  <si>
    <t>12:45:19</t>
  </si>
  <si>
    <t>REC-4164-A19X-176985</t>
  </si>
  <si>
    <t>REC-027-A40B-94883</t>
  </si>
  <si>
    <t>14:27:43</t>
  </si>
  <si>
    <t>REC-3360-IPEN-246768</t>
  </si>
  <si>
    <t>16:03:56</t>
  </si>
  <si>
    <t>REC-4963-A3A0-831687</t>
  </si>
  <si>
    <t>16:26:12</t>
  </si>
  <si>
    <t>0914438692</t>
  </si>
  <si>
    <t>3906896</t>
  </si>
  <si>
    <t>REC-4810-FSJ5-771233</t>
  </si>
  <si>
    <t>09:14:10</t>
  </si>
  <si>
    <t>20210702</t>
  </si>
  <si>
    <t>REC-3175-A3LN-159444</t>
  </si>
  <si>
    <t>10:20:34</t>
  </si>
  <si>
    <t>REC-5001-A1C1-18729</t>
  </si>
  <si>
    <t>10:49:43</t>
  </si>
  <si>
    <t>REC-609-A1M3-345695</t>
  </si>
  <si>
    <t>11:30:11</t>
  </si>
  <si>
    <t>REC-5987-GFL4-781210</t>
  </si>
  <si>
    <t>11:30:51</t>
  </si>
  <si>
    <t>0906295001</t>
  </si>
  <si>
    <t>3909658</t>
  </si>
  <si>
    <t>REC-4535-A1SZ-35813</t>
  </si>
  <si>
    <t>11:49:02</t>
  </si>
  <si>
    <t>REC-3201-Y46O-457331</t>
  </si>
  <si>
    <t>12:07:08</t>
  </si>
  <si>
    <t>REC-096-DCIZ-484453</t>
  </si>
  <si>
    <t>12:26:36</t>
  </si>
  <si>
    <t>REC-3392-A39W-437555</t>
  </si>
  <si>
    <t>REC-3295-1TWC-240390</t>
  </si>
  <si>
    <t>12:49:34</t>
  </si>
  <si>
    <t>REC-090-9SKJ-478609</t>
  </si>
  <si>
    <t>13:04:11</t>
  </si>
  <si>
    <t>1750060954</t>
  </si>
  <si>
    <t>3900346</t>
  </si>
  <si>
    <t>REC-342-EBMO-309583</t>
  </si>
  <si>
    <t>13:04:16</t>
  </si>
  <si>
    <t>REC-008-PB64-397082</t>
  </si>
  <si>
    <t>13:07:40</t>
  </si>
  <si>
    <t>REC-3412-PTE5-787568</t>
  </si>
  <si>
    <t>13:14:27</t>
  </si>
  <si>
    <t>REC-3172-LIO5-582539</t>
  </si>
  <si>
    <t>13:14:28</t>
  </si>
  <si>
    <t>0927634659</t>
  </si>
  <si>
    <t>3909229</t>
  </si>
  <si>
    <t>REC-3172-LIO4-264571</t>
  </si>
  <si>
    <t>13:28:56</t>
  </si>
  <si>
    <t>REC-3172-LIO7-133583</t>
  </si>
  <si>
    <t>14:17:59</t>
  </si>
  <si>
    <t>REC-5537-T001-794005</t>
  </si>
  <si>
    <t>REC-3370-A6JI-287286</t>
  </si>
  <si>
    <t>15:42:08</t>
  </si>
  <si>
    <t>REC-3392-A39W-437600</t>
  </si>
  <si>
    <t>16:52:29</t>
  </si>
  <si>
    <t>REC-4976-A25U-8447</t>
  </si>
  <si>
    <t>17:14:22</t>
  </si>
  <si>
    <t>REC-4976-A25U-8448</t>
  </si>
  <si>
    <t>17:15:24</t>
  </si>
  <si>
    <t>REC-045-VMU0-372024</t>
  </si>
  <si>
    <t>17:50:55</t>
  </si>
  <si>
    <t>REC-7779-SS95-804003</t>
  </si>
  <si>
    <t>18:06:07</t>
  </si>
  <si>
    <t>REC-3187-YWS5-629317</t>
  </si>
  <si>
    <t>18:23:34</t>
  </si>
  <si>
    <t>REC-072-AV01-18638</t>
  </si>
  <si>
    <t>09:02:20</t>
  </si>
  <si>
    <t>20210701</t>
  </si>
  <si>
    <t>REC-3301-CTQ4-735803</t>
  </si>
  <si>
    <t>10:18:08</t>
  </si>
  <si>
    <t>REC-072-AJ3R-270322</t>
  </si>
  <si>
    <t>10:28:46</t>
  </si>
  <si>
    <t>REC-3182-YQG9-303396</t>
  </si>
  <si>
    <t>10:39:13</t>
  </si>
  <si>
    <t>REC-3533-A4H5-403365</t>
  </si>
  <si>
    <t>10:49:20</t>
  </si>
  <si>
    <t>REC-609-A3AI-112665</t>
  </si>
  <si>
    <t>11:12:16</t>
  </si>
  <si>
    <t>REC-072-AJ3R-270342</t>
  </si>
  <si>
    <t>11:28:07</t>
  </si>
  <si>
    <t>REC-223-B7CD-612729</t>
  </si>
  <si>
    <t>11:34:43</t>
  </si>
  <si>
    <t>REC-061-AEU1-207089</t>
  </si>
  <si>
    <t>11:40:52</t>
  </si>
  <si>
    <t>REC-944-PR10-452061</t>
  </si>
  <si>
    <t>11:42:33</t>
  </si>
  <si>
    <t>REC-5762-FE91-741810</t>
  </si>
  <si>
    <t>11:42:45</t>
  </si>
  <si>
    <t>REC-223-B7CD-612736</t>
  </si>
  <si>
    <t>11:51:40</t>
  </si>
  <si>
    <t>REC-568-YYC0-1591050</t>
  </si>
  <si>
    <t>11:58:18</t>
  </si>
  <si>
    <t>REC-3412-PTE5-742958</t>
  </si>
  <si>
    <t>12:00:49</t>
  </si>
  <si>
    <t>REC-3371-EFX5-202376</t>
  </si>
  <si>
    <t>12:05:18</t>
  </si>
  <si>
    <t>REC-5635-A2YS-53175</t>
  </si>
  <si>
    <t>12:31:58</t>
  </si>
  <si>
    <t>REC-096-HG9K-329173</t>
  </si>
  <si>
    <t>12:38:27</t>
  </si>
  <si>
    <t>REC-986-B099-4047</t>
  </si>
  <si>
    <t>REC-7314-A6GU-42988</t>
  </si>
  <si>
    <t>12:51:20</t>
  </si>
  <si>
    <t>REC-5310-Z4YZ-747493</t>
  </si>
  <si>
    <t>13:24:58</t>
  </si>
  <si>
    <t>REC-7809-LV49-3566</t>
  </si>
  <si>
    <t>13:40:53</t>
  </si>
  <si>
    <t>REC-096-ZU7N-277474</t>
  </si>
  <si>
    <t>13:59:22</t>
  </si>
  <si>
    <t>REC-3792-A39T-144061</t>
  </si>
  <si>
    <t>13:59:23</t>
  </si>
  <si>
    <t>REC-986-B099-4053</t>
  </si>
  <si>
    <t>REC-986-B099-4054</t>
  </si>
  <si>
    <t>14:05:54</t>
  </si>
  <si>
    <t>REC-3200-SAMK-250571</t>
  </si>
  <si>
    <t>14:20:41</t>
  </si>
  <si>
    <t>REC-061-AEU1-207115</t>
  </si>
  <si>
    <t>14:22:13</t>
  </si>
  <si>
    <t>REC-3295-1T8D-192080</t>
  </si>
  <si>
    <t>14:27:05</t>
  </si>
  <si>
    <t>REC-3370-A6JI-287064</t>
  </si>
  <si>
    <t>14:33:26</t>
  </si>
  <si>
    <t>REC-3022-A364-152374</t>
  </si>
  <si>
    <t>14:53:55</t>
  </si>
  <si>
    <t>REC-4963-A3A0-752154</t>
  </si>
  <si>
    <t>14:56:48</t>
  </si>
  <si>
    <t>0909778615</t>
  </si>
  <si>
    <t>3908523</t>
  </si>
  <si>
    <t>REC-3371-EGEG-284075</t>
  </si>
  <si>
    <t>15:01:43</t>
  </si>
  <si>
    <t>REC-3187-A2UB-180822</t>
  </si>
  <si>
    <t>at-3305</t>
  </si>
  <si>
    <t>REC-061-SPOX-310315</t>
  </si>
  <si>
    <t>16:48:52</t>
  </si>
  <si>
    <t>REC-165-M8MT-679511</t>
  </si>
  <si>
    <t>16:50:03</t>
  </si>
  <si>
    <t>REC-355-J4YM-701707</t>
  </si>
  <si>
    <t>16:53:04</t>
  </si>
  <si>
    <t>0930136056</t>
  </si>
  <si>
    <t>3906904</t>
  </si>
  <si>
    <t>REC-245-BEJI-703147</t>
  </si>
  <si>
    <t>17:11:22</t>
  </si>
  <si>
    <t>REC-7558-PS37-763034</t>
  </si>
  <si>
    <t>18:23:54</t>
  </si>
  <si>
    <t>REC-3414-PTE7-763447</t>
  </si>
  <si>
    <t>18:33:20</t>
  </si>
  <si>
    <t>REC-3414-PTE7-763480</t>
  </si>
  <si>
    <t>0930345210</t>
  </si>
  <si>
    <t>3909574</t>
  </si>
  <si>
    <t>REC-4301-IAI1-765253</t>
  </si>
  <si>
    <t>19:16:38</t>
  </si>
  <si>
    <t>WESTERN UNION MES DE JULIO</t>
  </si>
  <si>
    <t xml:space="preserve">Fact#: 369043 Rec#: 19693 CHRISTIAN RODIAN GONZALEZ ZAMBRANO </t>
  </si>
  <si>
    <t>IC-12510</t>
  </si>
  <si>
    <t xml:space="preserve">Fact#: 368128-370738 Rec#: 19692 VERA PISPIRA WILSON ALBERTO </t>
  </si>
  <si>
    <t>IC-12509</t>
  </si>
  <si>
    <t xml:space="preserve">Fact#: 367212-369831 Rec#: 19691 REYES PINCAY JORGE VICTOR </t>
  </si>
  <si>
    <t>IC-12508</t>
  </si>
  <si>
    <t xml:space="preserve">Fact#: 367018-369645 Rec#: 19690 PEREIRA CACERES KETTY DEL ROCIO </t>
  </si>
  <si>
    <t>IC-12507</t>
  </si>
  <si>
    <t xml:space="preserve">Fact#: 367963-370583 Rec#: 19689 VILLAMAR ARROLLO DOLORES MARGARITA </t>
  </si>
  <si>
    <t>IC-12506</t>
  </si>
  <si>
    <t xml:space="preserve">Fact#: 5009-5253 Rec#: 19688 PAREDES PEREZ GUSTAVO XAVIER </t>
  </si>
  <si>
    <t>IC-12505</t>
  </si>
  <si>
    <t xml:space="preserve">Fact#: 368107-370719 Rec#: 19687 ITURRALDE VIZUETA DOLORES PAULINA </t>
  </si>
  <si>
    <t>IC-12504</t>
  </si>
  <si>
    <t xml:space="preserve">Fact#: 367228-369846 Rec#: 19686 CHUCA CHANCAY ANDREA BETZABETH </t>
  </si>
  <si>
    <t>IC-12503</t>
  </si>
  <si>
    <t xml:space="preserve">Fact#: 369832 Rec#: 19685 CHANCAY SOLEDISPA VICTOR MANUEL </t>
  </si>
  <si>
    <t>IC-12502</t>
  </si>
  <si>
    <t xml:space="preserve">Fact#: 366580-369221 Rec#: 19684 JUVIKA JOHANNA CABUYALES HUACON </t>
  </si>
  <si>
    <t>IC-12501</t>
  </si>
  <si>
    <t xml:space="preserve">Fact#: 368486 Rec#: 19683 LOPEZ FLOREZ CARLOS RAFAEL </t>
  </si>
  <si>
    <t>IC-12500</t>
  </si>
  <si>
    <t xml:space="preserve">Fact#: 370773 Rec#: 19682 MACHASILLA RUIZ KEVIN ALFONSO </t>
  </si>
  <si>
    <t>IC-12499</t>
  </si>
  <si>
    <t xml:space="preserve">Fact#: 367724-370328 Rec#: 19681 MIRANDA TORRES JUAN ERNESTO </t>
  </si>
  <si>
    <t>IC-12498</t>
  </si>
  <si>
    <t xml:space="preserve">Fact#: 367526-370136 Rec#: 19680 CUEVA VEGA EFREN </t>
  </si>
  <si>
    <t>IC-12497</t>
  </si>
  <si>
    <t xml:space="preserve">Fact#: 370782 Rec#: 19679 LOPEZ PENAFIEL MARLENE ESTHER </t>
  </si>
  <si>
    <t>IC-12496</t>
  </si>
  <si>
    <t xml:space="preserve">Fact#: 370587 Rec#: 19678 MARURI GUERRA RAUL ENRIQUE </t>
  </si>
  <si>
    <t>IC-12495</t>
  </si>
  <si>
    <t xml:space="preserve">Fact#: 368301 Rec#: 19677 INMOBILIARIA GALILEA-ECUADOR S.A </t>
  </si>
  <si>
    <t>IC-12494</t>
  </si>
  <si>
    <t xml:space="preserve">Fact#: 369924 Rec#: 19676 AVILES PEREZ ALFONSO </t>
  </si>
  <si>
    <t>IC-12493</t>
  </si>
  <si>
    <t xml:space="preserve">Fact#: 368102-370714 Rec#: 19675 CASTRO CAMACHO JOSE ANTONIO </t>
  </si>
  <si>
    <t>IC-12492</t>
  </si>
  <si>
    <t xml:space="preserve">Fact#: 363793-366385-369027 Rec#: 19674 RICHARD VICENTE TORRES POVEDA </t>
  </si>
  <si>
    <t>IC-12491</t>
  </si>
  <si>
    <t xml:space="preserve">Fact#: 369709 Rec#: 19673 BORBOR VILLON ALEX ALEJANDRO </t>
  </si>
  <si>
    <t>IC-12490</t>
  </si>
  <si>
    <t xml:space="preserve">Fact#: 369737 Rec#: 19672 ESPIN PICO NANCY CRISTINA </t>
  </si>
  <si>
    <t>IC-12489</t>
  </si>
  <si>
    <t xml:space="preserve">Fact#: 369834 Rec#: 19671 GOMEZ VERA NATALY ELIZABETH </t>
  </si>
  <si>
    <t>IC-12488</t>
  </si>
  <si>
    <t xml:space="preserve">Fact#: 369029 Rec#: 19670 LORENA LISSET NUÑEZ RODRIGUEZ </t>
  </si>
  <si>
    <t>IC-12487</t>
  </si>
  <si>
    <t xml:space="preserve">Fact#: 367595-370204 Rec#: 19669 MORA MORA MARIA DE LOURDES </t>
  </si>
  <si>
    <t>IC-12486</t>
  </si>
  <si>
    <t xml:space="preserve">Fact#: 369897 Rec#: 19668 CASTRO AGUA MARLON JOSE </t>
  </si>
  <si>
    <t>IC-12485</t>
  </si>
  <si>
    <t xml:space="preserve">Fact#: 369806 Rec#: 19667 CHELE TORO OSCAR EULICES </t>
  </si>
  <si>
    <t>IC-12484</t>
  </si>
  <si>
    <t xml:space="preserve">Fact#: 369717 Rec#: 19666 TENORIO PRECIADO SUSANA MIRELLA </t>
  </si>
  <si>
    <t>IC-12483</t>
  </si>
  <si>
    <t xml:space="preserve">Fact#: 367394-370010 Rec#: 19665 MENDIETA VILLALVA ROSA MARIA </t>
  </si>
  <si>
    <t>IC-12482</t>
  </si>
  <si>
    <t xml:space="preserve">Fact#: 369996 Rec#: 19664 ZAMBRANO RIVERA EDINSON EDGAR </t>
  </si>
  <si>
    <t>IC-12481</t>
  </si>
  <si>
    <t xml:space="preserve">Fact#: 366800-369434 Rec#: 19663 ZAMBRANO MOREIRA LUIS ALFREDO </t>
  </si>
  <si>
    <t>IC-12480</t>
  </si>
  <si>
    <t xml:space="preserve">Fact#: 366749 Rec#: 19662 LUQUE RIVAS MARIA ROSA </t>
  </si>
  <si>
    <t>IC-12479</t>
  </si>
  <si>
    <t xml:space="preserve">Fact#: 367189-369810 Rec#: 19661 RODRIGUEZ LLAMUCA JOHANNA MIREYA </t>
  </si>
  <si>
    <t>IC-12478</t>
  </si>
  <si>
    <t xml:space="preserve">Fact#: 366900-369532 Rec#: 19660 MOLINA SALAVARRIA ADRIANO ENRIQUE </t>
  </si>
  <si>
    <t>IC-12477</t>
  </si>
  <si>
    <t xml:space="preserve">Fact#: 368295 Rec#: 19659 ALLINPUBLICIDAD&amp;MARKETING S A </t>
  </si>
  <si>
    <t>IC-12476</t>
  </si>
  <si>
    <t xml:space="preserve">Fact#: 369574 Rec#: 19658 MAYEZA REGALADO JIMMY HARRY </t>
  </si>
  <si>
    <t>IC-12475</t>
  </si>
  <si>
    <t xml:space="preserve">Fact#: 366653-369291 Rec#: 19657 ORTIZ CARRILLO ROBERTO JAVIER </t>
  </si>
  <si>
    <t>IC-12474</t>
  </si>
  <si>
    <t xml:space="preserve">Fact#: 366963-369592 Rec#: 19656 PINO ARROBA ALVARO ERNESTO </t>
  </si>
  <si>
    <t>IC-12473</t>
  </si>
  <si>
    <t xml:space="preserve">Fact#: 369006 Rec#: 19655 LENIN ANTONIO SARABIA ORELLANA </t>
  </si>
  <si>
    <t>IC-12472</t>
  </si>
  <si>
    <t xml:space="preserve">Fact#: 370344 Rec#: 19654 MENDOZA VELEZ CARLOS DAMIAN </t>
  </si>
  <si>
    <t>IC-12471</t>
  </si>
  <si>
    <t xml:space="preserve">Fact#: 368562 Rec#: 19653 MENDOZA VELEZ CARLOS DAMIAN </t>
  </si>
  <si>
    <t>IC-12470</t>
  </si>
  <si>
    <t xml:space="preserve">Fact#: 370764 Rec#: 19652 JIMENEZ CERVANTES HECTOR WILLIAM </t>
  </si>
  <si>
    <t>IC-12469</t>
  </si>
  <si>
    <t xml:space="preserve">Fact#: 370126 Rec#: 19651 PRECIADO SALVATIERRA PATRICIA PAOLA </t>
  </si>
  <si>
    <t>IC-12468</t>
  </si>
  <si>
    <t>JULIO CESAR MONCAYO CRESPIN ABONA SGTE FACTURA, PAGO WESTERN UNION</t>
  </si>
  <si>
    <t>AT-3357</t>
  </si>
  <si>
    <t xml:space="preserve">Fact#: 366981-369609 Rec#: 19650 CAMPOVERDE AREVALO WILLIAM HERNAN </t>
  </si>
  <si>
    <t>IC-12399</t>
  </si>
  <si>
    <t xml:space="preserve">Fact#: 5134 Rec#: 19649 AGUILAR ECHEVERRIA LUIS FERNANDO </t>
  </si>
  <si>
    <t>IC-12398</t>
  </si>
  <si>
    <t xml:space="preserve">Fact#: 366430-369072 Rec#: 19648 CECILIA ISABEL PORTILLA ESPINOZA </t>
  </si>
  <si>
    <t>IC-12397</t>
  </si>
  <si>
    <t xml:space="preserve">Fact#: 356320-358798-361322 Rec#: 19647 CRISTIAN ALAN PARRALES TUMBACO </t>
  </si>
  <si>
    <t>IC-12396</t>
  </si>
  <si>
    <t xml:space="preserve">Fact#: 356321-358799-361323 Rec#: 19646 CRISTIAN ALAN PARRALES TUMBACO </t>
  </si>
  <si>
    <t>IC-12395</t>
  </si>
  <si>
    <t xml:space="preserve">Fact#: 366328-368976 Rec#: 19645 RUBEN DARIO QUIMIS JESUS </t>
  </si>
  <si>
    <t>IC-12394</t>
  </si>
  <si>
    <t xml:space="preserve">Fact#: 362029-364570-367144 Rec#: 19644 SANCHEZ PARRA MAYURI EMILIA </t>
  </si>
  <si>
    <t>IC-12393</t>
  </si>
  <si>
    <t xml:space="preserve">Fact#: 369787 Rec#: 19643 PARRALES CABRERA TEOFILO CELESTINO </t>
  </si>
  <si>
    <t>IC-12392</t>
  </si>
  <si>
    <t xml:space="preserve">Fact#: 366542-369185 Rec#: 19642 NEISI LORENA CHONG MELGAR </t>
  </si>
  <si>
    <t>IC-12391</t>
  </si>
  <si>
    <t xml:space="preserve">Fact#: 356489-358966-361487 Rec#: 19641 LEON PIN OSWALDO NEMECIO </t>
  </si>
  <si>
    <t>IC-12390</t>
  </si>
  <si>
    <t xml:space="preserve">Fact#: 366882-369513 Rec#: 19640 ZAMORA AVILA ANGELA MARIA </t>
  </si>
  <si>
    <t>IC-12389</t>
  </si>
  <si>
    <t xml:space="preserve">Fact#: 369460 Rec#: 19639 VASQUEZ DORA JUAN JOSE </t>
  </si>
  <si>
    <t>IC-12388</t>
  </si>
  <si>
    <t xml:space="preserve">Fact#: 369751 Rec#: 19638 MUNIZ MARTINEZ CARMEN ALEJA </t>
  </si>
  <si>
    <t>IC-12387</t>
  </si>
  <si>
    <t xml:space="preserve">Fact#: 368817 Rec#: 19637 ASTUDILLO AYORA CECILIA FILOMENA </t>
  </si>
  <si>
    <t>IC-12386</t>
  </si>
  <si>
    <t xml:space="preserve">Fact#: 364491-367063-369688 Rec#: 19636 BOLANO HURTADO SUGEY MERY </t>
  </si>
  <si>
    <t>IC-12385</t>
  </si>
  <si>
    <t xml:space="preserve">Fact#: 367449-370064 Rec#: 19635 FLOREZ QUINTERO DIEGO ERNESTO </t>
  </si>
  <si>
    <t>IC-12384</t>
  </si>
  <si>
    <t xml:space="preserve">Fact#: 364817-367383-369999 Rec#: 19634 MORAN MERA SANDRA ISABEL </t>
  </si>
  <si>
    <t>IC-12383</t>
  </si>
  <si>
    <t xml:space="preserve">Fact#: 368604 Rec#: 19633 ASESORAMIENTO GLOBAL INTEGRAL ABOGADOS ABBHV S.A.  </t>
  </si>
  <si>
    <t>IC-12382</t>
  </si>
  <si>
    <t xml:space="preserve">Fact#: 369819 Rec#: 19632 SANCHEZ AGUILAR SORAYA PATRICIA </t>
  </si>
  <si>
    <t>IC-12381</t>
  </si>
  <si>
    <t xml:space="preserve">Fact#: 366849-369481 Rec#: 19631 BURGOS MERCHAN UVENCIO ELICIO </t>
  </si>
  <si>
    <t>IC-12380</t>
  </si>
  <si>
    <t xml:space="preserve">Fact#: 367403-370020 Rec#: 19630 MACIAS CASTRO GINA MAYRA </t>
  </si>
  <si>
    <t>IC-12379</t>
  </si>
  <si>
    <t xml:space="preserve">Fact#: 367983-370601 Rec#: 19629 BAILON PEZO MERCEDES NATALIA </t>
  </si>
  <si>
    <t>IC-12378</t>
  </si>
  <si>
    <t xml:space="preserve">Fact#: 369892 Rec#: 19628 FREIRE ANDRADE PAOLA MARIA </t>
  </si>
  <si>
    <t>IC-12377</t>
  </si>
  <si>
    <t xml:space="preserve">Fact#: 369523 Rec#: 19627 MEDINA BORJA LEONARDO JAVIER </t>
  </si>
  <si>
    <t>IC-12376</t>
  </si>
  <si>
    <t>SANGUNA RON TANIA GRICELDA CANCELA 23923204 ABONA SGTE FACTURA</t>
  </si>
  <si>
    <t>AT-3356</t>
  </si>
  <si>
    <t xml:space="preserve">Fact#: 368794 Rec#: 19626 ARMANDO ROBERTO  YAGUAL BRITO </t>
  </si>
  <si>
    <t>IC-12336</t>
  </si>
  <si>
    <t xml:space="preserve">Fact#: 366421-369063 Rec#: 19625 SEGUNDO PATRICIO ALMACHE AGUIRRE </t>
  </si>
  <si>
    <t>IC-12335</t>
  </si>
  <si>
    <t xml:space="preserve">Fact#: 363469-366063-368710 Rec#: 19624 JULIO LUIS ESPARZA  MORAN </t>
  </si>
  <si>
    <t>IC-12334</t>
  </si>
  <si>
    <t xml:space="preserve">Fact#: 363466-366060-368707 Rec#: 19623 MARIA GERMANIA ZAMORA RUIZ </t>
  </si>
  <si>
    <t>IC-12333</t>
  </si>
  <si>
    <t xml:space="preserve">Fact#: 370199 Rec#: 19622 SORIA LAMAN HARRY SUN </t>
  </si>
  <si>
    <t>IC-12332</t>
  </si>
  <si>
    <t xml:space="preserve">Fact#: 369670 Rec#: 19621 CRUZ MONTANO CLAUDIA JOHANNA </t>
  </si>
  <si>
    <t>IC-12331</t>
  </si>
  <si>
    <t xml:space="preserve">Fact#: 366805-369439 Rec#: 19620 FREIRE ORTIZ PEDRO PABLO </t>
  </si>
  <si>
    <t>IC-12330</t>
  </si>
  <si>
    <t xml:space="preserve">Fact#: 369030 Rec#: 19619 ALEXANDER WELLINGTON ALVARADO CARRIEL </t>
  </si>
  <si>
    <t>IC-12329</t>
  </si>
  <si>
    <t xml:space="preserve">Fact#: 369496 Rec#: 19618 ORTIZ ACOSTA HERNAN GONZALO </t>
  </si>
  <si>
    <t>IC-12328</t>
  </si>
  <si>
    <t xml:space="preserve">Fact#: 369808 Rec#: 19617 SOLANO DE LA TORRE EFRAIN ALFREDO </t>
  </si>
  <si>
    <t>IC-12327</t>
  </si>
  <si>
    <t xml:space="preserve">Fact#: 370524 Rec#: 19616 CEVALLOS CRUZ DIANA JENNIFFER </t>
  </si>
  <si>
    <t>IC-12326</t>
  </si>
  <si>
    <t xml:space="preserve">Fact#: 363813-366404-369046 Rec#: 19615 JOHANNA MARICELA CARRANZA ANCHUNDIA </t>
  </si>
  <si>
    <t>IC-12325</t>
  </si>
  <si>
    <t xml:space="preserve">Fact#: 368276 Rec#: 19614 FORMICONSTRUC S.A. </t>
  </si>
  <si>
    <t>IC-12324</t>
  </si>
  <si>
    <t xml:space="preserve">Fact#: 367990-370607 Rec#: 19613 QUINDE RENTERIA MARISELA ELIZABETH </t>
  </si>
  <si>
    <t>IC-12323</t>
  </si>
  <si>
    <t xml:space="preserve">Fact#: 361348-363902-366491 Rec#: 19612 ALEX EMILIO TELLO CEDEÑO </t>
  </si>
  <si>
    <t>IC-12322</t>
  </si>
  <si>
    <t>JURADO VELEZ JONNY EUGENIO ABONA SGTE FACTURA, PAGO WESTERN UNION</t>
  </si>
  <si>
    <t>AT-3355</t>
  </si>
  <si>
    <t xml:space="preserve">Fact#: 366771-369407 Rec#: 19611 BAÑOS BARRAGAN FLOR AMERICA </t>
  </si>
  <si>
    <t>IC-12321</t>
  </si>
  <si>
    <t xml:space="preserve">Fact#: 368788 Rec#: 19610 ENCALADA SANCHEZ NIEVES ELIZABETH </t>
  </si>
  <si>
    <t>IC-12320</t>
  </si>
  <si>
    <t xml:space="preserve">Fact#: 369444 Rec#: 19609 YANEZ ARROYO LUIS ALBERTO </t>
  </si>
  <si>
    <t>IC-12319</t>
  </si>
  <si>
    <t xml:space="preserve">Fact#: 368789 Rec#: 19608 RODRIGUEZ VITERY VICTOR EMILIO </t>
  </si>
  <si>
    <t>IC-12318</t>
  </si>
  <si>
    <t xml:space="preserve">Fact#: 363844-366435-369077 Rec#: 19607 YOFFRE TEODORO ROQUE APOLO </t>
  </si>
  <si>
    <t>IC-12317</t>
  </si>
  <si>
    <t xml:space="preserve">Fact#: 370565 Rec#: 19606 QUIMIS CHIQUITO LUPE DIONICIO </t>
  </si>
  <si>
    <t>IC-12316</t>
  </si>
  <si>
    <t xml:space="preserve">Fact#: 369408 Rec#: 19605 ANANGONO COTTO ALEXANDRA MARIBEL </t>
  </si>
  <si>
    <t>IC-12315</t>
  </si>
  <si>
    <t xml:space="preserve">Fact#: 366933-369562 Rec#: 19604 VILLEGAS BASTIDAS JOSE ALFREDO </t>
  </si>
  <si>
    <t>IC-12314</t>
  </si>
  <si>
    <t xml:space="preserve">Fact#: 369791 Rec#: 19603 MALDONADO VILLAMAR HUMBERTO MARTIN </t>
  </si>
  <si>
    <t>IC-12313</t>
  </si>
  <si>
    <t xml:space="preserve">Fact#: 367398-370014 Rec#: 19602 VILLAMAR CARRANZA MARISOL DEL PILAR </t>
  </si>
  <si>
    <t>IC-12312</t>
  </si>
  <si>
    <t xml:space="preserve">Fact#: 365398-367967-370588 Rec#: 19601 YAGUAL GONZALEZ OSWALDO ALCIDES </t>
  </si>
  <si>
    <t>IC-12311</t>
  </si>
  <si>
    <t xml:space="preserve">Fact#: 368633-368735 Rec#: 19600 SANDRA PATRICIA MOREJON LLANOS </t>
  </si>
  <si>
    <t>IC-12310</t>
  </si>
  <si>
    <t xml:space="preserve">Fact#: 370783 Rec#: 19599 CIRINO MOLINA ELIAS MOISES </t>
  </si>
  <si>
    <t>IC-12309</t>
  </si>
  <si>
    <t xml:space="preserve">Fact#: 368411 Rec#: 19598 VIOSCULPT ECUADOR S.A. </t>
  </si>
  <si>
    <t>IC-12308</t>
  </si>
  <si>
    <t xml:space="preserve">Fact#: 368880 Rec#: 19597 LISETTE JOHANNA MEZA VEGA </t>
  </si>
  <si>
    <t>IC-12307</t>
  </si>
  <si>
    <t xml:space="preserve">Fact#: 370626 Rec#: 19596 DOMINGUEZ BAREN MARIA ANGELICA </t>
  </si>
  <si>
    <t>IC-12306</t>
  </si>
  <si>
    <t xml:space="preserve">Fact#: 370032 Rec#: 19595 LEON GARCIA MARCELA VERONICA </t>
  </si>
  <si>
    <t>IC-12305</t>
  </si>
  <si>
    <t>AT-3352</t>
  </si>
  <si>
    <t xml:space="preserve">Fact#: 363554-366145 Rec#: 33972 RIOS ORELLANA INGRID DE LA CRUZ </t>
  </si>
  <si>
    <t>IC-11699</t>
  </si>
  <si>
    <t>WESTERN UNION MES DE AGOSTO</t>
  </si>
  <si>
    <t>20210801</t>
  </si>
  <si>
    <t>18:24:35</t>
  </si>
  <si>
    <t>REC-3834-A4T5-116622</t>
  </si>
  <si>
    <t>18:17:49</t>
  </si>
  <si>
    <t>REC-3412-PTE5-725033</t>
  </si>
  <si>
    <t>16:43:18</t>
  </si>
  <si>
    <t>REC-609-A1M3-348324</t>
  </si>
  <si>
    <t>16:17:11</t>
  </si>
  <si>
    <t>REC-072-AV01-22655</t>
  </si>
  <si>
    <t>14:58:12</t>
  </si>
  <si>
    <t>REC-7641-ATR1-11958</t>
  </si>
  <si>
    <t>REC-944-PR10-455385</t>
  </si>
  <si>
    <t>11:51:53</t>
  </si>
  <si>
    <t>REC-7100-A69T-20807</t>
  </si>
  <si>
    <t>10:49:47</t>
  </si>
  <si>
    <t>REC-096-DCIZ-486752</t>
  </si>
  <si>
    <t>10:49:15</t>
  </si>
  <si>
    <t>REC-223-B7CD-617318</t>
  </si>
  <si>
    <t>10:45:18</t>
  </si>
  <si>
    <t>REC-536-TDSM-176485</t>
  </si>
  <si>
    <t>10:43:19</t>
  </si>
  <si>
    <t>REC-986-B099-5181</t>
  </si>
  <si>
    <t>10:42:17</t>
  </si>
  <si>
    <t>REC-986-B099-5180</t>
  </si>
  <si>
    <t>20210802</t>
  </si>
  <si>
    <t>19:35:06</t>
  </si>
  <si>
    <t>REC-4301-IAI1-776144</t>
  </si>
  <si>
    <t>19:32:56</t>
  </si>
  <si>
    <t>REC-7314-A6GU-46654</t>
  </si>
  <si>
    <t>18:42:26</t>
  </si>
  <si>
    <t>REC-7779-SS95-773731</t>
  </si>
  <si>
    <t>18:41:04</t>
  </si>
  <si>
    <t>REC-7779-SS95-773650</t>
  </si>
  <si>
    <t>17:37:30</t>
  </si>
  <si>
    <t>REC-342-EBMO-313071</t>
  </si>
  <si>
    <t>17:35:40</t>
  </si>
  <si>
    <t>REC-223-V7XD-309441</t>
  </si>
  <si>
    <t>17:02:26</t>
  </si>
  <si>
    <t>REC-5585-A2XB-95267</t>
  </si>
  <si>
    <t>16:54:40</t>
  </si>
  <si>
    <t>REC-4717-FRZ4-766850</t>
  </si>
  <si>
    <t>16:36:27</t>
  </si>
  <si>
    <t>REC-3172-YIHD-273333</t>
  </si>
  <si>
    <t>REC-5311-B392-731</t>
  </si>
  <si>
    <t>15:51:15</t>
  </si>
  <si>
    <t>REC-165-LOA2-184501</t>
  </si>
  <si>
    <t>15:17:52</t>
  </si>
  <si>
    <t>REC-3520-A1CH-300112</t>
  </si>
  <si>
    <t>15:13:33</t>
  </si>
  <si>
    <t>REC-3554-PTY2-759925</t>
  </si>
  <si>
    <t>14:41:44</t>
  </si>
  <si>
    <t>REC-3784-ATA2-194822</t>
  </si>
  <si>
    <t>3908612</t>
  </si>
  <si>
    <t>1204061996</t>
  </si>
  <si>
    <t>14:08:31</t>
  </si>
  <si>
    <t>REC-4963-A3A0-755109</t>
  </si>
  <si>
    <t>13:40:23</t>
  </si>
  <si>
    <t>REC-3260-CTO1-753069</t>
  </si>
  <si>
    <t>REC-3422-A25Y-120465</t>
  </si>
  <si>
    <t>12:17:38</t>
  </si>
  <si>
    <t>REC-3422-A3IU-660848</t>
  </si>
  <si>
    <t>12:10:53</t>
  </si>
  <si>
    <t>REC-7314-A6GU-46506</t>
  </si>
  <si>
    <t>REC-096-LIO1-574698</t>
  </si>
  <si>
    <t>12:01:37</t>
  </si>
  <si>
    <t>REC-096-LIO1-574693</t>
  </si>
  <si>
    <t>11:56:04</t>
  </si>
  <si>
    <t>REC-045-VMU0-374973</t>
  </si>
  <si>
    <t>11:52:29</t>
  </si>
  <si>
    <t>REC-7783-SS99-621</t>
  </si>
  <si>
    <t>11:20:19</t>
  </si>
  <si>
    <t>REC-4535-A1SZ-36632</t>
  </si>
  <si>
    <t>3909618</t>
  </si>
  <si>
    <t>0926107483</t>
  </si>
  <si>
    <t>REC-3520-A1CH-300004</t>
  </si>
  <si>
    <t>10:56:06</t>
  </si>
  <si>
    <t>REC-3172-YIG8-333677</t>
  </si>
  <si>
    <t>09:31:58</t>
  </si>
  <si>
    <t>REC-4007-OIT2-732195</t>
  </si>
  <si>
    <t>09:25:01</t>
  </si>
  <si>
    <t>REC-191-A381-731749</t>
  </si>
  <si>
    <t>20210803</t>
  </si>
  <si>
    <t>17:54:52</t>
  </si>
  <si>
    <t>REC-3187-A2UE-72084</t>
  </si>
  <si>
    <t>17:51:53</t>
  </si>
  <si>
    <t>REC-3161-KURB-466325</t>
  </si>
  <si>
    <t>17:27:53</t>
  </si>
  <si>
    <t>REC-072-KBN0-292450</t>
  </si>
  <si>
    <t>REC-4934-A1ZV-815631</t>
  </si>
  <si>
    <t>16:44:16</t>
  </si>
  <si>
    <t>REC-5635-A2YS-56798</t>
  </si>
  <si>
    <t>16:24:07</t>
  </si>
  <si>
    <t>REC-3200-SAMD-292976</t>
  </si>
  <si>
    <t>16:14:09</t>
  </si>
  <si>
    <t>REC-5466-RP69-8224</t>
  </si>
  <si>
    <t>3909530</t>
  </si>
  <si>
    <t>0993026433001</t>
  </si>
  <si>
    <t>at-3326</t>
  </si>
  <si>
    <t>15:57:31</t>
  </si>
  <si>
    <t>REC-609-A1M3-348588</t>
  </si>
  <si>
    <t>15:40:13</t>
  </si>
  <si>
    <t>REC-7542-PS29-809985</t>
  </si>
  <si>
    <t>15:16:24</t>
  </si>
  <si>
    <t>REC-3172-YIGY-298914</t>
  </si>
  <si>
    <t>15:08:50</t>
  </si>
  <si>
    <t>REC-551-VOI9-596126</t>
  </si>
  <si>
    <t>14:21:46</t>
  </si>
  <si>
    <t>REC-191-A381-804252</t>
  </si>
  <si>
    <t>14:04:37</t>
  </si>
  <si>
    <t>REC-3172-YIG8-333895</t>
  </si>
  <si>
    <t>13:57:43</t>
  </si>
  <si>
    <t>REC-1129-B167-214</t>
  </si>
  <si>
    <t>13:46:02</t>
  </si>
  <si>
    <t>REC-3200-SAMD-292964</t>
  </si>
  <si>
    <t>REC-4235-A1BQ-30908</t>
  </si>
  <si>
    <t>13:28:01</t>
  </si>
  <si>
    <t>REC-4179-LOE1-800903</t>
  </si>
  <si>
    <t>13:02:16</t>
  </si>
  <si>
    <t>REC-5919-PRA9-799288</t>
  </si>
  <si>
    <t>REC-4319-A1I3-31968</t>
  </si>
  <si>
    <t>REC-3371-EFX5-206373</t>
  </si>
  <si>
    <t>12:46:10</t>
  </si>
  <si>
    <t>REC-3161-KURB-466250</t>
  </si>
  <si>
    <t>12:06:29</t>
  </si>
  <si>
    <t>REC-5987-GFL4-795338</t>
  </si>
  <si>
    <t>12:05:45</t>
  </si>
  <si>
    <t>REC-3187-YWS5-631875</t>
  </si>
  <si>
    <t>11:30:04</t>
  </si>
  <si>
    <t>REC-7451-QPQ1-24955</t>
  </si>
  <si>
    <t>11:23:05</t>
  </si>
  <si>
    <t>REC-678-3V18-594767</t>
  </si>
  <si>
    <t>11:07:33</t>
  </si>
  <si>
    <t>REC-348-AB9D-180038</t>
  </si>
  <si>
    <t>REC-4934-A1ZV-789451</t>
  </si>
  <si>
    <t>3909599</t>
  </si>
  <si>
    <t>0924741564</t>
  </si>
  <si>
    <t>10:53:05</t>
  </si>
  <si>
    <t>REC-4934-A1ZV-789332</t>
  </si>
  <si>
    <t>10:26:16</t>
  </si>
  <si>
    <t>REC-165-M8MT-682586</t>
  </si>
  <si>
    <t>09:29:31</t>
  </si>
  <si>
    <t>REC-7779-SS95-783107</t>
  </si>
  <si>
    <t>09:19:28</t>
  </si>
  <si>
    <t>REC-5762-FE91-782432</t>
  </si>
  <si>
    <t>18:56:48</t>
  </si>
  <si>
    <t>REC-7731-SS58-11130</t>
  </si>
  <si>
    <t>18:40:36</t>
  </si>
  <si>
    <t>REC-3022-A364-155842</t>
  </si>
  <si>
    <t>20210804</t>
  </si>
  <si>
    <t>19:11:15</t>
  </si>
  <si>
    <t>REC-342-EBMO-313448</t>
  </si>
  <si>
    <t>18:09:05</t>
  </si>
  <si>
    <t>REC-3182-YQG9-305799</t>
  </si>
  <si>
    <t>17:36:30</t>
  </si>
  <si>
    <t>REC-3172-YIGY-299074</t>
  </si>
  <si>
    <t>16:43:20</t>
  </si>
  <si>
    <t>REC-223-V7XD-309803</t>
  </si>
  <si>
    <t>16:29:04</t>
  </si>
  <si>
    <t>REC-5585-A2XB-95587</t>
  </si>
  <si>
    <t>16:03:57</t>
  </si>
  <si>
    <t>REC-049-A518-1588149</t>
  </si>
  <si>
    <t>15:58:00</t>
  </si>
  <si>
    <t>REC-3512-A4FC-306264</t>
  </si>
  <si>
    <t>REC-3182-YQG9-305752</t>
  </si>
  <si>
    <t>REC-3182-YQG9-305750</t>
  </si>
  <si>
    <t>15:31:02</t>
  </si>
  <si>
    <t>REC-061-AEU1-209333</t>
  </si>
  <si>
    <t>14:33:00</t>
  </si>
  <si>
    <t>REC-4934-A1ZV-858038</t>
  </si>
  <si>
    <t>13:54:01</t>
  </si>
  <si>
    <t>REC-7902-A7P3-7453</t>
  </si>
  <si>
    <t>at-3327</t>
  </si>
  <si>
    <t>12:58:43</t>
  </si>
  <si>
    <t>REC-348-AB9D-180306</t>
  </si>
  <si>
    <t>12:47:52</t>
  </si>
  <si>
    <t>REC-3577-A26V-558379</t>
  </si>
  <si>
    <t>12:26:31</t>
  </si>
  <si>
    <t>REC-3182-YQHG-252271</t>
  </si>
  <si>
    <t>12:20:30</t>
  </si>
  <si>
    <t>REC-342-EBMO-313309</t>
  </si>
  <si>
    <t>11:48:33</t>
  </si>
  <si>
    <t>REC-3392-A39W-440582</t>
  </si>
  <si>
    <t>11:39:47</t>
  </si>
  <si>
    <t>REC-3577-A1IU-182253</t>
  </si>
  <si>
    <t>11:34:37</t>
  </si>
  <si>
    <t>REC-045-VMU0-375317</t>
  </si>
  <si>
    <t>11:34:26</t>
  </si>
  <si>
    <t>REC-3422-A25Y-120602</t>
  </si>
  <si>
    <t>REC-518-RI70-209691</t>
  </si>
  <si>
    <t>11:31:02</t>
  </si>
  <si>
    <t>REC-4010-LOP1-845763</t>
  </si>
  <si>
    <t>11:20:24</t>
  </si>
  <si>
    <t>REC-3161-KURB-466383</t>
  </si>
  <si>
    <t>11:07:30</t>
  </si>
  <si>
    <t>REC-011-VD5Z-384927</t>
  </si>
  <si>
    <t>10:53:12</t>
  </si>
  <si>
    <t>REC-7366-Y05Q-31490</t>
  </si>
  <si>
    <t>10:45:11</t>
  </si>
  <si>
    <t>REC-3371-LD0C-324042</t>
  </si>
  <si>
    <t>10:24:28</t>
  </si>
  <si>
    <t>REC-3182-YQHG-252235</t>
  </si>
  <si>
    <t>09:15:20</t>
  </si>
  <si>
    <t>REC-072-A6LX-231909</t>
  </si>
  <si>
    <t>08:30:58</t>
  </si>
  <si>
    <t>REC-551-VOI9-596171</t>
  </si>
  <si>
    <t>20210805</t>
  </si>
  <si>
    <t>19:51:23</t>
  </si>
  <si>
    <t>REC-011-JVA0-540104</t>
  </si>
  <si>
    <t>18:23:25</t>
  </si>
  <si>
    <t>REC-3370-A6JI-291480</t>
  </si>
  <si>
    <t>18:22:40</t>
  </si>
  <si>
    <t>REC-3422-A3IU-661267</t>
  </si>
  <si>
    <t>18:03:40</t>
  </si>
  <si>
    <t>REC-3187-A2UE-72325</t>
  </si>
  <si>
    <t>17:53:00</t>
  </si>
  <si>
    <t>REC-3172-LIO4-268034</t>
  </si>
  <si>
    <t>3909721</t>
  </si>
  <si>
    <t>1204554917</t>
  </si>
  <si>
    <t>17:24:22</t>
  </si>
  <si>
    <t>REC-7277-RQ46-912504</t>
  </si>
  <si>
    <t>17:11:18</t>
  </si>
  <si>
    <t>REC-096-LIO1-575280</t>
  </si>
  <si>
    <t>17:03:26</t>
  </si>
  <si>
    <t>REC-3187-A2UE-72306</t>
  </si>
  <si>
    <t>16:42:34</t>
  </si>
  <si>
    <t>REC-223-B7CD-618069</t>
  </si>
  <si>
    <t>16:41:47</t>
  </si>
  <si>
    <t>REC-224-B7CE-29548</t>
  </si>
  <si>
    <t>16:30:53</t>
  </si>
  <si>
    <t>REC-3161-KURB-466631</t>
  </si>
  <si>
    <t>15:56:31</t>
  </si>
  <si>
    <t>REC-536-TDSM-177094</t>
  </si>
  <si>
    <t>15:42:01</t>
  </si>
  <si>
    <t>REC-3172-LIO4-268011</t>
  </si>
  <si>
    <t>15:09:35</t>
  </si>
  <si>
    <t>REC-3370-A6JI-291447</t>
  </si>
  <si>
    <t>14:51:36</t>
  </si>
  <si>
    <t>REC-3295-1TWC-242891</t>
  </si>
  <si>
    <t>13:39:41</t>
  </si>
  <si>
    <t>REC-3172-LIO5-583879</t>
  </si>
  <si>
    <t>13:21:41</t>
  </si>
  <si>
    <t>REC-096-ZU7N-280478</t>
  </si>
  <si>
    <t>12:24:56</t>
  </si>
  <si>
    <t>REC-3520-A1CH-300710</t>
  </si>
  <si>
    <t>3909613</t>
  </si>
  <si>
    <t>0918892779</t>
  </si>
  <si>
    <t>11:55:45</t>
  </si>
  <si>
    <t>REC-3577-A26V-558482</t>
  </si>
  <si>
    <t>11:45:27</t>
  </si>
  <si>
    <t>REC-7734-MAC1-17454</t>
  </si>
  <si>
    <t>11:41:06</t>
  </si>
  <si>
    <t>REC-3201-Y46O-461888</t>
  </si>
  <si>
    <t>11:25:38</t>
  </si>
  <si>
    <t>REC-3201-Y46O-461874</t>
  </si>
  <si>
    <t>11:23:09</t>
  </si>
  <si>
    <t>REC-3182-YQHG-252404</t>
  </si>
  <si>
    <t>11:10:49</t>
  </si>
  <si>
    <t>REC-609-A3AI-115952</t>
  </si>
  <si>
    <t>3907379</t>
  </si>
  <si>
    <t>0917048076</t>
  </si>
  <si>
    <t>10:53:39</t>
  </si>
  <si>
    <t>REC-3301-CTQ4-889004</t>
  </si>
  <si>
    <t>10:43:46</t>
  </si>
  <si>
    <t>REC-611-HYM3-119984</t>
  </si>
  <si>
    <t>10:43:10</t>
  </si>
  <si>
    <t>REC-3370-A6JI-291401</t>
  </si>
  <si>
    <t>10:20:36</t>
  </si>
  <si>
    <t>REC-048-AFEP-271025</t>
  </si>
  <si>
    <t>10:02:50</t>
  </si>
  <si>
    <t>REC-609-A3AI-115920</t>
  </si>
  <si>
    <t>20210806</t>
  </si>
  <si>
    <t>18:52:45</t>
  </si>
  <si>
    <t>REC-4257-A221-157639</t>
  </si>
  <si>
    <t>18:51:17</t>
  </si>
  <si>
    <t>REC-536-2GEZ-373648</t>
  </si>
  <si>
    <t>18:34:54</t>
  </si>
  <si>
    <t>REC-072-AJ3R-274528</t>
  </si>
  <si>
    <t>18:32:28</t>
  </si>
  <si>
    <t>REC-027-AJSJ-585364</t>
  </si>
  <si>
    <t>18:15:33</t>
  </si>
  <si>
    <t>REC-3422-A3IU-661365</t>
  </si>
  <si>
    <t>17:08:17</t>
  </si>
  <si>
    <t>REC-5310-Z4YZ-949176</t>
  </si>
  <si>
    <t>REC-3371-LD0C-324363</t>
  </si>
  <si>
    <t>16:24:51</t>
  </si>
  <si>
    <t>REC-355-J4YM-705097</t>
  </si>
  <si>
    <t>13:31:50</t>
  </si>
  <si>
    <t>REC-090-ULDN-632700</t>
  </si>
  <si>
    <t>12:58:10</t>
  </si>
  <si>
    <t>REC-5585-RQ83-49599</t>
  </si>
  <si>
    <t>12:33:52</t>
  </si>
  <si>
    <t>REC-7731-B239-3827</t>
  </si>
  <si>
    <t>12:01:30</t>
  </si>
  <si>
    <t>REC-4976-A25U-8646</t>
  </si>
  <si>
    <t>11:58:02</t>
  </si>
  <si>
    <t>REC-4976-A25U-8645</t>
  </si>
  <si>
    <t>11:54:14</t>
  </si>
  <si>
    <t>REC-7570-PS50-932059</t>
  </si>
  <si>
    <t>11:43:36</t>
  </si>
  <si>
    <t>REC-7996-A810-931408</t>
  </si>
  <si>
    <t>11:28:04</t>
  </si>
  <si>
    <t>REC-4007-OIT2-930383</t>
  </si>
  <si>
    <t>11:05:16</t>
  </si>
  <si>
    <t>REC-7277-RQ46-928886</t>
  </si>
  <si>
    <t>11:04:18</t>
  </si>
  <si>
    <t>REC-7277-RQ46-928825</t>
  </si>
  <si>
    <t>REC-3187-A2UE-72362</t>
  </si>
  <si>
    <t>10:35:27</t>
  </si>
  <si>
    <t>REC-944-LRJ0-428514</t>
  </si>
  <si>
    <t>10:15:19</t>
  </si>
  <si>
    <t>REC-3187-A2UE-72347</t>
  </si>
  <si>
    <t>09:56:58</t>
  </si>
  <si>
    <t>REC-3412-PTE5-924368</t>
  </si>
  <si>
    <t>08:43:37</t>
  </si>
  <si>
    <t>REC-3412-PTE5-920548</t>
  </si>
  <si>
    <t>20210807</t>
  </si>
  <si>
    <t>19:59:35</t>
  </si>
  <si>
    <t>REC-3295-1T8E-251006</t>
  </si>
  <si>
    <t>18:09:55</t>
  </si>
  <si>
    <t>REC-061-ZT94-173439</t>
  </si>
  <si>
    <t>17:20:17</t>
  </si>
  <si>
    <t>REC-090-9SKJ-483271</t>
  </si>
  <si>
    <t>14:42:07</t>
  </si>
  <si>
    <t>REC-3792-A24Z-595748</t>
  </si>
  <si>
    <t>14:07:27</t>
  </si>
  <si>
    <t>REC-3808-A3Z9-553760</t>
  </si>
  <si>
    <t>3909604</t>
  </si>
  <si>
    <t>0911075869</t>
  </si>
  <si>
    <t>14:03:56</t>
  </si>
  <si>
    <t>REC-3371-EFX5-206961</t>
  </si>
  <si>
    <t>13:33:41</t>
  </si>
  <si>
    <t>REC-4960-A1QG-127639</t>
  </si>
  <si>
    <t>at-3332</t>
  </si>
  <si>
    <t>11:44:42</t>
  </si>
  <si>
    <t>REC-663-2ITH-394034</t>
  </si>
  <si>
    <t>10:09:52</t>
  </si>
  <si>
    <t>REC-4303-IAI3-959999</t>
  </si>
  <si>
    <t>09:55:24</t>
  </si>
  <si>
    <t>REC-7608-PS84-959482</t>
  </si>
  <si>
    <t>20210808</t>
  </si>
  <si>
    <t>14:42:18</t>
  </si>
  <si>
    <t>REC-7100-A69T-21162</t>
  </si>
  <si>
    <t>11:43:21</t>
  </si>
  <si>
    <t>REC-3189-YWSY-183206</t>
  </si>
  <si>
    <t>20210809</t>
  </si>
  <si>
    <t>18:45:08</t>
  </si>
  <si>
    <t>REC-613-BK8R-435985</t>
  </si>
  <si>
    <t>15:45:31</t>
  </si>
  <si>
    <t>REC-609-A1M3-349121</t>
  </si>
  <si>
    <t>10:56:14</t>
  </si>
  <si>
    <t>REC-3109-TTH2-712396</t>
  </si>
  <si>
    <t>20210810</t>
  </si>
  <si>
    <t>19:56:46</t>
  </si>
  <si>
    <t>REC-5801-PRI3-68549</t>
  </si>
  <si>
    <t>19:14:33</t>
  </si>
  <si>
    <t>REC-3187-YWS5-632490</t>
  </si>
  <si>
    <t>18:50:55</t>
  </si>
  <si>
    <t>REC-4934-A1ZV-66148</t>
  </si>
  <si>
    <t>3908917</t>
  </si>
  <si>
    <t>1203466154</t>
  </si>
  <si>
    <t>REC-8026-B346-3072</t>
  </si>
  <si>
    <t>17:18:19</t>
  </si>
  <si>
    <t>REC-3295-1T8E-251203</t>
  </si>
  <si>
    <t>REC-4960-A1QG-127869</t>
  </si>
  <si>
    <t>15:45:54</t>
  </si>
  <si>
    <t>REC-609-A3AI-116543</t>
  </si>
  <si>
    <t>15:29:18</t>
  </si>
  <si>
    <t>REC-061-AEU1-209626</t>
  </si>
  <si>
    <t>3901739</t>
  </si>
  <si>
    <t>1202555536</t>
  </si>
  <si>
    <t>REC-072-AV01-23756</t>
  </si>
  <si>
    <t>14:37:49</t>
  </si>
  <si>
    <t>REC-072-AV01-23755</t>
  </si>
  <si>
    <t>14:10:15</t>
  </si>
  <si>
    <t>REC-7057-A66Z-28909</t>
  </si>
  <si>
    <t>12:28:13</t>
  </si>
  <si>
    <t>REC-072-AJ3R-274740</t>
  </si>
  <si>
    <t>12:14:39</t>
  </si>
  <si>
    <t>REC-3808-A3Z9-553883</t>
  </si>
  <si>
    <t>11:36:46</t>
  </si>
  <si>
    <t>REC-3792-A24Z-595940</t>
  </si>
  <si>
    <t>10:15:59</t>
  </si>
  <si>
    <t>REC-3187-A2UB-184830</t>
  </si>
  <si>
    <t>20210811</t>
  </si>
  <si>
    <t>20:17:39</t>
  </si>
  <si>
    <t>REC-3187-A2UE-72707</t>
  </si>
  <si>
    <t>17:41:29</t>
  </si>
  <si>
    <t>REC-3187-A2UE-72669</t>
  </si>
  <si>
    <t>17:24:05</t>
  </si>
  <si>
    <t>REC-3006-J4DW-1486020</t>
  </si>
  <si>
    <t>17:23:37</t>
  </si>
  <si>
    <t>REC-3006-J4DW-1486019</t>
  </si>
  <si>
    <t>16:37:04</t>
  </si>
  <si>
    <t>REC-3175-A3LN-163273</t>
  </si>
  <si>
    <t>REC-027-A40B-98390</t>
  </si>
  <si>
    <t>15:33:41</t>
  </si>
  <si>
    <t>REC-3371-LD0C-324651</t>
  </si>
  <si>
    <t>14:21:28</t>
  </si>
  <si>
    <t>REC-3392-A39W-441290</t>
  </si>
  <si>
    <t>3909565</t>
  </si>
  <si>
    <t>1314039239</t>
  </si>
  <si>
    <t>13:41:57</t>
  </si>
  <si>
    <t>REC-3371-EGEG-288767</t>
  </si>
  <si>
    <t>12:52:13</t>
  </si>
  <si>
    <t>REC-011-VD5Z-385422</t>
  </si>
  <si>
    <t>11:57:23</t>
  </si>
  <si>
    <t>REC-5635-A2YS-57411</t>
  </si>
  <si>
    <t>10:32:43</t>
  </si>
  <si>
    <t>REC-7451-QPQ1-25616</t>
  </si>
  <si>
    <t>at-3334</t>
  </si>
  <si>
    <t>07:59:17</t>
  </si>
  <si>
    <t>REC-518-RI71-205087</t>
  </si>
  <si>
    <t>20210812</t>
  </si>
  <si>
    <t>18:52:56</t>
  </si>
  <si>
    <t>REC-8026-B346-3178</t>
  </si>
  <si>
    <t>17:18:17</t>
  </si>
  <si>
    <t>REC-5243-RP46-5887</t>
  </si>
  <si>
    <t>at-3335</t>
  </si>
  <si>
    <t>14:25:40</t>
  </si>
  <si>
    <t>REC-223-V7XD-310840</t>
  </si>
  <si>
    <t>13:39:47</t>
  </si>
  <si>
    <t>REC-3392-A39W-441399</t>
  </si>
  <si>
    <t>11:46:22</t>
  </si>
  <si>
    <t>REC-3022-FNNL-571461</t>
  </si>
  <si>
    <t>REC-3187-A2UE-72728</t>
  </si>
  <si>
    <t>11:24:18</t>
  </si>
  <si>
    <t>REC-3370-A6JI-292092</t>
  </si>
  <si>
    <t>10:32:14</t>
  </si>
  <si>
    <t>REC-3109-TTH2-712673</t>
  </si>
  <si>
    <t>REC-3577-A1IU-183088</t>
  </si>
  <si>
    <t>10:16:35</t>
  </si>
  <si>
    <t>REC-4202-A16N-9609</t>
  </si>
  <si>
    <t>10:05:55</t>
  </si>
  <si>
    <t>REC-7042-R1CB-6304</t>
  </si>
  <si>
    <t>07:53:22</t>
  </si>
  <si>
    <t>REC-072-A6LX-232556</t>
  </si>
  <si>
    <t>20210813</t>
  </si>
  <si>
    <t>19:39:57</t>
  </si>
  <si>
    <t>REC-5635-A2YS-57735</t>
  </si>
  <si>
    <t>17:49:01</t>
  </si>
  <si>
    <t>REC-3022-FNNL-571616</t>
  </si>
  <si>
    <t>16:57:22</t>
  </si>
  <si>
    <t>REC-245-BEJI-708425</t>
  </si>
  <si>
    <t>REC-3792-A24Z-596275</t>
  </si>
  <si>
    <t>at-3336</t>
  </si>
  <si>
    <t>15:50:46</t>
  </si>
  <si>
    <t>REC-3200-SAMK-254060</t>
  </si>
  <si>
    <t>3909388</t>
  </si>
  <si>
    <t>0603757683</t>
  </si>
  <si>
    <t>14:58:52</t>
  </si>
  <si>
    <t>REC-3421-A2OB-476014</t>
  </si>
  <si>
    <t>3908371</t>
  </si>
  <si>
    <t>0932149172</t>
  </si>
  <si>
    <t>14:43:21</t>
  </si>
  <si>
    <t>REC-5310-Z4YZ-174177</t>
  </si>
  <si>
    <t>13:59:00</t>
  </si>
  <si>
    <t>REC-090-9SKJ-483921</t>
  </si>
  <si>
    <t>13:57:40</t>
  </si>
  <si>
    <t>REC-165-LOA2-185973</t>
  </si>
  <si>
    <t>at-3337</t>
  </si>
  <si>
    <t>12:43:44</t>
  </si>
  <si>
    <t>REC-3022-A364-156879</t>
  </si>
  <si>
    <t>12:12:50</t>
  </si>
  <si>
    <t>REC-3182-YQHG-253250</t>
  </si>
  <si>
    <t>3908924</t>
  </si>
  <si>
    <t>0918187725001</t>
  </si>
  <si>
    <t>11:47:39</t>
  </si>
  <si>
    <t>REC-191-A381-164815</t>
  </si>
  <si>
    <t>11:03:39</t>
  </si>
  <si>
    <t>REC-048-QNCI-652608</t>
  </si>
  <si>
    <t>10:42:52</t>
  </si>
  <si>
    <t>REC-223-V7XD-311002</t>
  </si>
  <si>
    <t>REC-5695-A2E3-40275</t>
  </si>
  <si>
    <t>10:32:26</t>
  </si>
  <si>
    <t>REC-5680-PS51-159627</t>
  </si>
  <si>
    <t>09:45:30</t>
  </si>
  <si>
    <t>REC-072-4PW8-231428</t>
  </si>
  <si>
    <t>09:34:49</t>
  </si>
  <si>
    <t>REC-3095-T359-456108</t>
  </si>
  <si>
    <t>09:34:05</t>
  </si>
  <si>
    <t>REC-678-3V18-595602</t>
  </si>
  <si>
    <t>REC-3022-A364-156827</t>
  </si>
  <si>
    <t>3908797</t>
  </si>
  <si>
    <t>0926521790</t>
  </si>
  <si>
    <t>09:22:31</t>
  </si>
  <si>
    <t>REC-678-3V18-595596</t>
  </si>
  <si>
    <t>20210814</t>
  </si>
  <si>
    <t>16:17:16</t>
  </si>
  <si>
    <t>REC-3187-YWS5-632838</t>
  </si>
  <si>
    <t>15:23:41</t>
  </si>
  <si>
    <t>REC-3170-YGVG-351711</t>
  </si>
  <si>
    <t>14:34:19</t>
  </si>
  <si>
    <t>REC-3370-A6JI-292365</t>
  </si>
  <si>
    <t>3901226</t>
  </si>
  <si>
    <t>1309502761</t>
  </si>
  <si>
    <t>13:57:54</t>
  </si>
  <si>
    <t>REC-3510-A4F9-269529</t>
  </si>
  <si>
    <t>REC-090-IRFP-621555</t>
  </si>
  <si>
    <t>13:29:09</t>
  </si>
  <si>
    <t>REC-072-A6LX-232759</t>
  </si>
  <si>
    <t>REC-342-EBMO-314470</t>
  </si>
  <si>
    <t>11:41:48</t>
  </si>
  <si>
    <t>REC-043-HXVM-333119</t>
  </si>
  <si>
    <t>REC-028-A3ZW-94326</t>
  </si>
  <si>
    <t>10:17:15</t>
  </si>
  <si>
    <t>REC-3143-AWFJ-357760</t>
  </si>
  <si>
    <t>10:04:36</t>
  </si>
  <si>
    <t>REC-5989-GFL6-192957</t>
  </si>
  <si>
    <t>20210815</t>
  </si>
  <si>
    <t>17:57:18</t>
  </si>
  <si>
    <t>REC-7734-MAC1-18147</t>
  </si>
  <si>
    <t>3909215</t>
  </si>
  <si>
    <t>0925808909</t>
  </si>
  <si>
    <t>15:27:31</t>
  </si>
  <si>
    <t>REC-342-EBMO-314570</t>
  </si>
  <si>
    <t>3908829</t>
  </si>
  <si>
    <t>1706773718</t>
  </si>
  <si>
    <t>10:44:55</t>
  </si>
  <si>
    <t>REC-3022-A364-157006</t>
  </si>
  <si>
    <t>20210816</t>
  </si>
  <si>
    <t>18:24:20</t>
  </si>
  <si>
    <t>REC-7812-PT01-2310</t>
  </si>
  <si>
    <t>17:03:27</t>
  </si>
  <si>
    <t>REC-7545-PS31-17728</t>
  </si>
  <si>
    <t>at-3338</t>
  </si>
  <si>
    <t>16:57:33</t>
  </si>
  <si>
    <t>REC-043-KM1S-413856</t>
  </si>
  <si>
    <t>16:22:43</t>
  </si>
  <si>
    <t>REC-3172-YIGY-299673</t>
  </si>
  <si>
    <t>15:46:58</t>
  </si>
  <si>
    <t>REC-3792-A39T-148729</t>
  </si>
  <si>
    <t>14:42:01</t>
  </si>
  <si>
    <t>REC-045-VMU0-376839</t>
  </si>
  <si>
    <t>13:54:32</t>
  </si>
  <si>
    <t>REC-3412-PTE5-250764</t>
  </si>
  <si>
    <t>13:47:48</t>
  </si>
  <si>
    <t>REC-096-ZU7N-281236</t>
  </si>
  <si>
    <t>REC-536-TDSM-178044</t>
  </si>
  <si>
    <t>3909616</t>
  </si>
  <si>
    <t>0912591740</t>
  </si>
  <si>
    <t>12:26:14</t>
  </si>
  <si>
    <t>REC-045-VMU0-376790</t>
  </si>
  <si>
    <t>at-3339</t>
  </si>
  <si>
    <t>11:58:26</t>
  </si>
  <si>
    <t>REC-7492-A6NE-34747</t>
  </si>
  <si>
    <t>3909315</t>
  </si>
  <si>
    <t>0930473228</t>
  </si>
  <si>
    <t>11:34:54</t>
  </si>
  <si>
    <t>REC-241-M1DC-371000</t>
  </si>
  <si>
    <t>11:33:33</t>
  </si>
  <si>
    <t>REC-4007-OIT2-240567</t>
  </si>
  <si>
    <t>at-3340</t>
  </si>
  <si>
    <t>11:01:41</t>
  </si>
  <si>
    <t>REC-342-EBMO-314656</t>
  </si>
  <si>
    <t>3903567</t>
  </si>
  <si>
    <t>0903555878</t>
  </si>
  <si>
    <t>10:53:30</t>
  </si>
  <si>
    <t>REC-1143-B183-236851</t>
  </si>
  <si>
    <t>at-3341</t>
  </si>
  <si>
    <t>10:34:57</t>
  </si>
  <si>
    <t>REC-7128-T179-235021</t>
  </si>
  <si>
    <t>09:58:10</t>
  </si>
  <si>
    <t>REC-7276-RQ45-231649</t>
  </si>
  <si>
    <t>09:52:40</t>
  </si>
  <si>
    <t>REC-678-3V18-595834</t>
  </si>
  <si>
    <t>09:35:07</t>
  </si>
  <si>
    <t>REC-7433-PR32-229615</t>
  </si>
  <si>
    <t>09:31:45</t>
  </si>
  <si>
    <t>REC-3370-A6JI-292439</t>
  </si>
  <si>
    <t>08:29:14</t>
  </si>
  <si>
    <t>REC-5645-A1066-6905</t>
  </si>
  <si>
    <t>20210817</t>
  </si>
  <si>
    <t>18:34:22</t>
  </si>
  <si>
    <t>REC-3187-A2UE-73276</t>
  </si>
  <si>
    <t>17:33:47</t>
  </si>
  <si>
    <t>REC-3182-YQG9-306604</t>
  </si>
  <si>
    <t>3909745</t>
  </si>
  <si>
    <t>0924336431</t>
  </si>
  <si>
    <t>15:20:00</t>
  </si>
  <si>
    <t>REC-072-A6LX-232909</t>
  </si>
  <si>
    <t>3909664</t>
  </si>
  <si>
    <t>1305852939</t>
  </si>
  <si>
    <t>15:08:33</t>
  </si>
  <si>
    <t>REC-3170-YGVG-351945</t>
  </si>
  <si>
    <t>15:05:31</t>
  </si>
  <si>
    <t>REC-4654-ART3-303198</t>
  </si>
  <si>
    <t>REC-518-RI6X-454029</t>
  </si>
  <si>
    <t>at-3342</t>
  </si>
  <si>
    <t>13:36:04</t>
  </si>
  <si>
    <t>REC-072-GPG1-236321</t>
  </si>
  <si>
    <t>0913687653</t>
  </si>
  <si>
    <t>13:05:44</t>
  </si>
  <si>
    <t>REC-944-PR10-456892</t>
  </si>
  <si>
    <t>12:26:00</t>
  </si>
  <si>
    <t>REC-551-VOIB-574746</t>
  </si>
  <si>
    <t>12:00:14</t>
  </si>
  <si>
    <t>REC-3392-A39W-442018</t>
  </si>
  <si>
    <t>11:14:11</t>
  </si>
  <si>
    <t>REC-061-A6S4-169873</t>
  </si>
  <si>
    <t>at-3343</t>
  </si>
  <si>
    <t>10:25:00</t>
  </si>
  <si>
    <t>REC-049-A2U2-76646</t>
  </si>
  <si>
    <t>09:50:04</t>
  </si>
  <si>
    <t>REC-3200-SAMB-543415</t>
  </si>
  <si>
    <t>09:21:24</t>
  </si>
  <si>
    <t>REC-3510-A4F9-269804</t>
  </si>
  <si>
    <t>20:50:44</t>
  </si>
  <si>
    <t>REC-7448-PR46-320465</t>
  </si>
  <si>
    <t>19:36:22</t>
  </si>
  <si>
    <t>REC-3187-A2UE-73300</t>
  </si>
  <si>
    <t>20210818</t>
  </si>
  <si>
    <t>20:13:54</t>
  </si>
  <si>
    <t>REC-3187-A2UE-73420</t>
  </si>
  <si>
    <t>19:13:11</t>
  </si>
  <si>
    <t>REC-5635-A2YS-58307</t>
  </si>
  <si>
    <t>18:57:49</t>
  </si>
  <si>
    <t>REC-518-RI6X-454173</t>
  </si>
  <si>
    <t>18:31:27</t>
  </si>
  <si>
    <t>REC-5643-AA10-359176</t>
  </si>
  <si>
    <t>18:18:18</t>
  </si>
  <si>
    <t>REC-609-A1M3-350013</t>
  </si>
  <si>
    <t>at-3344</t>
  </si>
  <si>
    <t>15:32:16</t>
  </si>
  <si>
    <t>REC-3792-A24Z-596881</t>
  </si>
  <si>
    <t>15:10:54</t>
  </si>
  <si>
    <t>REC-011-JVA0-541108</t>
  </si>
  <si>
    <t>14:50:15</t>
  </si>
  <si>
    <t>REC-245-BEJI-708956</t>
  </si>
  <si>
    <t>14:49:23</t>
  </si>
  <si>
    <t>REC-3200-SAMB-543567</t>
  </si>
  <si>
    <t>14:26:34</t>
  </si>
  <si>
    <t>REC-3784-ATA2-195625</t>
  </si>
  <si>
    <t>14:12:04</t>
  </si>
  <si>
    <t>REC-165-M8MT-684300</t>
  </si>
  <si>
    <t>13:45:13</t>
  </si>
  <si>
    <t>REC-4942-A1Z4-344211</t>
  </si>
  <si>
    <t>13:43:46</t>
  </si>
  <si>
    <t>REC-4942-A1Z4-344148</t>
  </si>
  <si>
    <t>12:18:42</t>
  </si>
  <si>
    <t>REC-3371-EGEG-289659</t>
  </si>
  <si>
    <t>12:03:17</t>
  </si>
  <si>
    <t>REC-223-V7XD-311675</t>
  </si>
  <si>
    <t>REC-224-B7CE-30712</t>
  </si>
  <si>
    <t>10:40:24</t>
  </si>
  <si>
    <t>REC-072-AJ3R-275745</t>
  </si>
  <si>
    <t>10:40:05</t>
  </si>
  <si>
    <t>REC-072-AJ3R-275744</t>
  </si>
  <si>
    <t>10:11:13</t>
  </si>
  <si>
    <t>REC-095-AJSE-708903</t>
  </si>
  <si>
    <t>20210819</t>
  </si>
  <si>
    <t>20:26:09</t>
  </si>
  <si>
    <t>REC-3187-A2UE-73576</t>
  </si>
  <si>
    <t>19:14:17</t>
  </si>
  <si>
    <t>REC-5310-Z4YZ-395705</t>
  </si>
  <si>
    <t>at-3345</t>
  </si>
  <si>
    <t>17:31:25</t>
  </si>
  <si>
    <t>REC-944-LRJW-313024</t>
  </si>
  <si>
    <t>15:49:00</t>
  </si>
  <si>
    <t>REC-585-ZQVC-478903</t>
  </si>
  <si>
    <t>15:17:21</t>
  </si>
  <si>
    <t>REC-5762-FE91-385951</t>
  </si>
  <si>
    <t>at-3346</t>
  </si>
  <si>
    <t>15:14:00</t>
  </si>
  <si>
    <t>REC-3422-A3IU-662593</t>
  </si>
  <si>
    <t>14:41:12</t>
  </si>
  <si>
    <t>REC-022-K28C-426592</t>
  </si>
  <si>
    <t>REC-072-KBN0-293755</t>
  </si>
  <si>
    <t>13:00:43</t>
  </si>
  <si>
    <t>REC-3161-KURB-468270</t>
  </si>
  <si>
    <t>12:36:41</t>
  </si>
  <si>
    <t>REC-4392-A1LW-41123</t>
  </si>
  <si>
    <t>12:17:00</t>
  </si>
  <si>
    <t>REC-5568-A20P-60728</t>
  </si>
  <si>
    <t>3907795</t>
  </si>
  <si>
    <t>0914223326</t>
  </si>
  <si>
    <t>12:08:04</t>
  </si>
  <si>
    <t>REC-095-AJSE-709058</t>
  </si>
  <si>
    <t>12:00:11</t>
  </si>
  <si>
    <t>REC-5987-GFL4-376511</t>
  </si>
  <si>
    <t>10:48:27</t>
  </si>
  <si>
    <t>REC-011-VD5Z-386207</t>
  </si>
  <si>
    <t>20210820</t>
  </si>
  <si>
    <t>20:01:05</t>
  </si>
  <si>
    <t>REC-342-EBMO-315401</t>
  </si>
  <si>
    <t>at-3348</t>
  </si>
  <si>
    <t>19:58:37</t>
  </si>
  <si>
    <t>REC-4934-A1ZV-431868</t>
  </si>
  <si>
    <t>3909629</t>
  </si>
  <si>
    <t>0956745061</t>
  </si>
  <si>
    <t>19:18:29</t>
  </si>
  <si>
    <t>REC-7492-A6NE-35324</t>
  </si>
  <si>
    <t>17:57:22</t>
  </si>
  <si>
    <t>REC-3371-EFX5-208584</t>
  </si>
  <si>
    <t>16:48:45</t>
  </si>
  <si>
    <t>REC-4810-FSJ5-425461</t>
  </si>
  <si>
    <t>16:45:46</t>
  </si>
  <si>
    <t>REC-226-B7CC-753644</t>
  </si>
  <si>
    <t>16:41:26</t>
  </si>
  <si>
    <t>REC-5310-Z4YZ-425126</t>
  </si>
  <si>
    <t>3903138</t>
  </si>
  <si>
    <t>0919181149</t>
  </si>
  <si>
    <t>16:24:31</t>
  </si>
  <si>
    <t>REC-4202-A16N-9665</t>
  </si>
  <si>
    <t>at-3349</t>
  </si>
  <si>
    <t>15:58:16</t>
  </si>
  <si>
    <t>REC-3577-A26V-560087</t>
  </si>
  <si>
    <t>at-3350</t>
  </si>
  <si>
    <t>REC-5310-Z4YZ-417943</t>
  </si>
  <si>
    <t>12:44:08</t>
  </si>
  <si>
    <t>REC-048-AFEP-272435</t>
  </si>
  <si>
    <t>at-3351</t>
  </si>
  <si>
    <t>12:39:59</t>
  </si>
  <si>
    <t>REC-3187-A2UE-73620</t>
  </si>
  <si>
    <t>12:36:20</t>
  </si>
  <si>
    <t>REC-223-V7XD-312030</t>
  </si>
  <si>
    <t>REC-072-AJ3R-276059</t>
  </si>
  <si>
    <t>11:01:05</t>
  </si>
  <si>
    <t>REC-4313-IAI9-407634</t>
  </si>
  <si>
    <t>09:38:33</t>
  </si>
  <si>
    <t>REC-543-U5H7-594911</t>
  </si>
  <si>
    <t>20210822</t>
  </si>
  <si>
    <t>16:29:40</t>
  </si>
  <si>
    <t>REC-3187-A2UB-186203</t>
  </si>
  <si>
    <t>12:35:18</t>
  </si>
  <si>
    <t>REC-3161-KURB-468567</t>
  </si>
  <si>
    <t>3909903</t>
  </si>
  <si>
    <t>0952273498</t>
  </si>
  <si>
    <t>20210824</t>
  </si>
  <si>
    <t>19:21:59</t>
  </si>
  <si>
    <t>REC-5635-A2YS-59147</t>
  </si>
  <si>
    <t>18:26:51</t>
  </si>
  <si>
    <t>REC-3172-LIO6-154631</t>
  </si>
  <si>
    <t>17:29:21</t>
  </si>
  <si>
    <t>REC-191-A381-545884</t>
  </si>
  <si>
    <t>16:45:58</t>
  </si>
  <si>
    <t>REC-3392-A39W-442745</t>
  </si>
  <si>
    <t>16:01:02</t>
  </si>
  <si>
    <t>REC-518-RI6W-453027</t>
  </si>
  <si>
    <t>15:17:46</t>
  </si>
  <si>
    <t>REC-072-AJ3R-276470</t>
  </si>
  <si>
    <t>15:17:04</t>
  </si>
  <si>
    <t>REC-072-AJ3R-276469</t>
  </si>
  <si>
    <t>15:07:47</t>
  </si>
  <si>
    <t>REC-245-BEJI-709621</t>
  </si>
  <si>
    <t>15:05:15</t>
  </si>
  <si>
    <t>REC-5801-PRI3-537965</t>
  </si>
  <si>
    <t>15:04:26</t>
  </si>
  <si>
    <t>REC-5801-PRI3-537923</t>
  </si>
  <si>
    <t>13:32:54</t>
  </si>
  <si>
    <t>REC-3371-EFX5-208984</t>
  </si>
  <si>
    <t>13:32:27</t>
  </si>
  <si>
    <t>REC-3371-EFX5-208983</t>
  </si>
  <si>
    <t>12:07:03</t>
  </si>
  <si>
    <t>REC-3260-CTO1-528318</t>
  </si>
  <si>
    <t>10:51:52</t>
  </si>
  <si>
    <t>REC-048-AFEP-272695</t>
  </si>
  <si>
    <t>10:41:24</t>
  </si>
  <si>
    <t>REC-7954-A437-522440</t>
  </si>
  <si>
    <t>10:20:41</t>
  </si>
  <si>
    <t>REC-3422-A3IU-663050</t>
  </si>
  <si>
    <t>09:49:41</t>
  </si>
  <si>
    <t>REC-061-A1AW-67030</t>
  </si>
  <si>
    <t>09:29:47</t>
  </si>
  <si>
    <t>REC-348-1R2Q-474543</t>
  </si>
  <si>
    <t>09:13:39</t>
  </si>
  <si>
    <t>REC-1338-B485-87</t>
  </si>
  <si>
    <t>09:11:37</t>
  </si>
  <si>
    <t>REC-1338-B485-86</t>
  </si>
  <si>
    <t>07:28:46</t>
  </si>
  <si>
    <t>REC-4303-IAI3-511637</t>
  </si>
  <si>
    <t>20210825</t>
  </si>
  <si>
    <t>19:07:59</t>
  </si>
  <si>
    <t>REC-5310-Z4YZ-586524</t>
  </si>
  <si>
    <t>18:18:28</t>
  </si>
  <si>
    <t>REC-944-LRJ0-429816</t>
  </si>
  <si>
    <t>17:51:21</t>
  </si>
  <si>
    <t>REC-049-A518-1589972</t>
  </si>
  <si>
    <t>3909645</t>
  </si>
  <si>
    <t>0926552043</t>
  </si>
  <si>
    <t>17:06:14</t>
  </si>
  <si>
    <t>REC-072-A6LX-233370</t>
  </si>
  <si>
    <t>3909465</t>
  </si>
  <si>
    <t>0917453854</t>
  </si>
  <si>
    <t>16:45:43</t>
  </si>
  <si>
    <t>REC-7624-PS94-7985</t>
  </si>
  <si>
    <t>16:29:33</t>
  </si>
  <si>
    <t>REC-008-PB64-399835</t>
  </si>
  <si>
    <t>16:05:35</t>
  </si>
  <si>
    <t>REC-245-BEJI-709776</t>
  </si>
  <si>
    <t>REC-5987-GFL4-578107</t>
  </si>
  <si>
    <t>14:50:51</t>
  </si>
  <si>
    <t>REC-3295-1T8A-226600</t>
  </si>
  <si>
    <t>14:33:58</t>
  </si>
  <si>
    <t>REC-3172-YIHD-275535</t>
  </si>
  <si>
    <t>14:32:39</t>
  </si>
  <si>
    <t>REC-5695-A2E3-41160</t>
  </si>
  <si>
    <t>14:03:12</t>
  </si>
  <si>
    <t>REC-348-1R2Q-474667</t>
  </si>
  <si>
    <t>12:48:50</t>
  </si>
  <si>
    <t>REC-7702-S551-1565</t>
  </si>
  <si>
    <t>3903083</t>
  </si>
  <si>
    <t>0950389783</t>
  </si>
  <si>
    <t>12:36:48</t>
  </si>
  <si>
    <t>REC-3371-EGEG-290452</t>
  </si>
  <si>
    <t>12:33:46</t>
  </si>
  <si>
    <t>REC-061-A1BW-84903</t>
  </si>
  <si>
    <t>11:56:06</t>
  </si>
  <si>
    <t>REC-223-B7CD-621030</t>
  </si>
  <si>
    <t>11:47:44</t>
  </si>
  <si>
    <t>REC-3187-YWS5-633729</t>
  </si>
  <si>
    <t>11:45:45</t>
  </si>
  <si>
    <t>REC-223-B7CD-621029</t>
  </si>
  <si>
    <t>11:45:30</t>
  </si>
  <si>
    <t>REC-223-B7CD-621028</t>
  </si>
  <si>
    <t>10:53:59</t>
  </si>
  <si>
    <t>REC-223-V7XD-312671</t>
  </si>
  <si>
    <t>3903354</t>
  </si>
  <si>
    <t>0912102720</t>
  </si>
  <si>
    <t>10:12:58</t>
  </si>
  <si>
    <t>REC-3371-EGEG-290403</t>
  </si>
  <si>
    <t>09:22:14</t>
  </si>
  <si>
    <t>REC-3808-A3Z9-554946</t>
  </si>
  <si>
    <t>20210826</t>
  </si>
  <si>
    <t>20:47:57</t>
  </si>
  <si>
    <t>REC-061-ZT94-174248</t>
  </si>
  <si>
    <t>18:17:30</t>
  </si>
  <si>
    <t>REC-3172-YIG8-335919</t>
  </si>
  <si>
    <t>17:18:02</t>
  </si>
  <si>
    <t>REC-4013-A5NS-61213</t>
  </si>
  <si>
    <t>3900386</t>
  </si>
  <si>
    <t>0920431830</t>
  </si>
  <si>
    <t>17:17:37</t>
  </si>
  <si>
    <t>REC-4013-A5NS-61212</t>
  </si>
  <si>
    <t>3900387</t>
  </si>
  <si>
    <t>0920431830001</t>
  </si>
  <si>
    <t>REC-568-YXPM-443977</t>
  </si>
  <si>
    <t>16:46:53</t>
  </si>
  <si>
    <t>REC-3371-A1DS-239217</t>
  </si>
  <si>
    <t>15:15:37</t>
  </si>
  <si>
    <t>REC-3371-EGEG-290595</t>
  </si>
  <si>
    <t>3902280</t>
  </si>
  <si>
    <t>0915105159001</t>
  </si>
  <si>
    <t>15:14:46</t>
  </si>
  <si>
    <t>REC-3371-EGEG-290594</t>
  </si>
  <si>
    <t>at-3354</t>
  </si>
  <si>
    <t>14:55:58</t>
  </si>
  <si>
    <t>REC-342-VEHD-503837</t>
  </si>
  <si>
    <t>14:45:22</t>
  </si>
  <si>
    <t>REC-3172-YIHD-275590</t>
  </si>
  <si>
    <t>13:16:26</t>
  </si>
  <si>
    <t>REC-4319-A1I3-32153</t>
  </si>
  <si>
    <t>12:59:57</t>
  </si>
  <si>
    <t>REC-223-V7XD-312928</t>
  </si>
  <si>
    <t>11:27:07</t>
  </si>
  <si>
    <t>REC-342-EBMO-315854</t>
  </si>
  <si>
    <t>11:24:35</t>
  </si>
  <si>
    <t>REC-3370-A6JI-293654</t>
  </si>
  <si>
    <t>REC-609-A3AI-117859</t>
  </si>
  <si>
    <t>09:48:06</t>
  </si>
  <si>
    <t>REC-165-LOA2-187054</t>
  </si>
  <si>
    <t>09:47:27</t>
  </si>
  <si>
    <t>REC-049-A518-1589991</t>
  </si>
  <si>
    <t>BCO PACIFICO MES DE AGOSTO</t>
  </si>
  <si>
    <t xml:space="preserve">MAZZILLI MENDOZA MELANIE MICHE          </t>
  </si>
  <si>
    <t xml:space="preserve">URQUIZA SALCEDO PATRICIA DEL R          </t>
  </si>
  <si>
    <t xml:space="preserve">JEAN PAUL ESPINOZA CONSTANTE            </t>
  </si>
  <si>
    <t xml:space="preserve">BUSTILLOS DIAZ JOSE LUIS                </t>
  </si>
  <si>
    <t xml:space="preserve">SANCHEZ ALVARADO JACINTA ROSAR          </t>
  </si>
  <si>
    <t xml:space="preserve">VELASQUEZ ALVAREZ JOSSELYNE JO          </t>
  </si>
  <si>
    <t>3901461</t>
  </si>
  <si>
    <t>3903744</t>
  </si>
  <si>
    <t xml:space="preserve">ZAMBRANO JAIME MARIA AUXILIADO          </t>
  </si>
  <si>
    <t>3909154</t>
  </si>
  <si>
    <t>3908639</t>
  </si>
  <si>
    <t>3901121</t>
  </si>
  <si>
    <t>3906764</t>
  </si>
  <si>
    <t>3908571</t>
  </si>
  <si>
    <t>3903204</t>
  </si>
  <si>
    <t xml:space="preserve">PRADA UZCATEGUI JUAN ORLANDO            </t>
  </si>
  <si>
    <t xml:space="preserve">YAGUAL GOMEZ JOHAN ALEJANDRO            </t>
  </si>
  <si>
    <t xml:space="preserve">CIA LTDA FULLCOSTEC                     </t>
  </si>
  <si>
    <t xml:space="preserve">TRUJILL0 ELJURI ROBERTO FARID           </t>
  </si>
  <si>
    <t xml:space="preserve">LANDIVAR VELIZ CARLOS ALEX              </t>
  </si>
  <si>
    <t xml:space="preserve">LABORDA JUAN CRUZ                       </t>
  </si>
  <si>
    <t xml:space="preserve">LABORATORIOS TECNO - ALEMANES           </t>
  </si>
  <si>
    <t xml:space="preserve">ZURITA GODOY GUILLERMO ENMANUE          </t>
  </si>
  <si>
    <t>N/D CANCELACIÓN FACTURA#1475848 BANCO DEL PACIFICO GASTOS BANCARIOS MES DE ENERO 2021</t>
  </si>
  <si>
    <t>Fact#: 349297-356236 Rec#: 16322 ALEXANDER WELLINGTON ALVARADO CARRIEL</t>
  </si>
  <si>
    <t>IC-6477</t>
  </si>
  <si>
    <t>N/D PACIFICO CANCELACIÓN DE FACTURA#218795 DATAFAST CIA LTDA</t>
  </si>
  <si>
    <t>N/D CANCELACION DE FACTURA#149556922 BANCO DEL PACIFICO</t>
  </si>
  <si>
    <t>Ingreso banco pacifico por cliente no identificado</t>
  </si>
  <si>
    <t>DR-1348</t>
  </si>
  <si>
    <t>DR-1347</t>
  </si>
  <si>
    <t>N/D PACIFICO CANCELACION DE FACTURA#2234483 DATAFAST CIA LTDA</t>
  </si>
  <si>
    <t>NDL-67</t>
  </si>
  <si>
    <t>DR-1346</t>
  </si>
  <si>
    <t>N/D CANCELACION DE FACTURA#151826666 BANCO DEL PACIFICO</t>
  </si>
  <si>
    <t>DR-1352</t>
  </si>
  <si>
    <t>DR-1351</t>
  </si>
  <si>
    <t>DR-1350</t>
  </si>
  <si>
    <t>N/D PACIFICO TRANSFERENCIA CANCELACIÓN DE FACTURA#4630436 CNEL EP COD:1105385091</t>
  </si>
  <si>
    <t>N/D PACIFICO CANCELACION DE FACTURA#2281063 DATAFAST CIA LTDA</t>
  </si>
  <si>
    <t>NDL-68</t>
  </si>
  <si>
    <t>DR-1349</t>
  </si>
  <si>
    <t>N/D CANCELACIÓN DE FACTURA#1538569 BANCO DEL PACIFICO</t>
  </si>
  <si>
    <t>NDL-63</t>
  </si>
  <si>
    <t>N/D CANCELACIÓN DE FACTURA#2328676 DATAFAST CIA LTDA</t>
  </si>
  <si>
    <t>N/D CANCELACIÓN DE FACTURA#155954234 BANCO DEL PACIFICO</t>
  </si>
  <si>
    <t>NDL-69</t>
  </si>
  <si>
    <t>N/D CANCELACIÓN DE FACTURA#2376611 DATAFAST CIA LTDA</t>
  </si>
  <si>
    <t>NDL-70</t>
  </si>
  <si>
    <t>N/D CANCELACIÓN DE FACTURA#157969383 BANCO DEL PACIFICO</t>
  </si>
  <si>
    <t>N/D PACIFICO GASTOS BANCARIOS MES DE JUNIO 2021, RTE Y COMISIÓN RESTANTE</t>
  </si>
  <si>
    <t>N/D PACIFICO CANCELACIÓN DE FACTURA#2426050 DATAFAST CIA LTDA</t>
  </si>
  <si>
    <t>N/D PACIFICO REGISTRO POR PRESTAMO A CARLOS BUSTOS</t>
  </si>
  <si>
    <t>N/D CANCELACIÓN DE FACTURA#160108231 BANCO DEL PACIFICO</t>
  </si>
  <si>
    <t>N/D PACIFICO TRANSF. CANCELACIÓN FODETEL 1% 2DO TRIMESTRE ABR A JUN 2021 POR SERV. TELECOMUNICACIONES A TRAVÉS DE TERMINALES DE USO PÚBLICO</t>
  </si>
  <si>
    <t>N/D PACIFICO TRANSF. CANCELACIÓN FODETEL 1% 2DO TRIMESTRE ABR A JUN 2021 POR TELEFONIA LARGA DISTANCIA INTERNACIONAL</t>
  </si>
  <si>
    <t>N/D PACIFICO TRANSF. CANCELACIÓN FODETEL 1% 2DO TRIMESTRE ABR A JUN 2021 POR TELEFONIA FIJA LOCAL</t>
  </si>
  <si>
    <t>N/D PACIFICO CANCELACIÓN DE FACTURA#239741 AGENCIA DE REGULACION Y CONTROL DE LAS TELECOMUNICACIONES ARCOTEL</t>
  </si>
  <si>
    <t>N/D PACIFICO CANCELACIÓN DE FACTURA#239743 AGENCIA DE REGULACION Y CONTROL DE LAS TELECOMUNICACIONES ARCOTEL</t>
  </si>
  <si>
    <t>N/D PACIFICO REGISTRO POR INTERÉS DERECHOS CONCESIÓN 2DO PERIODO DE ABR A JUN 2021</t>
  </si>
  <si>
    <t>N/D PACIFICO CANCELACIÓN DE FACTURA#239738 AGENCIA DE REGULACION Y CONTROL DE LAS TELECOMUNICACIONES ARCOTEL</t>
  </si>
  <si>
    <t>N/D PACIFICO CANCELACIÓN DE FACTURA#2476582 DATAFAST CIA LTDA</t>
  </si>
  <si>
    <t>IC-11406</t>
  </si>
  <si>
    <t xml:space="preserve">Fact#: 368226 Rec#: 33922 LABORATORIO BIOTANICALS DEL ECUADOR S.A. </t>
  </si>
  <si>
    <t>IC-11407</t>
  </si>
  <si>
    <t xml:space="preserve">Fact#: 368225 Rec#: 33923 LABORATORIO BIOTANICALS DEL ECUADOR S.A. </t>
  </si>
  <si>
    <t>IC-12261</t>
  </si>
  <si>
    <t xml:space="preserve">Fact#: 370105 Rec#: 19593 LETTY DEL CISNE DAVILA ROMO </t>
  </si>
  <si>
    <t>anulado</t>
  </si>
  <si>
    <t>Ago/2021</t>
  </si>
  <si>
    <t>IC-10878</t>
  </si>
  <si>
    <t xml:space="preserve">Fact#: 364707-367276 Rec#: 19225 FREIRE ANDRADE PAOLA MARIA </t>
  </si>
  <si>
    <t>IC-10879</t>
  </si>
  <si>
    <t xml:space="preserve">Fact#: 367571 Rec#: 19226 GANCINO TOAPANTA NAPOLEON ISRAEL </t>
  </si>
  <si>
    <t>IC-10880</t>
  </si>
  <si>
    <t xml:space="preserve">Fact#: 367208 Rec#: 19227 BORBOR MORENO LUIS ANTONIO </t>
  </si>
  <si>
    <t>IC-10881</t>
  </si>
  <si>
    <t xml:space="preserve">Fact#: 365820 Rec#: 19228 SOLIS REYES OMAR MICHAEL </t>
  </si>
  <si>
    <t>IC-10882</t>
  </si>
  <si>
    <t xml:space="preserve">Fact#: 4722-4962 Rec#: 19229 INTRIAGO ALCIVAR DAISY ADRIANA </t>
  </si>
  <si>
    <t>IC-10883</t>
  </si>
  <si>
    <t xml:space="preserve">Fact#: 366308 Rec#: 19230 PILAR MARYLIN ALCIVAR MORAN </t>
  </si>
  <si>
    <t>IC-10884</t>
  </si>
  <si>
    <t xml:space="preserve">Fact#: 5003 Rec#: 19231 JARAMILLO MONTANO JESSICA XIMENA </t>
  </si>
  <si>
    <t>IC-10885</t>
  </si>
  <si>
    <t xml:space="preserve">Fact#: 364492-367064 Rec#: 19232 PANCHANA GONZALEZ GLADYS HAIDEE </t>
  </si>
  <si>
    <t>IC-10886</t>
  </si>
  <si>
    <t xml:space="preserve">Fact#: 367590 Rec#: 19233 SORIA LAMAN HARRY SUN </t>
  </si>
  <si>
    <t>IC-10887</t>
  </si>
  <si>
    <t xml:space="preserve">Fact#: 364175-366753 Rec#: 19234 RUIZ ZAMBRANO JUAN MANUEL </t>
  </si>
  <si>
    <t>IC-10888</t>
  </si>
  <si>
    <t xml:space="preserve">Fact#: 367962 Rec#: 19235 VILLACIS DE LA CADENA TEODORA </t>
  </si>
  <si>
    <t>IC-10889</t>
  </si>
  <si>
    <t xml:space="preserve">Fact#: 367961 Rec#: 19236 HEINERT VILLACIS LEONARDO ANTONIO </t>
  </si>
  <si>
    <t>IC-10895</t>
  </si>
  <si>
    <t xml:space="preserve">Fact#: 364903-367467 Rec#: 33837 STURLA GALLEGOS FELIPE NICOLAS </t>
  </si>
  <si>
    <t>AT-3324</t>
  </si>
  <si>
    <t>IC-10901</t>
  </si>
  <si>
    <t xml:space="preserve">Fact#: 367351 Rec#: 33838 GUALAN HIDALGO MARCO ANTONIO </t>
  </si>
  <si>
    <t>IC-10935</t>
  </si>
  <si>
    <t xml:space="preserve">Fact#: 364940-367504 Rec#: 33839 MAZZILLI MENDOZA MELANIE MICHELLE </t>
  </si>
  <si>
    <t>IC-10936</t>
  </si>
  <si>
    <t xml:space="preserve">Fact#: 364143-366725 Rec#: 33840 VARGAS TORRES ZENIA </t>
  </si>
  <si>
    <t>IC-10937</t>
  </si>
  <si>
    <t xml:space="preserve">Fact#: 367066 Rec#: 33841 VILLON SORIANO DIOSELINA SOLEDAD </t>
  </si>
  <si>
    <t>IC-10938</t>
  </si>
  <si>
    <t xml:space="preserve">Fact#: 366468 Rec#: 33842 AIMARA RODRIGUEZ FERNANDEZ </t>
  </si>
  <si>
    <t>IC-10939</t>
  </si>
  <si>
    <t xml:space="preserve">Fact#: 366200 Rec#: 33843 GRACIELA GUADALUPE MEREJILDO VERA </t>
  </si>
  <si>
    <t>IC-10940</t>
  </si>
  <si>
    <t xml:space="preserve">Fact#: 366227 Rec#: 33844 JAIME RICARDO ZUÑIGA RODRIGUEZ </t>
  </si>
  <si>
    <t>IC-10941</t>
  </si>
  <si>
    <t xml:space="preserve">Fact#: 366825 Rec#: 33845 DUENAS RUIZ TERESA EDITH </t>
  </si>
  <si>
    <t>IC-10942</t>
  </si>
  <si>
    <t xml:space="preserve">Fact#: 366678 Rec#: 33846 LOPEZ PALACIOS DANNY CHRISTIAN </t>
  </si>
  <si>
    <t>IC-10943</t>
  </si>
  <si>
    <t xml:space="preserve">Fact#: 366854 Rec#: 33847 PERALTA CASTILLO ELSA DEL ROCIO </t>
  </si>
  <si>
    <t>IC-10944</t>
  </si>
  <si>
    <t xml:space="preserve">Fact#: 365465-368031 Rec#: 33848 URQUIZA SALCEDO PATRICIA DEL ROCIO </t>
  </si>
  <si>
    <t>IC-10945</t>
  </si>
  <si>
    <t xml:space="preserve">Fact#: 349326-351518-353846 Rec#: 33849 JEAN PAUL ESPINOZA CONSTANTE </t>
  </si>
  <si>
    <t>IC-10946</t>
  </si>
  <si>
    <t xml:space="preserve">Fact#: 364288-366863 Rec#: 33850 GONZALEZ SANCHEZ CESAR IVAN </t>
  </si>
  <si>
    <t>IC-10947</t>
  </si>
  <si>
    <t xml:space="preserve">Fact#: 368011 Rec#: 33851 GALEANO GARCIA LUIS ENRIQUE </t>
  </si>
  <si>
    <t>IC-10948</t>
  </si>
  <si>
    <t xml:space="preserve">Fact#: 366178 Rec#: 33852 VILLAO JURADO ANDREA BELEN </t>
  </si>
  <si>
    <t>IC-10949</t>
  </si>
  <si>
    <t xml:space="preserve">Fact#: 366111 Rec#: 33853 CARMEN NARCISA  JURADO PAREDES </t>
  </si>
  <si>
    <t>IC-10973</t>
  </si>
  <si>
    <t xml:space="preserve">Fact#: 368018 Rec#: 19237 ARTEAGA SILVA KATHERINE TATIANA </t>
  </si>
  <si>
    <t>IC-10974</t>
  </si>
  <si>
    <t xml:space="preserve">Fact#: 363934-366521 Rec#: 19238 SARA DEL CONSUELO OCHOA VELASCO </t>
  </si>
  <si>
    <t>IC-10975</t>
  </si>
  <si>
    <t xml:space="preserve">Fact#: 365936 Rec#: 19239 MENDOZA VELEZ CARLOS DAMIAN </t>
  </si>
  <si>
    <t>IC-10976</t>
  </si>
  <si>
    <t xml:space="preserve">Fact#: 367741 Rec#: 19240 MENDOZA VELEZ CARLOS DAMIAN </t>
  </si>
  <si>
    <t>IC-10977</t>
  </si>
  <si>
    <t xml:space="preserve">Fact#: 366752 Rec#: 19241 VERA GUZMAN SILVIA AZUCENA </t>
  </si>
  <si>
    <t>IC-10978</t>
  </si>
  <si>
    <t xml:space="preserve">Fact#: 363887-366476 Rec#: 19242 SILVIA FILOMENA MOLINA BARONA </t>
  </si>
  <si>
    <t>IC-10979</t>
  </si>
  <si>
    <t xml:space="preserve">Fact#: 366518 Rec#: 19243 GALO ENRIQUE ESTUPIÑAN VERA </t>
  </si>
  <si>
    <t>IC-10980</t>
  </si>
  <si>
    <t xml:space="preserve">Fact#: 366956 Rec#: 19244 YUMBLA MENDIETA MONICA ELIZABETH </t>
  </si>
  <si>
    <t>IC-10981</t>
  </si>
  <si>
    <t xml:space="preserve">Fact#: 364682-367251 Rec#: 19245 VILLAVICENCIO TIGRE DARWIN YAZMANY </t>
  </si>
  <si>
    <t>IC-10982</t>
  </si>
  <si>
    <t xml:space="preserve">Fact#: 364265-366839 Rec#: 19246 ALARCON MORALES JENNY ROCIO </t>
  </si>
  <si>
    <t>IC-10983</t>
  </si>
  <si>
    <t xml:space="preserve">Fact#: 364927-367492 Rec#: 19247 LETTY DEL CISNE DAVILA ROMO </t>
  </si>
  <si>
    <t>IC-10984</t>
  </si>
  <si>
    <t xml:space="preserve">Fact#: 364375-366948 Rec#: 19248 INTRIAGO GANCHOZO ANGELA MERCEDES </t>
  </si>
  <si>
    <t>IC-10985</t>
  </si>
  <si>
    <t xml:space="preserve">Fact#: 366811 Rec#: 19249 YANEZ ARROYO LUIS ALBERTO </t>
  </si>
  <si>
    <t>IC-10986</t>
  </si>
  <si>
    <t xml:space="preserve">Fact#: 340191-343720-346703 Rec#: 19250 WILLIAN JULIAN ESPINOZA CADENA </t>
  </si>
  <si>
    <t>IC-10987</t>
  </si>
  <si>
    <t xml:space="preserve">Fact#: 367185 Rec#: 19251 CHELE TORO OSCAR EULICES </t>
  </si>
  <si>
    <t>IC-10988</t>
  </si>
  <si>
    <t xml:space="preserve">Fact#: 365864 Rec#: 19252 ORELLANA ALVAREZ FRANKLIN NAPOLEON </t>
  </si>
  <si>
    <t>IC-10989</t>
  </si>
  <si>
    <t xml:space="preserve">Fact#: 359073-361590-364144 Rec#: 19253 HERBAS MORALES CHRISTIAN ALFREDO </t>
  </si>
  <si>
    <t>IC-10990</t>
  </si>
  <si>
    <t xml:space="preserve">Fact#: 366971 Rec#: 19254 CAICHE ROMERO GRACE SOFIA </t>
  </si>
  <si>
    <t>IC-10991</t>
  </si>
  <si>
    <t xml:space="preserve">Fact#: 366470 Rec#: 19255 DAYANNA ANABELL BAQUERIZO AQUINO </t>
  </si>
  <si>
    <t>IC-10992</t>
  </si>
  <si>
    <t xml:space="preserve">Fact#: 366594 Rec#: 19256 GABRIEL CLEMENTE MEJIA MATA </t>
  </si>
  <si>
    <t>IC-10993</t>
  </si>
  <si>
    <t xml:space="preserve">Fact#: 367527 Rec#: 19257 MENDEZ LAINEZ RUTH ELIZABETH </t>
  </si>
  <si>
    <t>IC-10994</t>
  </si>
  <si>
    <t xml:space="preserve">Fact#: 366228 Rec#: 19258 CESAR AUGUSTO BAQUERIZO AROSEMENA </t>
  </si>
  <si>
    <t>IC-10995</t>
  </si>
  <si>
    <t xml:space="preserve">Fact#: 368082 Rec#: 19259 BARZOLA ESPINOZA DORA AMALIA </t>
  </si>
  <si>
    <t>IC-10996</t>
  </si>
  <si>
    <t xml:space="preserve">Fact#: 365490-368057 Rec#: 19260 QUINONEZ BONE MARLENE AURORA </t>
  </si>
  <si>
    <t>IC-10997</t>
  </si>
  <si>
    <t xml:space="preserve">Fact#: 367044 Rec#: 19261 CRUZ MONTANO CLAUDIA JOHANNA </t>
  </si>
  <si>
    <t>IC-10998</t>
  </si>
  <si>
    <t xml:space="preserve">Fact#: 364489-367061 Rec#: 19262 VALENCIA MEDINA JOSE RICARDO </t>
  </si>
  <si>
    <t>IC-10999</t>
  </si>
  <si>
    <t xml:space="preserve">Fact#: 366198 Rec#: 19263 JULIO CESAR MONCAYO CRESPIN </t>
  </si>
  <si>
    <t>IC-11000</t>
  </si>
  <si>
    <t xml:space="preserve">Fact#: 367014 Rec#: 19264 SEGOVIA TOMALA DENNIS ABEL </t>
  </si>
  <si>
    <t>AT-3326</t>
  </si>
  <si>
    <t>WORKS CONSTRUCTIONS WORKCONST S.A ABONA SGTE FACTURA, PAGO WESTERN UNION</t>
  </si>
  <si>
    <t>IC-10967</t>
  </si>
  <si>
    <t xml:space="preserve">Fact#: 361425-363978-366562 Rec#: 33854 RUTH ELIZABETH ZAMBRANO PERERO </t>
  </si>
  <si>
    <t>IC-11002</t>
  </si>
  <si>
    <t xml:space="preserve">Fact#: 368231-368232 Rec#: 33855 REFRIGERACIÓN INDUSTRIAL CORNEJO REFRICOR-EC CIA. </t>
  </si>
  <si>
    <t>IC-11003</t>
  </si>
  <si>
    <t xml:space="preserve">Fact#: 365672-368302 Rec#: 33856 EDGAR MARCELO MERA VASQUEZ </t>
  </si>
  <si>
    <t>IC-11009</t>
  </si>
  <si>
    <t xml:space="preserve">Fact#: 5075 Rec#: 33857 CABEZAS SAMANIEGO JORGE GEOVANNY </t>
  </si>
  <si>
    <t>IC-11011</t>
  </si>
  <si>
    <t xml:space="preserve">Fact#: 4808-5045 Rec#: 33858 ZOANNI SALDIVAR DAMIAN ALFREDO </t>
  </si>
  <si>
    <t>IC-11079</t>
  </si>
  <si>
    <t xml:space="preserve">Fact#: 366838 Rec#: 33859 LOGROÑO REYES VICENTE JAVIER </t>
  </si>
  <si>
    <t>IC-11080</t>
  </si>
  <si>
    <t xml:space="preserve">Fact#: 364676-367246 Rec#: 33860 TRIVINO MORLA CARLOS ERNESTO </t>
  </si>
  <si>
    <t>IC-11081</t>
  </si>
  <si>
    <t xml:space="preserve">Fact#: 368556 Rec#: 33861 HOLGUIN LOOR ALEX STALIN </t>
  </si>
  <si>
    <t>IC-11082</t>
  </si>
  <si>
    <t xml:space="preserve">Fact#: 1010-1197-842 Rec#: 33862 BUSTILLOS DIAZ JOSE LUIS  </t>
  </si>
  <si>
    <t>IC-11083</t>
  </si>
  <si>
    <t xml:space="preserve">Fact#: 366226 Rec#: 33863 LUIS EDUARDO SANCHEZ TIMM </t>
  </si>
  <si>
    <t>IC-11084</t>
  </si>
  <si>
    <t xml:space="preserve">Fact#: 367523 Rec#: 33864 NIEVES RODRIGUEZ JORGE ELIECER </t>
  </si>
  <si>
    <t>IC-11085</t>
  </si>
  <si>
    <t xml:space="preserve">Fact#: 366716 Rec#: 33865 GILBERT SILVA CECILIA MARIA </t>
  </si>
  <si>
    <t>IC-11086</t>
  </si>
  <si>
    <t xml:space="preserve">Fact#: 366079 Rec#: 33866 PAULA JESUS SALAZAR MACIAS </t>
  </si>
  <si>
    <t>IC-11087</t>
  </si>
  <si>
    <t xml:space="preserve">Fact#: 366045 Rec#: 33867 MONICA CRIOLLO SALAZAR </t>
  </si>
  <si>
    <t>IC-11088</t>
  </si>
  <si>
    <t xml:space="preserve">Fact#: 366213 Rec#: 33868 GISELLA MARIA YUNES ANDRADE </t>
  </si>
  <si>
    <t>IC-11089</t>
  </si>
  <si>
    <t xml:space="preserve">Fact#: 366098 Rec#: 33869 FAUSTO EDUARDO  CARBO RIVERA </t>
  </si>
  <si>
    <t>IC-11090</t>
  </si>
  <si>
    <t xml:space="preserve">Fact#: 367056 Rec#: 33870 PERALTA BENITEZ ROBERTO ELIAS </t>
  </si>
  <si>
    <t>IC-11091</t>
  </si>
  <si>
    <t xml:space="preserve">Fact#: 366707 Rec#: 33871 GILBERT JONES CARLOS LUIS </t>
  </si>
  <si>
    <t>IC-11092</t>
  </si>
  <si>
    <t xml:space="preserve">Fact#: 366284 Rec#: 33872 JUAN XAVIER BENEDETI RIPALDA </t>
  </si>
  <si>
    <t>IC-11093</t>
  </si>
  <si>
    <t xml:space="preserve">Fact#: 366051 Rec#: 33873 JOSE JOAQUIN OLMEDO CASTELLO </t>
  </si>
  <si>
    <t>IC-11094</t>
  </si>
  <si>
    <t xml:space="preserve">Fact#: 367113 Rec#: 33874 VINUEZA GARCIA EDISON EDUARDO </t>
  </si>
  <si>
    <t>IC-11095</t>
  </si>
  <si>
    <t xml:space="preserve">Fact#: 367156 Rec#: 33875 SUSANA HERMELINDA ANALUISA HARO </t>
  </si>
  <si>
    <t>IC-11096</t>
  </si>
  <si>
    <t xml:space="preserve">Fact#: 366885 Rec#: 33876 ESPANA BAJANA STEFANIA ELIZABETH </t>
  </si>
  <si>
    <t>IC-11097</t>
  </si>
  <si>
    <t xml:space="preserve">Fact#: 366009 Rec#: 33877 JAIRO ALBERTO GOMEZ COELLO </t>
  </si>
  <si>
    <t>IC-11098</t>
  </si>
  <si>
    <t xml:space="preserve">Fact#: 366020 Rec#: 33878 ISABEL ROSARIO QUINDE SORIANO </t>
  </si>
  <si>
    <t>IC-11099</t>
  </si>
  <si>
    <t xml:space="preserve">Fact#: 366137 Rec#: 33879 ANA LUCRECIA  CABRERA GARCIA </t>
  </si>
  <si>
    <t>IC-11100</t>
  </si>
  <si>
    <t xml:space="preserve">Fact#: 366057 Rec#: 33880 LUIS CESAR GAMARRA GONZALES </t>
  </si>
  <si>
    <t>IC-11101</t>
  </si>
  <si>
    <t xml:space="preserve">Fact#: 366494 Rec#: 33881 CARLOS ADALBERTO SALAVARRIA PALMA </t>
  </si>
  <si>
    <t>IC-11102</t>
  </si>
  <si>
    <t xml:space="preserve">Fact#: 366403 Rec#: 33882 CARLOS BENJAMIN ROSALES PINO </t>
  </si>
  <si>
    <t>IC-11103</t>
  </si>
  <si>
    <t xml:space="preserve">Fact#: 366932 Rec#: 33883 CASTILLO PALMA DANIEL ALFREDO </t>
  </si>
  <si>
    <t>IC-11104</t>
  </si>
  <si>
    <t xml:space="preserve">Fact#: 367280 Rec#: 33884 ZULVY BEDON LAGOS </t>
  </si>
  <si>
    <t>IC-11105</t>
  </si>
  <si>
    <t xml:space="preserve">Fact#: 366233 Rec#: 33885 LUIS CARLOS ABAD YCAZA </t>
  </si>
  <si>
    <t>IC-11106</t>
  </si>
  <si>
    <t xml:space="preserve">Fact#: 366534 Rec#: 33886 RICARDO PABLO FALCONI DUEÑAS </t>
  </si>
  <si>
    <t>IC-11107</t>
  </si>
  <si>
    <t xml:space="preserve">Fact#: 366351 Rec#: 33887 ANTONIO IGNACIO ARTEAGA FERAUD </t>
  </si>
  <si>
    <t>IC-11108</t>
  </si>
  <si>
    <t xml:space="preserve">Fact#: 366000 Rec#: 33888 ROBERTO MUZZIO NARANJO </t>
  </si>
  <si>
    <t>IC-11109</t>
  </si>
  <si>
    <t xml:space="preserve">Fact#: 366046 Rec#: 33889 JENNY CEDEÑO CAAMAÑO </t>
  </si>
  <si>
    <t>IC-11110</t>
  </si>
  <si>
    <t xml:space="preserve">Fact#: 366161 Rec#: 33890 TERESA DE LA CRUZ TOSCANO BRITO </t>
  </si>
  <si>
    <t>IC-11111</t>
  </si>
  <si>
    <t xml:space="preserve">Fact#: 365994 Rec#: 33891 EVA MARIA VINUEZA OCAÑA </t>
  </si>
  <si>
    <t>IC-11112</t>
  </si>
  <si>
    <t xml:space="preserve">Fact#: 366144 Rec#: 33892 CARLOS ALBERTO RENDON PALMA </t>
  </si>
  <si>
    <t>IC-11113</t>
  </si>
  <si>
    <t xml:space="preserve">Fact#: 367430 Rec#: 33893 JOSE FRANCISCO  FERNANDEZ   ESPINOZA </t>
  </si>
  <si>
    <t>IC-11114</t>
  </si>
  <si>
    <t xml:space="preserve">Fact#: 366101 Rec#: 33894 FRANKLIN JOAQUIN  DOMINGUEZ VARGAS </t>
  </si>
  <si>
    <t>IC-11115</t>
  </si>
  <si>
    <t xml:space="preserve">Fact#: 366413 Rec#: 33895 EDDIE ENRIQUE HERRERA MEDINA </t>
  </si>
  <si>
    <t>IC-11116</t>
  </si>
  <si>
    <t xml:space="preserve">Fact#: 366007 Rec#: 33896 GISELLE MARIELA CLEMENTE VERA </t>
  </si>
  <si>
    <t>IC-11117</t>
  </si>
  <si>
    <t xml:space="preserve">Fact#: 367068 Rec#: 33897 CANDO REYES JOSE MAURICIO </t>
  </si>
  <si>
    <t>IC-11118</t>
  </si>
  <si>
    <t xml:space="preserve">Fact#: 368350 Rec#: 33898 INDUVERIKA S.A. </t>
  </si>
  <si>
    <t>IC-11119</t>
  </si>
  <si>
    <t xml:space="preserve">Fact#: 368248 Rec#: 33899 BELLUSCIO S.A. </t>
  </si>
  <si>
    <t>IC-11120</t>
  </si>
  <si>
    <t xml:space="preserve">Fact#: 368257 Rec#: 33900 DUPROCSA S.A. </t>
  </si>
  <si>
    <t>IC-11121</t>
  </si>
  <si>
    <t xml:space="preserve">Fact#: 368603 Rec#: 33901 MAURA LOOR STALYN ADOLFO </t>
  </si>
  <si>
    <t>IC-11122</t>
  </si>
  <si>
    <t xml:space="preserve">Fact#: 368169 Rec#: 33902 AUTOMEKANO CIA. LTDA </t>
  </si>
  <si>
    <t>IC-11123</t>
  </si>
  <si>
    <t xml:space="preserve">Fact#: 368159 Rec#: 33903 EFFICACITAS CONSULTORA CIA.LTDA. </t>
  </si>
  <si>
    <t>IC-11124</t>
  </si>
  <si>
    <t xml:space="preserve">Fact#: 368160 Rec#: 33904 EFFICACITAS CONSULTORA CIA.LTDA. </t>
  </si>
  <si>
    <t>IC-11125</t>
  </si>
  <si>
    <t xml:space="preserve">Fact#: 368161 Rec#: 33905 EFFICACITAS CONSULTORA CIA.LTDA. </t>
  </si>
  <si>
    <t>IC-11126</t>
  </si>
  <si>
    <t xml:space="preserve">Fact#: 368318 Rec#: 33906 RITOMI S.A. </t>
  </si>
  <si>
    <t>IC-11127</t>
  </si>
  <si>
    <t xml:space="preserve">Fact#: 368365 Rec#: 33907 RITOMI S.A. </t>
  </si>
  <si>
    <t>IC-11128</t>
  </si>
  <si>
    <t xml:space="preserve">Fact#: 368163 Rec#: 33908 ASOC. DE PROPIETARIOS URB. TERRASOL </t>
  </si>
  <si>
    <t>IC-11129</t>
  </si>
  <si>
    <t xml:space="preserve">Fact#: 368275 Rec#: 33909 WILMER JONAS MEJIA LEON </t>
  </si>
  <si>
    <t>IC-11132</t>
  </si>
  <si>
    <t xml:space="preserve">Fact#: 364437-367008 Rec#: 33910 FALCONI DUEÑAS ELISA MARIA </t>
  </si>
  <si>
    <t>IC-11133</t>
  </si>
  <si>
    <t xml:space="preserve">Fact#: 363951-366536 Rec#: 19265 CARLOS RAUL CARPIO FREIRE </t>
  </si>
  <si>
    <t>IC-11134</t>
  </si>
  <si>
    <t xml:space="preserve">Fact#: 364318-366892 Rec#: 19266 VALLE GONZALEZ LIDIA ELIZABETH </t>
  </si>
  <si>
    <t>IC-11135</t>
  </si>
  <si>
    <t xml:space="preserve">Fact#: 366916 Rec#: 19267 ORTEGA CONFORME  JANET AURORA  </t>
  </si>
  <si>
    <t>IC-11136</t>
  </si>
  <si>
    <t xml:space="preserve">Fact#: 365679 Rec#: 19268 JOMALUNKA S.A </t>
  </si>
  <si>
    <t>IC-11137</t>
  </si>
  <si>
    <t xml:space="preserve">Fact#: 366084 Rec#: 19269 VICENTE GABRIEL VINUEZA MERINO </t>
  </si>
  <si>
    <t>IC-11138</t>
  </si>
  <si>
    <t xml:space="preserve">Fact#: 365301-367880 Rec#: 19270 TUALA LOOR PIEDAD ELIZABETH </t>
  </si>
  <si>
    <t>IC-11139</t>
  </si>
  <si>
    <t xml:space="preserve">Fact#: 366928 Rec#: 19271 AGUIRRE HURTADO KATHERINE ELIZABETH </t>
  </si>
  <si>
    <t>IC-11140</t>
  </si>
  <si>
    <t xml:space="preserve">Fact#: 364527-367101 Rec#: 19272 JIMBO ANDRADE KEVIN ISAAC </t>
  </si>
  <si>
    <t>IC-11141</t>
  </si>
  <si>
    <t xml:space="preserve">Fact#: 364493-367065 Rec#: 19273 SAMPEDRO BASURTO MARIA JULIANA  </t>
  </si>
  <si>
    <t>IC-11142</t>
  </si>
  <si>
    <t xml:space="preserve">Fact#: 364394-366967 Rec#: 19274 VENEGAS ARTEAGA CARLOS ALFREDO </t>
  </si>
  <si>
    <t>IC-11143</t>
  </si>
  <si>
    <t xml:space="preserve">Fact#: 366797 Rec#: 19275 DE LA O CHACON JOSEPH CHRISTIAN </t>
  </si>
  <si>
    <t>IC-11144</t>
  </si>
  <si>
    <t xml:space="preserve">Fact#: 366393 Rec#: 19276 JAVIER ENRIQUE ARTEAGA MENENDEZ </t>
  </si>
  <si>
    <t>IC-11145</t>
  </si>
  <si>
    <t xml:space="preserve">Fact#: 363504-366097 Rec#: 19277 BETTY EUVENIA ACOSTA CAJAPE </t>
  </si>
  <si>
    <t>IC-11146</t>
  </si>
  <si>
    <t xml:space="preserve">Fact#: 367596 Rec#: 19278 PADILLA ALVAREZ JUAN LEONARDO </t>
  </si>
  <si>
    <t>IC-11147</t>
  </si>
  <si>
    <t xml:space="preserve">Fact#: 366550 Rec#: 19279 LUIS ENRIQUE APOLINARIO ROJAS </t>
  </si>
  <si>
    <t>IC-11148</t>
  </si>
  <si>
    <t xml:space="preserve">Fact#: 364501-367075 Rec#: 19280 GUADALUPE REMACHE SILVIA FABIOLA </t>
  </si>
  <si>
    <t>IC-11149</t>
  </si>
  <si>
    <t xml:space="preserve">Fact#: 367069 Rec#: 19281 CEDENO MARCILLO IRMA JANETH </t>
  </si>
  <si>
    <t>IC-11150</t>
  </si>
  <si>
    <t xml:space="preserve">Fact#: 366130 Rec#: 19282 MARIA DEL CARMEN VERA VALVERDE </t>
  </si>
  <si>
    <t>IC-11151</t>
  </si>
  <si>
    <t xml:space="preserve">Fact#: 363835-366426 Rec#: 19283 ISABEL RODRIGUEZ RIZO </t>
  </si>
  <si>
    <t>IC-11152</t>
  </si>
  <si>
    <t xml:space="preserve">Fact#: 368000 Rec#: 19284 SARANGO VALDIVIEZO JENY ELIZABETH </t>
  </si>
  <si>
    <t>IC-11153</t>
  </si>
  <si>
    <t xml:space="preserve">Fact#: 367165 Rec#: 19285 PARRALES CABRERA TEOFILO CELESTINO </t>
  </si>
  <si>
    <t>IC-11154</t>
  </si>
  <si>
    <t xml:space="preserve">Fact#: 364425-366998 Rec#: 19286 VELASTEGUI COELLAR MICHAEL PATRICIO </t>
  </si>
  <si>
    <t>IC-11155</t>
  </si>
  <si>
    <t xml:space="preserve">Fact#: 367966 Rec#: 19287 MARURI GUERRA RAUL ENRIQUE </t>
  </si>
  <si>
    <t>IC-11156</t>
  </si>
  <si>
    <t xml:space="preserve">Fact#: 367213 Rec#: 19288 CHANCAY SOLEDISPA VICTOR MANUEL </t>
  </si>
  <si>
    <t>IC-11157</t>
  </si>
  <si>
    <t xml:space="preserve">Fact#: 361431-363984-366568 Rec#: 19289 ANDRES GONZALO CELI PEREZ </t>
  </si>
  <si>
    <t>IC-11158</t>
  </si>
  <si>
    <t xml:space="preserve">Fact#: 365473-368040 Rec#: 19290 CANO VELASCO LUIS </t>
  </si>
  <si>
    <t>IC-11159</t>
  </si>
  <si>
    <t xml:space="preserve">Fact#: 364587-367159 Rec#: 19291 CORONEL REYES KARINA ELIZABETH </t>
  </si>
  <si>
    <t>IC-11160</t>
  </si>
  <si>
    <t xml:space="preserve">Fact#: 367879 Rec#: 19292 REDROBAN MORA MAXIMO PATRICIO </t>
  </si>
  <si>
    <t>IC-11161</t>
  </si>
  <si>
    <t xml:space="preserve">Fact#: 365183-367746 Rec#: 19293 OVIEDO OVIEDO MANUEL ALFREDO </t>
  </si>
  <si>
    <t>IC-11162</t>
  </si>
  <si>
    <t xml:space="preserve">Fact#: 366858 Rec#: 19294 PILAY QUINDE ALEXI ANDRES </t>
  </si>
  <si>
    <t>IC-11163</t>
  </si>
  <si>
    <t xml:space="preserve">Fact#: 361582-364136-366718 Rec#: 19295 GUERRERO HOLGUIN JAIME GUSTAVO </t>
  </si>
  <si>
    <t>IC-11164</t>
  </si>
  <si>
    <t xml:space="preserve">Fact#: 366875 Rec#: 19296 ROMAN ALVARADO LILIAN ISIDORA </t>
  </si>
  <si>
    <t>IC-11329</t>
  </si>
  <si>
    <t>Fact#: 363395 Rec#: 33914 Corporación Nacional de Telecomunicaciones-CNT EP</t>
  </si>
  <si>
    <t>IC-11330</t>
  </si>
  <si>
    <t>Fact#: 363394 Rec#: 33915 Corporación Nacional de Telecomunicaciones-CNT EP</t>
  </si>
  <si>
    <t>VISA - MASTERCARD - PACIFICARD CANCELACION DEBITO TARJETAS GUAYAQUIL- PAGO DE FACT 368208 - 366260- 366478- 368284 - 368285- 368292-366660- 366481-367235-367592-367579-367616-5078- 367726-367933-368060 POR DEP EN CTA #DOC 1945</t>
  </si>
  <si>
    <t>VISA - MASTERCARD - PACIFICARD CANCELACION DEBITO TAREJTAS GUAYAQUIL-PAGO DE FACT 368101</t>
  </si>
  <si>
    <t>AMERICAN EXPRESS CANCELACION DEBITO TARJETAS GUAYAQUIL- PAGO DE FACT 366250- 366543 -  366669- 368391- 368393- 366915- 367153- 367244- 367346- 368312- 367397- 367463- 366459- 367399- 367202- 367341- 367421- 368503- 367593-367644-  367626- 367683- 367672</t>
  </si>
  <si>
    <t>AT-3327</t>
  </si>
  <si>
    <t>PARADA PARRA MIGUEL ANGEL CANCELA TELEFONO 3908237 ABONA SGTE FACTURA, PAGO WESTERN UNION</t>
  </si>
  <si>
    <t>IC-11326</t>
  </si>
  <si>
    <t xml:space="preserve">Fact#: 355201-357595-360069 Rec#: 33913 FLORES VELIZ CARMEN ROSA </t>
  </si>
  <si>
    <t>IC-11372</t>
  </si>
  <si>
    <t xml:space="preserve">Fact#: 365363-367941 Rec#: 19297 QUIZHPI PASTUIZACA EDISON DANILO </t>
  </si>
  <si>
    <t>IC-11373</t>
  </si>
  <si>
    <t xml:space="preserve">Fact#: 364936-367501 Rec#: 19298 CEDENO ANGULO JAIRO RENE </t>
  </si>
  <si>
    <t>IC-11374</t>
  </si>
  <si>
    <t xml:space="preserve">Fact#: 366401 Rec#: 19299 ANGEL ANTONIO RAMIREZ NUÑEZ </t>
  </si>
  <si>
    <t>IC-11375</t>
  </si>
  <si>
    <t xml:space="preserve">Fact#: 364878-367441 Rec#: 19300 ARAUJO AGUIRRE JUAN JOSE </t>
  </si>
  <si>
    <t>IC-11376</t>
  </si>
  <si>
    <t xml:space="preserve">Fact#: 366899 Rec#: 19301 VELASQUEZ POLIT NINA NATASHA </t>
  </si>
  <si>
    <t>IC-11377</t>
  </si>
  <si>
    <t xml:space="preserve">Fact#: 365273-367850 Rec#: 19302 MACKLIFF GARAYCOA EMILIO JOSE </t>
  </si>
  <si>
    <t>IC-11378</t>
  </si>
  <si>
    <t xml:space="preserve">Fact#: 364625-367197 Rec#: 19303 AGILA MALDONADO MANUEL HORACIO </t>
  </si>
  <si>
    <t>IC-11379</t>
  </si>
  <si>
    <t xml:space="preserve">Fact#: 366323 Rec#: 19304 UBALDO HELIODORO MOTOCHE MEDINA </t>
  </si>
  <si>
    <t>IC-11380</t>
  </si>
  <si>
    <t xml:space="preserve">Fact#: 359879-362394-364938 Rec#: 19305 REYES QUIJIJE ALEXI EDUARDO </t>
  </si>
  <si>
    <t>IC-11381</t>
  </si>
  <si>
    <t xml:space="preserve">Fact#: 364960-367524 Rec#: 19306 PARADA PARRA MIGUEL ANGEL </t>
  </si>
  <si>
    <t>IC-11382</t>
  </si>
  <si>
    <t xml:space="preserve">Fact#: 361722-364274-366848 Rec#: 19307 VALERO ZABALA  JULIA ELIZABETH </t>
  </si>
  <si>
    <t>IC-11383</t>
  </si>
  <si>
    <t xml:space="preserve">Fact#: 362103-364647-367219 Rec#: 19308 LUCAS VALAREZO CRISTINA EVELIN </t>
  </si>
  <si>
    <t>IC-11384</t>
  </si>
  <si>
    <t xml:space="preserve">Fact#: 364252-366827 Rec#: 19309 VASQUEZ DORA JUAN JOSE </t>
  </si>
  <si>
    <t>IC-11385</t>
  </si>
  <si>
    <t xml:space="preserve">Fact#: 367755 Rec#: 19310 GUARANDA MERCHAN NIEVE GRACIELA  </t>
  </si>
  <si>
    <t>IC-11386</t>
  </si>
  <si>
    <t xml:space="preserve">Fact#: 366172 Rec#: 19311 LOPEZ LOPEZ WASHINGTON FERMIN </t>
  </si>
  <si>
    <t>IC-11387</t>
  </si>
  <si>
    <t xml:space="preserve">Fact#: 365304-367883 Rec#: 19312 AYOVI CAICEDO TANYA DENISE </t>
  </si>
  <si>
    <t>IC-11388</t>
  </si>
  <si>
    <t xml:space="preserve">Fact#: 361657-364212-366786 Rec#: 19313 MOLINA ALCIVAR CESAR RAUL </t>
  </si>
  <si>
    <t>IC-11389</t>
  </si>
  <si>
    <t xml:space="preserve">Fact#: 365837 Rec#: 19314 SPORTMEDIC.S.A  </t>
  </si>
  <si>
    <t>IC-11390</t>
  </si>
  <si>
    <t xml:space="preserve">Fact#: 367234 Rec#: 19315 ALVAREZ CASTILLO AURORA DEL CISNE </t>
  </si>
  <si>
    <t>IC-11391</t>
  </si>
  <si>
    <t xml:space="preserve">Fact#: 366011 Rec#: 19316 LIDIA JUDITH OJEDA RUIZ </t>
  </si>
  <si>
    <t>IC-11392</t>
  </si>
  <si>
    <t xml:space="preserve">Fact#: 364257-366832 Rec#: 19317 COROZO CORTEZ VICTOR LELY </t>
  </si>
  <si>
    <t>IC-11393</t>
  </si>
  <si>
    <t xml:space="preserve">Fact#: 364794-367357 Rec#: 19318 REYES CIMARRA AUDI JOJAN </t>
  </si>
  <si>
    <t>IC-11394</t>
  </si>
  <si>
    <t xml:space="preserve">Fact#: 362422-364967-367530 Rec#: 19319 SANCHEZ CONSTANTE RICHARD ALBERTO </t>
  </si>
  <si>
    <t>IC-11395</t>
  </si>
  <si>
    <t xml:space="preserve">Fact#: 358813-361335 Rec#: 19320 AMADA ORQUIDEA CAICEDO TREJO </t>
  </si>
  <si>
    <t>IC-11396</t>
  </si>
  <si>
    <t xml:space="preserve">Fact#: 366673 Rec#: 19321 MORALES CASTRO SAMUEL </t>
  </si>
  <si>
    <t>IC-11397</t>
  </si>
  <si>
    <t xml:space="preserve">Fact#: 364509-367084 Rec#: 19322 BORBOR VILLON ALEX ALEJANDRO </t>
  </si>
  <si>
    <t>IC-11398</t>
  </si>
  <si>
    <t xml:space="preserve">Fact#: 364542-367116 Rec#: 19323 CORDOVA REYES CARLOS HORACIO </t>
  </si>
  <si>
    <t>IC-11399</t>
  </si>
  <si>
    <t xml:space="preserve">Fact#: 362180-364725-367293 Rec#: 19324 SANCHEZ CASTELLANO GLADYS MARICELA </t>
  </si>
  <si>
    <t>IC-11400</t>
  </si>
  <si>
    <t xml:space="preserve">Fact#: 364571-367145 Rec#: 33916 PESANTES GUAMAN DANIEL ARTURO </t>
  </si>
  <si>
    <t>IC-11401</t>
  </si>
  <si>
    <t xml:space="preserve">Fact#: 365041-367602 Rec#: 33917 CALDERIO HECHAVARRIA DAIRON FREDDY </t>
  </si>
  <si>
    <t>IC-11402</t>
  </si>
  <si>
    <t xml:space="preserve">Fact#: 366834 Rec#: 33918 ARIAS SALAZAR KATHERINE JUSETH </t>
  </si>
  <si>
    <t>IC-11403</t>
  </si>
  <si>
    <t xml:space="preserve">Fact#: 362309-364854-367419 Rec#: 33919 LARA CHERE FREDY GONZALO </t>
  </si>
  <si>
    <t>IC-11404</t>
  </si>
  <si>
    <t xml:space="preserve">Fact#: 366019 Rec#: 33920 RAFAEL VICENTE ERAZO FALQUEZ </t>
  </si>
  <si>
    <t>IC-11405</t>
  </si>
  <si>
    <t xml:space="preserve">Fact#: 366244 Rec#: 33921 CAROLINA AMALIA IDROVO PIEDRAHITA  </t>
  </si>
  <si>
    <t>IC-11408</t>
  </si>
  <si>
    <t xml:space="preserve">Fact#: 366291 Rec#: 33924 CINDY LORENA BAJAÑA BELTRAN </t>
  </si>
  <si>
    <t>IC-11409</t>
  </si>
  <si>
    <t xml:space="preserve">Fact#: 364798-367363 Rec#: 33925 SANCHEZ ALVARADO JACINTA ROSARIO </t>
  </si>
  <si>
    <t>IC-11410</t>
  </si>
  <si>
    <t xml:space="preserve">Fact#: 366297 Rec#: 33926 GUILLERMO ELOY SERRANO GOMEZ </t>
  </si>
  <si>
    <t>IC-11422</t>
  </si>
  <si>
    <t xml:space="preserve">Fact#: 359111-361631-364187 Rec#: 33927 RODRIGUEZ BADILLO GLENDA MARITZA </t>
  </si>
  <si>
    <t>IC-11423</t>
  </si>
  <si>
    <t xml:space="preserve">Fact#: 364464-367036 Rec#: 33928 SANCHEZ EGAS LIZETH MARITZA </t>
  </si>
  <si>
    <t>IC-11425</t>
  </si>
  <si>
    <t xml:space="preserve">Fact#: 364009-366593 Rec#: 33929 WENDY LORENA QUIMIS CHOEZ </t>
  </si>
  <si>
    <t>IC-11430</t>
  </si>
  <si>
    <t xml:space="preserve">Fact#: 364498-367071 Rec#: 33930 NARANJO CADENA DANIEL FIDEL </t>
  </si>
  <si>
    <t>IC-11444</t>
  </si>
  <si>
    <t xml:space="preserve">Fact#: 366281 Rec#: 33931 GASTON ALLAND CORTEZ ESPINOZA </t>
  </si>
  <si>
    <t>AT-3329</t>
  </si>
  <si>
    <t>CAMACHO SORIA CARLOS EDUARDO ABONA SGTE FACTURA, BCO PACIFICO POR DEP EN CTA #DOC 28778211</t>
  </si>
  <si>
    <t>IC-11468</t>
  </si>
  <si>
    <t xml:space="preserve">Fact#: 366680 Rec#: 19325 CARRIEL DELGADO SIRLYS JADIRA </t>
  </si>
  <si>
    <t>IC-11469</t>
  </si>
  <si>
    <t xml:space="preserve">Fact#: 364826-367393 Rec#: 19326 MEDINA FLORES DANIEL FRANCISCO </t>
  </si>
  <si>
    <t>IC-11470</t>
  </si>
  <si>
    <t xml:space="preserve">Fact#: 364818-367384 Rec#: 19327 LAUZO MARISCAL MANUEL DAVID </t>
  </si>
  <si>
    <t>IC-11471</t>
  </si>
  <si>
    <t xml:space="preserve">Fact#: 360608-363151-365744 Rec#: 19328 LOOR VIEJO ESTEFANIA EILLIN </t>
  </si>
  <si>
    <t>IC-11472</t>
  </si>
  <si>
    <t xml:space="preserve">Fact#: 368124 Rec#: 19329 VELIZ ESPINIZA NORMA BEATRIZ </t>
  </si>
  <si>
    <t>IC-11473</t>
  </si>
  <si>
    <t xml:space="preserve">Fact#: 365385-367957 Rec#: 19330 SINCHE RIOFRIO NARCISA DEL CARMEN </t>
  </si>
  <si>
    <t>IC-11474</t>
  </si>
  <si>
    <t xml:space="preserve">Fact#: 366541 Rec#: 19331 MARITZA MABEL USHIÑA GIRALDO </t>
  </si>
  <si>
    <t>IC-11475</t>
  </si>
  <si>
    <t xml:space="preserve">Fact#: 367784 Rec#: 19332 BRIONES ALVARADO MERCEDES MARLENE </t>
  </si>
  <si>
    <t>IC-11476</t>
  </si>
  <si>
    <t xml:space="preserve">Fact#: 365844 Rec#: 19333 TRSC ENTERPRISES S.A  </t>
  </si>
  <si>
    <t>IC-11477</t>
  </si>
  <si>
    <t xml:space="preserve">Fact#: 361012-363567-366158 Rec#: 19334 ZAVALA ICAZA VICTOR HUGO </t>
  </si>
  <si>
    <t>IC-11478</t>
  </si>
  <si>
    <t xml:space="preserve">Fact#: 367722 Rec#: 19335 BARBERAN BRIONES CARMEN ASUNCION </t>
  </si>
  <si>
    <t>IC-11479</t>
  </si>
  <si>
    <t xml:space="preserve">Fact#: 363748-366338 Rec#: 19336 MOISES SIGIFREDO OBANDO MONTENEGRO </t>
  </si>
  <si>
    <t>IC-11480</t>
  </si>
  <si>
    <t xml:space="preserve">Fact#: 364863-367426 Rec#: 19337 PENAFIEL MOSQUERA MIRNA LORGIA </t>
  </si>
  <si>
    <t>IC-11481</t>
  </si>
  <si>
    <t xml:space="preserve">Fact#: 366726 Rec#: 19338 CEVALLOS PLUAS JULIT LORENA </t>
  </si>
  <si>
    <t>IC-11482</t>
  </si>
  <si>
    <t xml:space="preserve">Fact#: 366343 Rec#: 19339 WILLINGTON HUGO ROSALES MEDINA </t>
  </si>
  <si>
    <t>IC-11483</t>
  </si>
  <si>
    <t xml:space="preserve">Fact#: 364835-367401 Rec#: 19340 SANCHEZ PEREZ FRANCISCO ROBERTO </t>
  </si>
  <si>
    <t>IC-11484</t>
  </si>
  <si>
    <t xml:space="preserve">Fact#: 367768 Rec#: 19341 PAREDES LOPEZ MARIA PIEDAD </t>
  </si>
  <si>
    <t>IC-11485</t>
  </si>
  <si>
    <t xml:space="preserve">Fact#: 365486-368053 Rec#: 19342 ALVAREZ AROCA GABRIEL ALFREDO </t>
  </si>
  <si>
    <t>IC-11486</t>
  </si>
  <si>
    <t xml:space="preserve">Fact#: 367370 Rec#: 19343 FRANCO BARRAGAN MARLON JULIO </t>
  </si>
  <si>
    <t>IC-11487</t>
  </si>
  <si>
    <t xml:space="preserve">Fact#: 367187 Rec#: 19344 SOLANO DE LA TORRE EFRAIN ALFREDO </t>
  </si>
  <si>
    <t>IC-11488</t>
  </si>
  <si>
    <t xml:space="preserve">Fact#: 364766-367329 Rec#: 19345 CABEZA RODRIGUEZ PETER FABRICIO </t>
  </si>
  <si>
    <t>IC-11489</t>
  </si>
  <si>
    <t xml:space="preserve">Fact#: 365316-367897 Rec#: 19346 VALENCIA ANGULO AMIRA MERCEDES </t>
  </si>
  <si>
    <t>IC-11490</t>
  </si>
  <si>
    <t xml:space="preserve">Fact#: 364089-366672 Rec#: 19347 SUAREZ MAGALLANES JULIO ALFONSO </t>
  </si>
  <si>
    <t>IC-11491</t>
  </si>
  <si>
    <t xml:space="preserve">Fact#: 335983-338929-341925-345448-347952-357299-359768-367395 Rec#: 19348 ANDRADE ROJAS WALTER RODOLFO </t>
  </si>
  <si>
    <t>IC-11492</t>
  </si>
  <si>
    <t xml:space="preserve">Fact#: 365673 Rec#: 19349 LUIS OSWALDO HERRERA HERRERA </t>
  </si>
  <si>
    <t>IC-11493</t>
  </si>
  <si>
    <t xml:space="preserve">Fact#: 358733-361256-363811 Rec#: 19350 NUVIA ELIZABETH TORRES VERA </t>
  </si>
  <si>
    <t>IC-11494</t>
  </si>
  <si>
    <t xml:space="preserve">Fact#: 366941 Rec#: 19351 MIRABAL RODRIGUEZ CRISTINA </t>
  </si>
  <si>
    <t>IC-11495</t>
  </si>
  <si>
    <t xml:space="preserve">Fact#: 364853-367418 Rec#: 19352 MORAN MOSQUERA JORGE RAMON </t>
  </si>
  <si>
    <t>IC-11496</t>
  </si>
  <si>
    <t xml:space="preserve">Fact#: 362264-364808-367374 Rec#: 19353 RIVADENEIRA ZAMBRANO ANGEL FAUSTO </t>
  </si>
  <si>
    <t>IC-11497</t>
  </si>
  <si>
    <t xml:space="preserve">Fact#: 366484 Rec#: 33932 MELCHOR MAURICIO VALENCIA PEREZ </t>
  </si>
  <si>
    <t>IC-11498</t>
  </si>
  <si>
    <t xml:space="preserve">Fact#: 364237-366812 Rec#: 33933 MORAN CABELLO JUSUETH WENSTLAND </t>
  </si>
  <si>
    <t>IC-11499</t>
  </si>
  <si>
    <t xml:space="preserve">Fact#: 361688-364241-366817 Rec#: 33934 DURAN POLIT MARIA DANIELLA </t>
  </si>
  <si>
    <t>IC-11500</t>
  </si>
  <si>
    <t xml:space="preserve">Fact#: 364228-366802 Rec#: 33935 LOZANO OTERO RICARDO REIMONDI LOZANO OTERO </t>
  </si>
  <si>
    <t>IC-11501</t>
  </si>
  <si>
    <t xml:space="preserve">Fact#: 368501 Rec#: 33936 MÜLLER CARDENAS MICHAEL </t>
  </si>
  <si>
    <t>IC-11502</t>
  </si>
  <si>
    <t xml:space="preserve">Fact#: 367120 Rec#: 33937 TAFUR MOSQUERA AMPARO JACQUELINE </t>
  </si>
  <si>
    <t>IC-11503</t>
  </si>
  <si>
    <t xml:space="preserve">Fact#: 366958 Rec#: 33938 REIMBERG BADUY PETER PAUL </t>
  </si>
  <si>
    <t>IC-11522</t>
  </si>
  <si>
    <t xml:space="preserve">Fact#: 363013-363015-365610-368241 Rec#: 33939 JUAYATABC TELEVISION S.A. </t>
  </si>
  <si>
    <t>IC-11524</t>
  </si>
  <si>
    <t xml:space="preserve">Fact#: 365165-367728 Rec#: 33940 MEJIA RIVERA ROSARIO ARELYS </t>
  </si>
  <si>
    <t>IC-11527</t>
  </si>
  <si>
    <t xml:space="preserve">Fact#: 362725-365276 Rec#: 33941 JIMENEZ ICAZA JULIO CESAR </t>
  </si>
  <si>
    <t>IC-12075</t>
  </si>
  <si>
    <t xml:space="preserve">Fact#: 365161-367723 Rec#: 34029 ROSALES BUSTAMANTE LUIS ALBERTO </t>
  </si>
  <si>
    <t>N/D PACIFICO CANCELACIÓN DE FACTURA#2527756 DATAFAST CIA LTDA</t>
  </si>
  <si>
    <t>AT-3330</t>
  </si>
  <si>
    <t>VARGAS ZAMBRANO HILDA MARIA ABONA SGTE FACTURA, BCO PACIFICO POR TRANSFERENCIA #DPC 1945</t>
  </si>
  <si>
    <t>IC-11531</t>
  </si>
  <si>
    <t xml:space="preserve">Fact#: 367703 Rec#: 33942 DE SANTIS NEIRA JUAN JAIME CRISTIAN </t>
  </si>
  <si>
    <t>IC-11554</t>
  </si>
  <si>
    <t xml:space="preserve">Fact#: 367402 Rec#: 19354 LOPEZ MALDONADO CARLOS ROLANDO </t>
  </si>
  <si>
    <t>IC-11555</t>
  </si>
  <si>
    <t xml:space="preserve">Fact#: 367134 Rec#: 19355 RAMOS PACHAY JOSE MANUEL </t>
  </si>
  <si>
    <t>IC-11556</t>
  </si>
  <si>
    <t xml:space="preserve">Fact#: 361253-363808-366400 Rec#: 19356 JONATHAN SAHI ALVES BAUTISTA </t>
  </si>
  <si>
    <t>IC-11557</t>
  </si>
  <si>
    <t xml:space="preserve">Fact#: 367423 Rec#: 19357 GALLEGOS VERA ALEX AUGUSTO </t>
  </si>
  <si>
    <t>IC-11558</t>
  </si>
  <si>
    <t xml:space="preserve">Fact#: 367992 Rec#: 19358 PONCE SILVA ROBERTO OSWALDO </t>
  </si>
  <si>
    <t>IC-11559</t>
  </si>
  <si>
    <t xml:space="preserve">Fact#: 361813-364366-366940 Rec#: 19359 CASTILLO PEREIRA GABRIEL ARCANGEL </t>
  </si>
  <si>
    <t>IC-11560</t>
  </si>
  <si>
    <t xml:space="preserve">Fact#: 363453-366047 Rec#: 19360 MORAIMA SEMINARIO TOLEDO </t>
  </si>
  <si>
    <t>IC-11561</t>
  </si>
  <si>
    <t xml:space="preserve">Fact#: 366693 Rec#: 19361 AGUILAR AVILES ANDREA CAROLINA </t>
  </si>
  <si>
    <t>IC-11562</t>
  </si>
  <si>
    <t xml:space="preserve">Fact#: 366442 Rec#: 19362 JAVIER FEDERICO VILLON ANASTACIO </t>
  </si>
  <si>
    <t>IC-11563</t>
  </si>
  <si>
    <t xml:space="preserve">Fact#: 364645-367217 Rec#: 19363 BARRAZUETA PERDOMO EDUARDO DANIEL </t>
  </si>
  <si>
    <t>IC-11564</t>
  </si>
  <si>
    <t xml:space="preserve">Fact#: 367997 Rec#: 19364 CARRERA MOYANO DEMETRIO ARNOLDO </t>
  </si>
  <si>
    <t>IC-11565</t>
  </si>
  <si>
    <t xml:space="preserve">Fact#: 365821 Rec#: 19365 JARRIN LOPEZ VERONICA ELIZABETH </t>
  </si>
  <si>
    <t>IC-11566</t>
  </si>
  <si>
    <t xml:space="preserve">Fact#: 365850 Rec#: 19366 MERCHAN BALON CHRISTOPHER FERNANDO </t>
  </si>
  <si>
    <t>IC-11567</t>
  </si>
  <si>
    <t xml:space="preserve">Fact#: 4979 Rec#: 19367 SILVA REA OLIVO AMADO </t>
  </si>
  <si>
    <t>IC-11568</t>
  </si>
  <si>
    <t xml:space="preserve">Fact#: 367001 Rec#: 19368 MARTINEZ DAVILA YINET </t>
  </si>
  <si>
    <t>IC-11569</t>
  </si>
  <si>
    <t xml:space="preserve">Fact#: 366787 Rec#: 19369 ARROBA VALENCIA  JULIO ZENON  </t>
  </si>
  <si>
    <t>IC-11570</t>
  </si>
  <si>
    <t xml:space="preserve">Fact#: 363871-366461 Rec#: 19370 KATTIA MARIA JOSEFINA CARDENAS FREIRE </t>
  </si>
  <si>
    <t>IC-11571</t>
  </si>
  <si>
    <t xml:space="preserve">Fact#: 363861-366452 Rec#: 19371 BYRON JOSE LEDESMA CARDENAS </t>
  </si>
  <si>
    <t>IC-11572</t>
  </si>
  <si>
    <t xml:space="preserve">Fact#: 367456 Rec#: 19372 CASTRO ESPINALES LUCELINA PRIMITIVA </t>
  </si>
  <si>
    <t>IC-11573</t>
  </si>
  <si>
    <t xml:space="preserve">Fact#: 364266-366840 Rec#: 19373 GONZALEZ MURO CARLOS LUIS </t>
  </si>
  <si>
    <t>IC-11574</t>
  </si>
  <si>
    <t xml:space="preserve">Fact#: 362376-364921-367486 Rec#: 19374 ENRIQUEZ LOMBEIDA ROSA ISABEL </t>
  </si>
  <si>
    <t>IC-11575</t>
  </si>
  <si>
    <t xml:space="preserve">Fact#: 367980 Rec#: 19375 SOLORZANO MURILLO WILLIAM WILFRIDO </t>
  </si>
  <si>
    <t>IC-11576</t>
  </si>
  <si>
    <t xml:space="preserve">Fact#: 363601-366193 Rec#: 19376 NESTOR AGUSTIN SIMANCAS PINTA </t>
  </si>
  <si>
    <t>IC-11591</t>
  </si>
  <si>
    <t xml:space="preserve">Fact#: 367502 Rec#: 33943 SALTOS MATA FILADELFO VLADIMIR </t>
  </si>
  <si>
    <t>IC-11592</t>
  </si>
  <si>
    <t xml:space="preserve">Fact#: 363704-366292 Rec#: 33944 MIRIAM ANTONIETA MARIDUEÑA VALENZUELA </t>
  </si>
  <si>
    <t>IC-11593</t>
  </si>
  <si>
    <t xml:space="preserve">Fact#: 360903-363462-366056 Rec#: 33945 FREDDY MAURICIO SARANGO MARTINEZ </t>
  </si>
  <si>
    <t>IC-11594</t>
  </si>
  <si>
    <t xml:space="preserve">Fact#: 352014-354349-356753 Rec#: 33946 BERNAL MORAN ALEX XAVIER </t>
  </si>
  <si>
    <t>IC-11595</t>
  </si>
  <si>
    <t xml:space="preserve">Fact#: 368620 Rec#: 33947 ASOC. PRO. NEW YORK 12 DE SEPTIEMBRE </t>
  </si>
  <si>
    <t>IC-11596</t>
  </si>
  <si>
    <t xml:space="preserve">Fact#: 368619 Rec#: 33948 ASOC. PRO. NEW YORK 12 DE SEPTIEMBRE </t>
  </si>
  <si>
    <t>IC-11597</t>
  </si>
  <si>
    <t xml:space="preserve">Fact#: 368308 Rec#: 33949 CONSTRU-YA S.A. </t>
  </si>
  <si>
    <t>IC-11626</t>
  </si>
  <si>
    <t>Fact#: 365990 Rec#: 33955 CONSORCIO ECUATORIANO DE TELECOMUNICACIONES S.A. CONECEL</t>
  </si>
  <si>
    <t>IC-11628</t>
  </si>
  <si>
    <t xml:space="preserve">Fact#: 362907-365443-368010 Rec#: 33957 AVILES GOMEZ FRANCISCO WILSON </t>
  </si>
  <si>
    <t>N/D POR COMISION DE WESTERN UNION POR RECAUDACION DEL 01/08/2021 AL 05/08/2021</t>
  </si>
  <si>
    <t>AT-3332</t>
  </si>
  <si>
    <t>PINO MATAMOROS GALO EFRAIN ABONA SGTE FACTURA, PAGO WESTERN UNION</t>
  </si>
  <si>
    <t>IC-11577</t>
  </si>
  <si>
    <t xml:space="preserve">Fact#: 364597-367168 Rec#: 19377 PITA PENAFIEL ALISON CAROLINA </t>
  </si>
  <si>
    <t>IC-11578</t>
  </si>
  <si>
    <t xml:space="preserve">Fact#: 364411-366985 Rec#: 19378 AGUIRRE CIRIO RIGOBERTO FRANCISCO </t>
  </si>
  <si>
    <t>IC-11579</t>
  </si>
  <si>
    <t xml:space="preserve">Fact#: 364541-367115 Rec#: 19379 CUEVA SAREZ JENNIFER STEFANIA </t>
  </si>
  <si>
    <t>IC-11580</t>
  </si>
  <si>
    <t xml:space="preserve">Fact#: 365401-367970 Rec#: 19380 GRACIA LOOR ANGEL FRANCISCO </t>
  </si>
  <si>
    <t>IC-11581</t>
  </si>
  <si>
    <t xml:space="preserve">Fact#: 365476-368044 Rec#: 19381 HERNANDEZ TUAREZ MARICELA DEL CARMEN </t>
  </si>
  <si>
    <t>IC-11582</t>
  </si>
  <si>
    <t xml:space="preserve">Fact#: 366721 Rec#: 19382 SANCHEZ CARRIEL NARCISA DE JESUS </t>
  </si>
  <si>
    <t>IC-11583</t>
  </si>
  <si>
    <t xml:space="preserve">Fact#: 4814-5051 Rec#: 19383 MINDA POZO EDVIN ERNESTO </t>
  </si>
  <si>
    <t>IC-11584</t>
  </si>
  <si>
    <t xml:space="preserve">Fact#: 367026 Rec#: 19384 VALENCIA NIEVES BYRON BOLIVAR </t>
  </si>
  <si>
    <t>IC-11585</t>
  </si>
  <si>
    <t xml:space="preserve">Fact#: 367834 Rec#: 19385 VERA GUZMAN MARIA DOLORES </t>
  </si>
  <si>
    <t>IC-11601</t>
  </si>
  <si>
    <t xml:space="preserve">Fact#: 5128 Rec#: 33950 CABEZAS GUERRA MARIA DEL CARMEN </t>
  </si>
  <si>
    <t>IC-11586</t>
  </si>
  <si>
    <t xml:space="preserve">Fact#: 5084 Rec#: 19386 PEÑARANDA VILLALTA JORGE ABRAHAN </t>
  </si>
  <si>
    <t>IC-11587</t>
  </si>
  <si>
    <t xml:space="preserve">Fact#: 365277-367854 Rec#: 19387 TIXE SALAVARRIA FRANCISCA TERESA </t>
  </si>
  <si>
    <t>IC-11588</t>
  </si>
  <si>
    <t xml:space="preserve">Fact#: 5018 Rec#: 19388 GUTIERREZ ALVAREZ TERESA EUGENIA </t>
  </si>
  <si>
    <t>IC-11589</t>
  </si>
  <si>
    <t xml:space="preserve">Fact#: 366709 Rec#: 19389 MERCHAN  PEREZ FABIAN BERNARDINO </t>
  </si>
  <si>
    <t>IC-11590</t>
  </si>
  <si>
    <t xml:space="preserve">Fact#: 365285-367865 Rec#: 19390 OCHOA SUAREZ MARILYN ARACELY </t>
  </si>
  <si>
    <t>IC-11602</t>
  </si>
  <si>
    <t xml:space="preserve">Fact#: 368263 Rec#: 33951 OPENGROUP S.A. </t>
  </si>
  <si>
    <t>IC-11620</t>
  </si>
  <si>
    <t xml:space="preserve">Fact#: 365087-367648 Rec#: 33952 CAMACHO SILVA JAVIER ENRIQUE </t>
  </si>
  <si>
    <t>IC-11621</t>
  </si>
  <si>
    <t xml:space="preserve">Fact#: 362611-365152 Rec#: 33953 AGUILAR TOLEDO MARCELA ALEJANDRA </t>
  </si>
  <si>
    <t>IC-11625</t>
  </si>
  <si>
    <t xml:space="preserve">Fact#: 365977-368602 Rec#: 33954 ORTIZ ARCOS MARCOS RUBEN </t>
  </si>
  <si>
    <t>IC-11627</t>
  </si>
  <si>
    <t xml:space="preserve">Fact#: 367920 Rec#: 33956 SOLANO BAIDAL ISABEL YAJAIRA </t>
  </si>
  <si>
    <t>IC-11630</t>
  </si>
  <si>
    <t xml:space="preserve">Fact#: 365058 Rec#: 33958 SAMAN CERASUOLO CRISTHIAN VICENTE </t>
  </si>
  <si>
    <t>IC-11645</t>
  </si>
  <si>
    <t xml:space="preserve">Fact#: 364401-366974 Rec#: 19391 MINA MONTANO JUVER RUBEN </t>
  </si>
  <si>
    <t>IC-11646</t>
  </si>
  <si>
    <t xml:space="preserve">Fact#: 364320-366895 Rec#: 19392 PENAFIEL TAPIA FRANCISCO MIGUEL </t>
  </si>
  <si>
    <t>IC-11647</t>
  </si>
  <si>
    <t xml:space="preserve">Fact#: 366513 Rec#: 19393 GUSTAVO ALBERTO CASTILLO SALTOS </t>
  </si>
  <si>
    <t>IC-11648</t>
  </si>
  <si>
    <t xml:space="preserve">Fact#: 364300-366874 Rec#: 19394 PENA PAREDES PEDRO PABLO </t>
  </si>
  <si>
    <t>IC-11649</t>
  </si>
  <si>
    <t xml:space="preserve">Fact#: 361155-363712-366300 Rec#: 19395 FREDY JHOVANY VARGAS LEON </t>
  </si>
  <si>
    <t>IC-11650</t>
  </si>
  <si>
    <t xml:space="preserve">Fact#: 363716-366305 Rec#: 19396 GLORIA GABRIELA VARGAS ACUÑA </t>
  </si>
  <si>
    <t>IC-11651</t>
  </si>
  <si>
    <t xml:space="preserve">Fact#: 363627-366216 Rec#: 19397 JENNIFER MARITZA BAJAÑA MERCHAN </t>
  </si>
  <si>
    <t>IC-11652</t>
  </si>
  <si>
    <t xml:space="preserve">Fact#: 332770-335695-338639-341631-345155-347655 Rec#: 19398 BONES CORDOVA GUIDO EDUARDO </t>
  </si>
  <si>
    <t>IC-11653</t>
  </si>
  <si>
    <t xml:space="preserve">Fact#: 368450 Rec#: 19399 SOLIS REYES OMAR MICHAEL </t>
  </si>
  <si>
    <t>IC-11654</t>
  </si>
  <si>
    <t xml:space="preserve">Fact#: 367589 Rec#: 19400 GONZALEZ BARRERA ANABEL NATALI </t>
  </si>
  <si>
    <t>IC-11655</t>
  </si>
  <si>
    <t xml:space="preserve">Fact#: 5013 Rec#: 19401 SALINAS GONZALEZ JAIME PATRICIO </t>
  </si>
  <si>
    <t>IC-11656</t>
  </si>
  <si>
    <t xml:space="preserve">Fact#: 362018-364558-367132 Rec#: 19402 DUQUE ROMERO LENIN EFRAIN </t>
  </si>
  <si>
    <t>IC-11657</t>
  </si>
  <si>
    <t xml:space="preserve">Fact#: 367705 Rec#: 19403 SANCHEZ MENDOZA ANA ADELA </t>
  </si>
  <si>
    <t>IC-11658</t>
  </si>
  <si>
    <t xml:space="preserve">Fact#: 352711-355062-357454 Rec#: 19404 ZAMBRANO RODRIGUEZ JESUS ALBERTO </t>
  </si>
  <si>
    <t>IC-11659</t>
  </si>
  <si>
    <t xml:space="preserve">Fact#: 366088 Rec#: 19405 SANDRA PATRICIA MOREJON LLANOS </t>
  </si>
  <si>
    <t>IC-11660</t>
  </si>
  <si>
    <t xml:space="preserve">Fact#: 368510 Rec#: 33959 SERVICIO DE OFICINA COMPUTARIZADO SEROFICOM S.A. </t>
  </si>
  <si>
    <t>IC-11661</t>
  </si>
  <si>
    <t xml:space="preserve">Fact#: 360948-363506-366099 Rec#: 33960 NELSON SAVITRI  VELASCO PAZMIÑO </t>
  </si>
  <si>
    <t>IC-11662</t>
  </si>
  <si>
    <t xml:space="preserve">Fact#: 368373 Rec#: 33961 R.C.N CONSTRUCIONES S.A </t>
  </si>
  <si>
    <t>IC-11663</t>
  </si>
  <si>
    <t xml:space="preserve">Fact#: 368374 Rec#: 33962 R.C.N CONSTRUCIONES S.A </t>
  </si>
  <si>
    <t>IC-11664</t>
  </si>
  <si>
    <t xml:space="preserve">Fact#: 4959 Rec#: 33963 GUATEMAL COLIMBA JUAN BAUTISTA </t>
  </si>
  <si>
    <t>IC-11665</t>
  </si>
  <si>
    <t xml:space="preserve">Fact#: 362735 Rec#: 33964 VELASQUEZ ALVAREZ JOSSELYNE JOHANNA </t>
  </si>
  <si>
    <t>IC-11666</t>
  </si>
  <si>
    <t xml:space="preserve">Fact#: 367085 Rec#: 33965 VELASQUEZ ALVAREZ JOSSELYNE JOHANNA </t>
  </si>
  <si>
    <t>IC-11682</t>
  </si>
  <si>
    <t xml:space="preserve">Fact#: 362599-365140-367701 Rec#: 33966 SALCEDO MOYA GLENDA VERONICA </t>
  </si>
  <si>
    <t>IC-11683</t>
  </si>
  <si>
    <t xml:space="preserve">Fact#: 366062 Rec#: 33967 OMAR  PALADINES CORDOVA </t>
  </si>
  <si>
    <t>IC-11684</t>
  </si>
  <si>
    <t xml:space="preserve">Fact#: 5159 Rec#: 33968 HERRERA CIFUENTES ESTUARDO WLADIMIR </t>
  </si>
  <si>
    <t>IC-11688</t>
  </si>
  <si>
    <t xml:space="preserve">Fact#: 368437 Rec#: 33969 MARRIOTT S.A  </t>
  </si>
  <si>
    <t>N/D PACIFICO TRANSF. PAGO PLLAS. IESS NORMALES MES DE JULIO 2021, COMP#145902858</t>
  </si>
  <si>
    <t>N/D PACIFICO TRANSF. PAGO PLLAS. IESS FONDOS DE RESERVA MES DE JULIO 2021, COMP#21362751</t>
  </si>
  <si>
    <t>N/D PACIFICO TRANSF. PAGO PLLAS. IESS PREST. QUIROGRAFARIO MES DE JULIO 2021, COMP#35126451</t>
  </si>
  <si>
    <t>N/D PACIFICO TRANSF. PAGO PLLAS. IESS PRESTAMO HIPOTECARIO MES DE JULIO 2021, COMP#11934591</t>
  </si>
  <si>
    <t>N/D PACIFICO TRANSF. PAGO PLLAS. IESS NORMALES MES JULIO 2021, COMP#145903285, A PABLO BAQUERIZO DAVILA</t>
  </si>
  <si>
    <t>N/D PACIFICO TRANSF. CANCELACIÓN DE FACTURA#177930786 CNT EP</t>
  </si>
  <si>
    <t>N/D PACIFICO TRANSF. CANCELACIÓN DE FACTURA#6322481Y FACTURA#5969841 CNEL EP</t>
  </si>
  <si>
    <t>N/D PACIFICO TRANSF. CANCELACIÓN DE FACTURA#6241168 Y FACTURA#5873558 CNEL EP</t>
  </si>
  <si>
    <t>N/D PACIFICO TRANSF. CANCELACIÓN DE FACTURA#6319516 CNEL EP</t>
  </si>
  <si>
    <t>AT-3334</t>
  </si>
  <si>
    <t>CABELLO CHIRIGUAYA DAVID ELIAS ABONA SGTE FACTURA, PAGO WESTERN UNION</t>
  </si>
  <si>
    <t>IC-11689</t>
  </si>
  <si>
    <t xml:space="preserve">Fact#: 368200 Rec#: 33970 SOLUCIONES SEGURAS S.A </t>
  </si>
  <si>
    <t>IC-11698</t>
  </si>
  <si>
    <t xml:space="preserve">Fact#: 365462-368028 Rec#: 33971 ACOSTA PATINO RONNY ADRIAN </t>
  </si>
  <si>
    <t>IC-11700</t>
  </si>
  <si>
    <t>IC-11701</t>
  </si>
  <si>
    <t>Fact#: 368156 Rec#: 33973 ASOC. DE PROPIETARIOS URB. VIA AL SOL</t>
  </si>
  <si>
    <t>IC-11702</t>
  </si>
  <si>
    <t>Fact#: 368288 Rec#: 33974 CHRISTIAN JAVIER MIDEROS ROMERO</t>
  </si>
  <si>
    <t>IC-11703</t>
  </si>
  <si>
    <t>Fact#: 366081 Rec#: 33975 FERNANDO GABRIEL AVILES USCOCOVICH</t>
  </si>
  <si>
    <t>IC-11704</t>
  </si>
  <si>
    <t>Fact#: 364705-367274 Rec#: 33976 MORA REYES JOSE FRANK</t>
  </si>
  <si>
    <t>IC-11705</t>
  </si>
  <si>
    <t>Fact#: 368254 Rec#: 33977 ANEMASA S.A.</t>
  </si>
  <si>
    <t>IC-11706</t>
  </si>
  <si>
    <t>Fact#: 368251 Rec#: 33978 AUTOMERCADO S.A.</t>
  </si>
  <si>
    <t>IC-11707</t>
  </si>
  <si>
    <t>Fact#: 368250 Rec#: 33979 AUTOMERCADO S.A.</t>
  </si>
  <si>
    <t>IC-11708</t>
  </si>
  <si>
    <t>Fact#: 368538 Rec#: 33980 ADMINASES S A</t>
  </si>
  <si>
    <t>IC-11709</t>
  </si>
  <si>
    <t>Fact#: 367050 Rec#: 33981 VELIZ CASTRO RICARDO XAVIER</t>
  </si>
  <si>
    <t>IC-11710</t>
  </si>
  <si>
    <t>Fact#: 366939 Rec#: 33982 MANRIQUE OSORIO XAVIER ENRIQUE</t>
  </si>
  <si>
    <t>IC-11714</t>
  </si>
  <si>
    <t xml:space="preserve">Fact#: 363810-366402 Rec#: 19406 CHRISTIAN RODIAN GONZALEZ ZAMBRANO </t>
  </si>
  <si>
    <t>IC-11715</t>
  </si>
  <si>
    <t xml:space="preserve">Fact#: 366712 Rec#: 19407 PLAZA CHUNGA SILVIA MARIA </t>
  </si>
  <si>
    <t>IC-11716</t>
  </si>
  <si>
    <t xml:space="preserve">Fact#: 5025 Rec#: 19408 ASTUDILLO PIURI DOLORES LUZMILA </t>
  </si>
  <si>
    <t>IC-11717</t>
  </si>
  <si>
    <t xml:space="preserve">Fact#: 367958 Rec#: 19409 ASTUDILLO PIURI DOLORES LUZMILA </t>
  </si>
  <si>
    <t>IC-11718</t>
  </si>
  <si>
    <t xml:space="preserve">Fact#: 366147 Rec#: 19410 ARMANDO ROBERTO  YAGUAL BRITO </t>
  </si>
  <si>
    <t>IC-11719</t>
  </si>
  <si>
    <t xml:space="preserve">Fact#: 364166-366745 Rec#: 19411 ANDRADE ALVARADO NANCY NOEMI </t>
  </si>
  <si>
    <t>IC-11720</t>
  </si>
  <si>
    <t xml:space="preserve">Fact#: 368014 Rec#: 19412 VERA ROJAS PABLO MARCELO </t>
  </si>
  <si>
    <t>IC-11721</t>
  </si>
  <si>
    <t xml:space="preserve">Fact#: 365445-368012 Rec#: 19413 DOMINGUEZ BAREN MARIA ANGELICA </t>
  </si>
  <si>
    <t>IC-11722</t>
  </si>
  <si>
    <t xml:space="preserve">Fact#: 368272 Rec#: 19414 LABORATORIOS RENALABSA S A </t>
  </si>
  <si>
    <t>IC-11723</t>
  </si>
  <si>
    <t xml:space="preserve">Fact#: 367218 Rec#: 19415 ZAVALA TORO CRUZ SISIBEL </t>
  </si>
  <si>
    <t>IC-11724</t>
  </si>
  <si>
    <t xml:space="preserve">Fact#: 366790 Rec#: 19416 CAZAR ERAZO RODRIGO ARTURO </t>
  </si>
  <si>
    <t>IC-11725</t>
  </si>
  <si>
    <t xml:space="preserve">Fact#: 367499 Rec#: 19417 RIZZO BASTIDAS CECILIA ELIZABETH </t>
  </si>
  <si>
    <t>IC-11737</t>
  </si>
  <si>
    <t xml:space="preserve">Fact#: 366037-368630 Rec#: 33985 SERGIO ANDRES SEMMINARIO VALENZUELA </t>
  </si>
  <si>
    <t>IC-13410</t>
  </si>
  <si>
    <t xml:space="preserve">Fact#: 368279 Rec#: 34223 SOLUCIONESVERDES S A </t>
  </si>
  <si>
    <t>AT-3335</t>
  </si>
  <si>
    <t>CRUZ SANTANA MARCOS BOLIVAR CANCELA TELEFONO 023923051 ABONA SGTE FACTURA, PAGO WESTERN UNION</t>
  </si>
  <si>
    <t>IC-11711</t>
  </si>
  <si>
    <t xml:space="preserve">Fact#: 365625 Rec#: 33983 STEVEN MICHAEL RAMOS MEZA </t>
  </si>
  <si>
    <t>IC-11712</t>
  </si>
  <si>
    <t xml:space="preserve">Fact#: 368255 Rec#: 33984 STEVEN MICHAEL RAMOS MEZA </t>
  </si>
  <si>
    <t>IC-11759</t>
  </si>
  <si>
    <t xml:space="preserve">Fact#: 368246 Rec#: 33986 WANHAI LINES ECUADOR S.A. </t>
  </si>
  <si>
    <t>IC-11760</t>
  </si>
  <si>
    <t xml:space="preserve">Fact#: 368507 Rec#: 33987 EMPRESA PUBLICA MUNICIPAL PARA LA GESTIÓN DE LA INNOVACIÓN  Y LA COMPETITIVIDAD, EP </t>
  </si>
  <si>
    <t>IC-11761</t>
  </si>
  <si>
    <t xml:space="preserve">Fact#: 365513-368076 Rec#: 33988 CORREA QUIROZ MAXIMO AURELIO </t>
  </si>
  <si>
    <t>IC-11763</t>
  </si>
  <si>
    <t xml:space="preserve">Fact#: 364513-367088 Rec#: 19418 BRAVO BRIONES JOSE FEDERICO </t>
  </si>
  <si>
    <t>IC-11764</t>
  </si>
  <si>
    <t xml:space="preserve">Fact#: 363493-366086 Rec#: 19419 GRACIELA ELENA CAMACHO COELLO </t>
  </si>
  <si>
    <t>IC-11765</t>
  </si>
  <si>
    <t xml:space="preserve">Fact#: 367106 Rec#: 19420 ROSERO MERCADO ELSA KARINA </t>
  </si>
  <si>
    <t>IC-11766</t>
  </si>
  <si>
    <t xml:space="preserve">Fact#: 363989-366573 Rec#: 19421 EDGAR HERNAN PEREZ MONTERO </t>
  </si>
  <si>
    <t>IC-11767</t>
  </si>
  <si>
    <t xml:space="preserve">Fact#: 361387-363940-366526 Rec#: 19422 JAVIER JOHNNY VALLEJO NUÑEZ </t>
  </si>
  <si>
    <t>IC-11768</t>
  </si>
  <si>
    <t xml:space="preserve">Fact#: 366249 Rec#: 19423 CARLOS GUILLERMO MUÑOZ GUTIERREZ </t>
  </si>
  <si>
    <t>IC-11769</t>
  </si>
  <si>
    <t xml:space="preserve">Fact#: 365267-367842 Rec#: 19424 CUESTA CORTEZ ANTONIO JOSE </t>
  </si>
  <si>
    <t>IC-11770</t>
  </si>
  <si>
    <t xml:space="preserve">Fact#: 366054 Rec#: 19425 MICHELLE LAI YIM LOPEZ CORDOVA </t>
  </si>
  <si>
    <t>IC-11771</t>
  </si>
  <si>
    <t xml:space="preserve">Fact#: 366274 Rec#: 19426 XIMENA DE LOURDES VASQUEZ HINOJOSA </t>
  </si>
  <si>
    <t>IC-11772</t>
  </si>
  <si>
    <t xml:space="preserve">Fact#: 4989 Rec#: 19427 CRUZ JOSE AMABLE </t>
  </si>
  <si>
    <t>IC-11773</t>
  </si>
  <si>
    <t xml:space="preserve">Fact#: 364379-366952 Rec#: 19428 AGUINO ARTEAGA MARIA DE LOURDES </t>
  </si>
  <si>
    <t>IC-11782</t>
  </si>
  <si>
    <t xml:space="preserve">Fact#: 365622-368252 Rec#: 33990 ASESORIA ECONOMICA INTEGRAL ADVFINSERVICES S.A. </t>
  </si>
  <si>
    <t>IC-11787</t>
  </si>
  <si>
    <t xml:space="preserve">Fact#: 366962 Rec#: 33992 SILVA ARMAS MARIA TERESA </t>
  </si>
  <si>
    <t>IC-11788</t>
  </si>
  <si>
    <t xml:space="preserve">Fact#: 366505 Rec#: 33993 RICARDO ARMANDO COLOMA MOLINA </t>
  </si>
  <si>
    <t>IC-11789</t>
  </si>
  <si>
    <t xml:space="preserve">Fact#: 365545-368174 Rec#: 33994 DORCIEN S.A </t>
  </si>
  <si>
    <t>IC-11790</t>
  </si>
  <si>
    <t xml:space="preserve">Fact#: 366119 Rec#: 33995 VICENTE  IMAICELA ROSILLO </t>
  </si>
  <si>
    <t>AT-3336</t>
  </si>
  <si>
    <t>BEATRIZ MARIA DEL CARMEN PACHECO BALLESTEROS ABONA SGTE FACTURA, PAGO WESTERN UNION</t>
  </si>
  <si>
    <t>AT-3337</t>
  </si>
  <si>
    <t>APOLO QUEZADA IVAN RAMIRO ABONA SGTE FACTURA, PAGO WESTERN UNION</t>
  </si>
  <si>
    <t>IC-11774</t>
  </si>
  <si>
    <t xml:space="preserve">Fact#: 368333 Rec#: 33989 CIPORT &amp; TECNAC CIPTE C.L </t>
  </si>
  <si>
    <t>IC-11786</t>
  </si>
  <si>
    <t xml:space="preserve">Fact#: 365077-367638 Rec#: 33991 BATTEN SORIANO CARLOS ARTURO </t>
  </si>
  <si>
    <t>IC-11797</t>
  </si>
  <si>
    <t xml:space="preserve">Fact#: 361519-364074-366658 Rec#: 19429 VERA VELASQUEZ MARIA AUXILIADORA </t>
  </si>
  <si>
    <t>IC-11798</t>
  </si>
  <si>
    <t xml:space="preserve">Fact#: 365369-367945 Rec#: 19430 TORRES YEPEZ MARCELA VIRGINIA </t>
  </si>
  <si>
    <t>IC-11799</t>
  </si>
  <si>
    <t xml:space="preserve">Fact#: 362269-364814-367380 Rec#: 19431 ZAMBRANO RIVERA EDINSON EDGAR </t>
  </si>
  <si>
    <t>IC-11800</t>
  </si>
  <si>
    <t xml:space="preserve">Fact#: 357822-360290 Rec#: 19432 NAVARRETE GUAPI CHRISTIAN PAUL </t>
  </si>
  <si>
    <t>IC-11801</t>
  </si>
  <si>
    <t xml:space="preserve">Fact#: 362527-365070-367631 Rec#: 19433 PARRALES GARCIA BRYAN STEVEN </t>
  </si>
  <si>
    <t>IC-11802</t>
  </si>
  <si>
    <t xml:space="preserve">Fact#: 361595-364149-366729 Rec#: 19434 GOMEZ LOPEZ SAMUEL ELEODORO </t>
  </si>
  <si>
    <t>IC-11803</t>
  </si>
  <si>
    <t xml:space="preserve">Fact#: 366782 Rec#: 19435 CASTRO DORADO MARJORIE LUCIA </t>
  </si>
  <si>
    <t>IC-11804</t>
  </si>
  <si>
    <t xml:space="preserve">Fact#: 366988 Rec#: 19436 ESCANDON DIAZ FRANCISCO DAVID </t>
  </si>
  <si>
    <t>IC-11805</t>
  </si>
  <si>
    <t xml:space="preserve">Fact#: 350775-353106-355520 Rec#: 19437 FREDDY JAVIER SERRANO SANTANA </t>
  </si>
  <si>
    <t>IC-11806</t>
  </si>
  <si>
    <t xml:space="preserve">Fact#: 367829 Rec#: 19438 MACIAS SUAREZ ANA ROSA </t>
  </si>
  <si>
    <t>IC-11807</t>
  </si>
  <si>
    <t xml:space="preserve">Fact#: 364709-367278 Rec#: 19439 VERDUGA CANARTE ANTONIO ZABULON </t>
  </si>
  <si>
    <t>IC-11808</t>
  </si>
  <si>
    <t xml:space="preserve">Fact#: 366290 Rec#: 19440 MARIA DEL ROSARIO GUZMAN MASPONS </t>
  </si>
  <si>
    <t>IC-11809</t>
  </si>
  <si>
    <t xml:space="preserve">Fact#: 351577-353904-356323 Rec#: 19441 DANILO ROMO LEROUX ZUÑIGA </t>
  </si>
  <si>
    <t>IC-11810</t>
  </si>
  <si>
    <t xml:space="preserve">Fact#: 365668 Rec#: 19442 GAMFOOD S.A. </t>
  </si>
  <si>
    <t>IC-11811</t>
  </si>
  <si>
    <t xml:space="preserve">Fact#: 366148 Rec#: 19443 ARCE FLORES NORBERTO </t>
  </si>
  <si>
    <t>IC-11812</t>
  </si>
  <si>
    <t xml:space="preserve">Fact#: 367881 Rec#: 19444 RODRIGUEZ VALVERDE MARGARITA ELIZABETH </t>
  </si>
  <si>
    <t>IC-11813</t>
  </si>
  <si>
    <t xml:space="preserve">Fact#: 367356 Rec#: 19445 RIVERA PINTO RAMONA ELIZABETH </t>
  </si>
  <si>
    <t>IC-11814</t>
  </si>
  <si>
    <t xml:space="preserve">Fact#: 352939-355293-357682 Rec#: 19446 PENAFIEL MORA ALEXANDRA DEL PILAR </t>
  </si>
  <si>
    <t>IC-11815</t>
  </si>
  <si>
    <t xml:space="preserve">Fact#: 367198 Rec#: 19447 CASTRO BARZOLA KEVIN JONATHAN </t>
  </si>
  <si>
    <t>IC-11843</t>
  </si>
  <si>
    <t xml:space="preserve">Fact#: 368175 Rec#: 33996 LG ELECTRONICS PANAMA S.A </t>
  </si>
  <si>
    <t>IC-11953</t>
  </si>
  <si>
    <t xml:space="preserve">Fact#: 365080-367641 Rec#: 34006 GARCIA DROUET ENRIQUE RICARDO </t>
  </si>
  <si>
    <t>IC-11954</t>
  </si>
  <si>
    <t xml:space="preserve">Fact#: 368271 Rec#: 34007 ELECTROMOOM S.A. </t>
  </si>
  <si>
    <t>IC-11955</t>
  </si>
  <si>
    <t xml:space="preserve">Fact#: 367625 Rec#: 34008 ESCALANTE BUSTAMANTE MARIA GABRIELA </t>
  </si>
  <si>
    <t>IC-11956</t>
  </si>
  <si>
    <t xml:space="preserve">Fact#: 368166 Rec#: 34009 ASOCIACION DE PROPIETARIOS III ETAPA LONDRES </t>
  </si>
  <si>
    <t>IC-11957</t>
  </si>
  <si>
    <t xml:space="preserve">Fact#: 324651-327433-330204-333065-335989-338935-341931-345454-347958 Rec#: 34010 ZAMBRANO JAIME MARIA AUXILIADORA </t>
  </si>
  <si>
    <t>IC-11958</t>
  </si>
  <si>
    <t xml:space="preserve">Fact#: 366023 Rec#: 34011 FATIMA LEONOR AGUILAR MURILLO </t>
  </si>
  <si>
    <t>IC-11959</t>
  </si>
  <si>
    <t xml:space="preserve">Fact#: 366364 Rec#: 34012 ALFREDO GEOVANNY SANCHEZ BENAVIDES </t>
  </si>
  <si>
    <t>IC-11960</t>
  </si>
  <si>
    <t xml:space="preserve">Fact#: 367296 Rec#: 34013 ALFREDO GEOVANNY SANCHEZ BENAVIDES </t>
  </si>
  <si>
    <t>IC-11961</t>
  </si>
  <si>
    <t xml:space="preserve">Fact#: 366003 Rec#: 34014 JORGE ALFREDO FRANCO MORAN </t>
  </si>
  <si>
    <t>N/D PACIFICO TRANSF. ROLES DE PAGO 1ERA QUINCENA MES DE AGOSTO 2021</t>
  </si>
  <si>
    <t>N/D PACIFICO TRANSF. PAGO DE FONDOS DE RESERVA MES DE JULIO 2021</t>
  </si>
  <si>
    <t>N/D PACIFICO TRANSF. ANTICIPO A FACTURA MES DE AGOSTO 2021, A PABLO BAQUERIZO</t>
  </si>
  <si>
    <t>N/D PACIFICO TRANSF. CANCELACIÓN DE FACTURA#177930782, #177930783, #177930784, #177930785</t>
  </si>
  <si>
    <t>N/D PACIFICO CANCELACIÓN DE FACTURA#77581789 OTECEL S.A. Y CUOTA 14/24</t>
  </si>
  <si>
    <t>IC-11816</t>
  </si>
  <si>
    <t xml:space="preserve">Fact#: 360691-363236-365830 Rec#: 19448 CABANILLA FUENTES CINDY GABRIELA </t>
  </si>
  <si>
    <t>IC-11817</t>
  </si>
  <si>
    <t xml:space="preserve">Fact#: 367898 Rec#: 19449 CONTRERAS RODRIGUEZ EUBENIA MARIETA </t>
  </si>
  <si>
    <t>IC-11818</t>
  </si>
  <si>
    <t xml:space="preserve">Fact#: 365522-368087 Rec#: 19450 LOOR PERERO MARIANA MARLENE </t>
  </si>
  <si>
    <t>IC-11819</t>
  </si>
  <si>
    <t xml:space="preserve">Fact#: 367479 Rec#: 19451 JIMENEZ OCHOA LUIS ENRIQUE </t>
  </si>
  <si>
    <t>IC-11820</t>
  </si>
  <si>
    <t xml:space="preserve">Fact#: 364998-367561 Rec#: 19452 GUAMAN TUPIZA MANUEL FRANCISCO </t>
  </si>
  <si>
    <t>IC-11821</t>
  </si>
  <si>
    <t xml:space="preserve">Fact#: 367347 Rec#: 19453 AGUAYO SOLORZANO JOEL GEOVANNY </t>
  </si>
  <si>
    <t>IC-11822</t>
  </si>
  <si>
    <t xml:space="preserve">Fact#: 364151-366731 Rec#: 19454 BARBERAN BRIONES JOSE JULIAN  </t>
  </si>
  <si>
    <t>IC-11823</t>
  </si>
  <si>
    <t xml:space="preserve">Fact#: 4747-4984 Rec#: 19455 TORRES MOPOSITA ELIANA ESTEFANIA </t>
  </si>
  <si>
    <t>IC-11824</t>
  </si>
  <si>
    <t xml:space="preserve">Fact#: 366889 Rec#: 19456 SIMISTERRA MICOLTA RUBEN DARIO </t>
  </si>
  <si>
    <t>IC-11825</t>
  </si>
  <si>
    <t xml:space="preserve">Fact#: 359294-361818-364371 Rec#: 19457 RUIZ JORDAN TERESA DE JESUS </t>
  </si>
  <si>
    <t>IC-11826</t>
  </si>
  <si>
    <t xml:space="preserve">Fact#: 367164 Rec#: 19458 INFANTE MINDIOLA JULIA MARLENE </t>
  </si>
  <si>
    <t>IC-11827</t>
  </si>
  <si>
    <t xml:space="preserve">Fact#: 367832 Rec#: 19459 BAQUE VILLALVA MAXIMO ABELARDO </t>
  </si>
  <si>
    <t>IC-11828</t>
  </si>
  <si>
    <t xml:space="preserve">Fact#: 361303-363859-366451 Rec#: 19460 JUAN CARLOS ARROYO FASSIO </t>
  </si>
  <si>
    <t>IC-11829</t>
  </si>
  <si>
    <t xml:space="preserve">Fact#: 364391-366964 Rec#: 19461 ALVARADO HOLGUIN HENRRY EDUARDO </t>
  </si>
  <si>
    <t>IC-11998</t>
  </si>
  <si>
    <t xml:space="preserve">Fact#: 4999 Rec#: 34018 ZAPATA FLORES GILMAR FABRICIO </t>
  </si>
  <si>
    <t>AT-3338</t>
  </si>
  <si>
    <t>SANGUNA RON TANIA GRICELDA ABONA SGTE FACTURA, PAGO WESTERN UNION</t>
  </si>
  <si>
    <t>AT-3339</t>
  </si>
  <si>
    <t>DAYANNA ANABELL BAQUERIZO AQUINO ABONA SGTE FACTURA, PAGO WESTERN UNION</t>
  </si>
  <si>
    <t>AT-3340</t>
  </si>
  <si>
    <t>AT-3341</t>
  </si>
  <si>
    <t>DE LUCCA MEJIA ROSA ELVIRA ABONA SGTE FACTURA, PAGO WESTERN UNION</t>
  </si>
  <si>
    <t>IC-11844</t>
  </si>
  <si>
    <t xml:space="preserve">Fact#: 791-792 Rec#: 33997 F.V - AREA ANDINA S.A. </t>
  </si>
  <si>
    <t>IC-11854</t>
  </si>
  <si>
    <t xml:space="preserve">Fact#: 366001 Rec#: 33998 KATHERINE MALENA CHILUIZA GARCIA </t>
  </si>
  <si>
    <t>IC-11899</t>
  </si>
  <si>
    <t xml:space="preserve">Fact#: 364304-366878 Rec#: 19462 ZHICAY CARRILLO FRANKLIN GEOVANNY </t>
  </si>
  <si>
    <t>IC-11900</t>
  </si>
  <si>
    <t xml:space="preserve">Fact#: 5011 Rec#: 19463 ZABALA BARRIONUEVO RITA CECILIA </t>
  </si>
  <si>
    <t>IC-11901</t>
  </si>
  <si>
    <t xml:space="preserve">Fact#: 366439 Rec#: 19464 TEODOMIRO MAYO </t>
  </si>
  <si>
    <t>IC-11902</t>
  </si>
  <si>
    <t xml:space="preserve">Fact#: 367003 Rec#: 19465 SALAZAR TELLO NICOLAS EDUARDO </t>
  </si>
  <si>
    <t>IC-11903</t>
  </si>
  <si>
    <t xml:space="preserve">Fact#: 367737 Rec#: 19466 ANDRADE RIVERA RAFAEL ALBERTO </t>
  </si>
  <si>
    <t>IC-11904</t>
  </si>
  <si>
    <t xml:space="preserve">Fact#: 367487 Rec#: 19467 MONTEALEGRE PEDRO JOAQUIN </t>
  </si>
  <si>
    <t>IC-11905</t>
  </si>
  <si>
    <t xml:space="preserve">Fact#: 364499-367072 Rec#: 19468 BORJA MESIAS SEGUNDO ALFREDO </t>
  </si>
  <si>
    <t>IC-11906</t>
  </si>
  <si>
    <t xml:space="preserve">Fact#: 368056 Rec#: 19469 MATA SEGURA BERNARDO FRANCISCO </t>
  </si>
  <si>
    <t>IC-11907</t>
  </si>
  <si>
    <t xml:space="preserve">Fact#: 365296-367877 Rec#: 19470 FERNANDEZ ORMAZA MONICA JOHAIRA </t>
  </si>
  <si>
    <t>IC-11908</t>
  </si>
  <si>
    <t xml:space="preserve">Fact#: 366013 Rec#: 19471 EDDA GLADYS PARRALES GOMEZ </t>
  </si>
  <si>
    <t>IC-11909</t>
  </si>
  <si>
    <t xml:space="preserve">Fact#: 368115 Rec#: 19472 GRIJALVA BARAHONA ELOY ALBERTO </t>
  </si>
  <si>
    <t>IC-11910</t>
  </si>
  <si>
    <t xml:space="preserve">Fact#: 367919 Rec#: 19473 FLORES CORTEZ KETTY BEATRIZ </t>
  </si>
  <si>
    <t>IC-11911</t>
  </si>
  <si>
    <t xml:space="preserve">Fact#: 368025 Rec#: 19474 CEDENO PINCAY JOSE MANUEL </t>
  </si>
  <si>
    <t>IC-11912</t>
  </si>
  <si>
    <t xml:space="preserve">Fact#: 364106-366689 Rec#: 19475 QUIÑONEZ SIMISTERRA CARLOS EFREN </t>
  </si>
  <si>
    <t>IC-11913</t>
  </si>
  <si>
    <t xml:space="preserve">Fact#: 367231 Rec#: 19476 CORTEZ CANTOS  PEDRO PABLO  </t>
  </si>
  <si>
    <t>IC-11914</t>
  </si>
  <si>
    <t xml:space="preserve">Fact#: 366115 Rec#: 19477 HAYDEE GANDIOSA  FALUGIANI MORA </t>
  </si>
  <si>
    <t>IC-11915</t>
  </si>
  <si>
    <t xml:space="preserve">Fact#: 364221-366795 Rec#: 19478 RAMIREZ RUIZ MILTON EMILIO </t>
  </si>
  <si>
    <t>IC-11943</t>
  </si>
  <si>
    <t xml:space="preserve">Fact#: 365393-367964 Rec#: 33999 CARVAJAL PILCO CARLOS LUIS </t>
  </si>
  <si>
    <t>IC-11947</t>
  </si>
  <si>
    <t xml:space="preserve">Fact#: 368364 Rec#: 34000 DELGADO VINTIMILLA CARLOS FERNANDO </t>
  </si>
  <si>
    <t>IC-11948</t>
  </si>
  <si>
    <t xml:space="preserve">Fact#: 363175-365769-368399 Rec#: 34001 SERVICIO &amp; MANTENIMIENTO INDUSTRIAL MANSEINSAJAB S.A </t>
  </si>
  <si>
    <t>IC-11949</t>
  </si>
  <si>
    <t xml:space="preserve">Fact#: 366535 Rec#: 34002 XAVIER ALFREDO ZANABRIA VILLAMAR </t>
  </si>
  <si>
    <t>IC-11950</t>
  </si>
  <si>
    <t xml:space="preserve">Fact#: 365870-368496 Rec#: 34003 PASEABORDO S.A  </t>
  </si>
  <si>
    <t>IC-11999</t>
  </si>
  <si>
    <t xml:space="preserve">Fact#: 366856 Rec#: 34019 PAZMINO PRIETO SIXTO JAVIER </t>
  </si>
  <si>
    <t>AT-3342</t>
  </si>
  <si>
    <t>PANCHANA GONZALEZ GLADYS HAIDEE ABONA SGTE FACTURA, PAGO WESTERN UNION</t>
  </si>
  <si>
    <t>AT-3343</t>
  </si>
  <si>
    <t>CAROLA MISHEL ABISAAB MEDINA ABONA SGTE FACTURA, PAGO WESTERN UNION</t>
  </si>
  <si>
    <t>IC-11916</t>
  </si>
  <si>
    <t xml:space="preserve">Fact#: 364021-366604 Rec#: 19479 ALEXANDRE FABIAN MARTINEZ CARRION </t>
  </si>
  <si>
    <t>IC-11917</t>
  </si>
  <si>
    <t xml:space="preserve">Fact#: 368137 Rec#: 19480 PANGAY BUSTAMANTE BRYAN GONZALO </t>
  </si>
  <si>
    <t>IC-11918</t>
  </si>
  <si>
    <t xml:space="preserve">Fact#: 365524-368089 Rec#: 19481 QUIÑONEZ PINARGOTE FRANKLIN HIPOLITO </t>
  </si>
  <si>
    <t>IC-11919</t>
  </si>
  <si>
    <t xml:space="preserve">Fact#: 366429 Rec#: 19482 DELFIN NESTOR CALDERON GARCIA </t>
  </si>
  <si>
    <t>IC-11920</t>
  </si>
  <si>
    <t xml:space="preserve">Fact#: 366884 Rec#: 19483 ROMERO LOPEZ ANDRES ROBERTO </t>
  </si>
  <si>
    <t>IC-11921</t>
  </si>
  <si>
    <t xml:space="preserve">Fact#: 364015-366599 Rec#: 19484 JORGE ALBERTO NORERO SANTOS </t>
  </si>
  <si>
    <t>IC-11922</t>
  </si>
  <si>
    <t xml:space="preserve">Fact#: 364445-367016 Rec#: 19485 GONZALEZ PENA WRLEY ARNULFO </t>
  </si>
  <si>
    <t>IC-11923</t>
  </si>
  <si>
    <t xml:space="preserve">Fact#: 367993 Rec#: 19486 MARTINEZ RAMOS CARLOS ANTONIO </t>
  </si>
  <si>
    <t>IC-11924</t>
  </si>
  <si>
    <t xml:space="preserve">Fact#: 364586-367158 Rec#: 19487 GAMEZ CUELLAR PEDRO NASARIO </t>
  </si>
  <si>
    <t>IC-11925</t>
  </si>
  <si>
    <t xml:space="preserve">Fact#: 367340 Rec#: 19488 CERCADO MENDOZA MARIA AUXILIADORA </t>
  </si>
  <si>
    <t>IC-11926</t>
  </si>
  <si>
    <t xml:space="preserve">Fact#: 361675-364229-366803 Rec#: 19489 GONZALEZ RENDON MARCOS DANIEL </t>
  </si>
  <si>
    <t>IC-11927</t>
  </si>
  <si>
    <t xml:space="preserve">Fact#: 367901 Rec#: 19490 BRAVO VILLAMAR JOHNNY VICENTE </t>
  </si>
  <si>
    <t>IC-11951</t>
  </si>
  <si>
    <t xml:space="preserve">Fact#: 365204-367767 Rec#: 34004 SOLEDISPA CHIPRE SANDRA GISELA </t>
  </si>
  <si>
    <t>IC-11952</t>
  </si>
  <si>
    <t xml:space="preserve">Fact#: 363762-366353 Rec#: 34005 FEDERICO GUILLERMO VARAS CHIQUITO </t>
  </si>
  <si>
    <t>IC-11962</t>
  </si>
  <si>
    <t xml:space="preserve">Fact#: 366865 Rec#: 19491 ORTIZ ACOSTA HERNAN GONZALO </t>
  </si>
  <si>
    <t>IC-11963</t>
  </si>
  <si>
    <t xml:space="preserve">Fact#: 367006 Rec#: 19492 CEDENO VILLAVICENCIO ROBERTO ANTONIO </t>
  </si>
  <si>
    <t>AT-3344</t>
  </si>
  <si>
    <t>MORENO TELLO CELI DURINDANA ABONA SGTE FACTURA, PAGO WESTERN UNION</t>
  </si>
  <si>
    <t>IC-11972</t>
  </si>
  <si>
    <t xml:space="preserve">Fact#: 367904 Rec#: 19493 MEZA ANDRADE PAUL EDUARDO </t>
  </si>
  <si>
    <t>IC-11973</t>
  </si>
  <si>
    <t xml:space="preserve">Fact#: 366722 Rec#: 19494 GAVINO LARREATEGUI  JUAN ALFREDO  </t>
  </si>
  <si>
    <t>IC-11974</t>
  </si>
  <si>
    <t xml:space="preserve">Fact#: 367652 Rec#: 19495 MEJIA LEMA WILSON ALEXANDER </t>
  </si>
  <si>
    <t>IC-11975</t>
  </si>
  <si>
    <t xml:space="preserve">Fact#: 366285 Rec#: 19496 CARLOS IVAN AGUIRRE GARCIA </t>
  </si>
  <si>
    <t>IC-11976</t>
  </si>
  <si>
    <t xml:space="preserve">Fact#: 364352-366925 Rec#: 19497 BUENAVENTURA RODRIGUEZ MARIA DEL CARMEN </t>
  </si>
  <si>
    <t>IC-11977</t>
  </si>
  <si>
    <t xml:space="preserve">Fact#: 362235-364780-367344 Rec#: 19498 CHOEZ BRAVO JOSE ANTONIO </t>
  </si>
  <si>
    <t>IC-11978</t>
  </si>
  <si>
    <t xml:space="preserve">Fact#: 364528-367102 Rec#: 19499 TOBAR MOROCHO JOSE AUGUSTO </t>
  </si>
  <si>
    <t>IC-11979</t>
  </si>
  <si>
    <t xml:space="preserve">Fact#: 366349 Rec#: 19500 MARIA ELIZABETH SANTOS MACIAS </t>
  </si>
  <si>
    <t>IC-11980</t>
  </si>
  <si>
    <t xml:space="preserve">Fact#: 366615 Rec#: 19501 MERO MANTUANO DARWIN IVAN </t>
  </si>
  <si>
    <t>IC-11981</t>
  </si>
  <si>
    <t xml:space="preserve">Fact#: 366629 Rec#: 19502 GONZALEZ MELLA CRISTIAN ALEJANDRO </t>
  </si>
  <si>
    <t>IC-11982</t>
  </si>
  <si>
    <t xml:space="preserve">Fact#: 4964 Rec#: 19503 GARCIA RAMOS JOSE RIGOBERTO </t>
  </si>
  <si>
    <t>IC-11983</t>
  </si>
  <si>
    <t xml:space="preserve">Fact#: 4963 Rec#: 19504 GARCIA RAMOS JOSE RIGOBERTO </t>
  </si>
  <si>
    <t>IC-11984</t>
  </si>
  <si>
    <t xml:space="preserve">Fact#: 358119-360655-363198 Rec#: 19505 BLOISE CORTAZAR LUIGI BRUNO </t>
  </si>
  <si>
    <t>IC-11985</t>
  </si>
  <si>
    <t xml:space="preserve">Fact#: 367151 Rec#: 19506 ROVELLO VALENCIA JOSE ROMAN </t>
  </si>
  <si>
    <t>IC-11986</t>
  </si>
  <si>
    <t xml:space="preserve">Fact#: 366428 Rec#: 19507 CESAR ORLANDO VALLEJO VERA </t>
  </si>
  <si>
    <t>IC-11987</t>
  </si>
  <si>
    <t xml:space="preserve">Fact#: 364119-366701 Rec#: 19508 REINA SALAZAR JOSE DIEGO  </t>
  </si>
  <si>
    <t>IC-11988</t>
  </si>
  <si>
    <t xml:space="preserve">Fact#: 364115-366697 Rec#: 19509 REINA SALAZAR JOSE DIEGO  </t>
  </si>
  <si>
    <t>IC-11989</t>
  </si>
  <si>
    <t xml:space="preserve">Fact#: 364920-367485 Rec#: 19510 LLERAS EVARISTO RAFAEL GUSTAVO </t>
  </si>
  <si>
    <t>IC-11990</t>
  </si>
  <si>
    <t xml:space="preserve">Fact#: 367985 Rec#: 34015 SAN ANDRES HERNANDEZ JAIME EDUARDO </t>
  </si>
  <si>
    <t>IC-11991</t>
  </si>
  <si>
    <t xml:space="preserve">Fact#: 365491-368058 Rec#: 34016 PRADA UZCATEGUI JUAN ORLANDO </t>
  </si>
  <si>
    <t>IC-11992</t>
  </si>
  <si>
    <t xml:space="preserve">Fact#: 355488-357954-360492 Rec#: 34017 RAIKKONEN S.A. </t>
  </si>
  <si>
    <t>PAGO TARJ. CORP. CUOTA MES DE AGO-2021</t>
  </si>
  <si>
    <t>AT-3345</t>
  </si>
  <si>
    <t>PINCAY RUIZ VICENTA MARLENE ABONA SGTE FACTURA, PAGO WESTERN UNION</t>
  </si>
  <si>
    <t>AT-3346</t>
  </si>
  <si>
    <t>RIVADENEIRA SACON GRACE ALEXANDRA ABONA SGTE FACTURA, PAGO WESTERN UNION</t>
  </si>
  <si>
    <t>IC-12012</t>
  </si>
  <si>
    <t xml:space="preserve">Fact#: 358789-361313-363869 Rec#: 19511 PEDRO JAVIER BAQUERIZO SUAREZ </t>
  </si>
  <si>
    <t>IC-12013</t>
  </si>
  <si>
    <t xml:space="preserve">Fact#: 367123 Rec#: 19512 SANCHEZ QUINCHUELA INES MONICA </t>
  </si>
  <si>
    <t>IC-12014</t>
  </si>
  <si>
    <t xml:space="preserve">Fact#: 367788 Rec#: 19513 ROSARIO GRANDA SANDRA KARINA </t>
  </si>
  <si>
    <t>IC-12015</t>
  </si>
  <si>
    <t xml:space="preserve">Fact#: 364450-367021 Rec#: 19514 BERMELLO PONCE SALBADOR ATILIO </t>
  </si>
  <si>
    <t>IC-12016</t>
  </si>
  <si>
    <t xml:space="preserve">Fact#: 366965 Rec#: 19515 GUERRERO CRESPIN JULIO ENRIQUE </t>
  </si>
  <si>
    <t>IC-12017</t>
  </si>
  <si>
    <t xml:space="preserve">Fact#: 367809 Rec#: 19516 HOLGUIN ESPINOZA TOMAS  </t>
  </si>
  <si>
    <t>IC-12018</t>
  </si>
  <si>
    <t xml:space="preserve">Fact#: 367511 Rec#: 19517 ZAPATA ROMERO ROBERTO DRUVAL </t>
  </si>
  <si>
    <t>IC-12019</t>
  </si>
  <si>
    <t xml:space="preserve">Fact#: 365275-367852 Rec#: 19518 MORANTE AVILA CESAR HIPOLITO </t>
  </si>
  <si>
    <t>IC-12020</t>
  </si>
  <si>
    <t xml:space="preserve">Fact#: 334613-337551-340543-344069 Rec#: 19519 JAZMIN ESMERALDAS GONZALEZ RON </t>
  </si>
  <si>
    <t>IC-12021</t>
  </si>
  <si>
    <t xml:space="preserve">Fact#: 366664 Rec#: 19520 RUIZ VELEZ LIBIA KARINA </t>
  </si>
  <si>
    <t>IC-12022</t>
  </si>
  <si>
    <t xml:space="preserve">Fact#: 367376 Rec#: 19521 SANTANA MORENO SAUL AUGUSTO </t>
  </si>
  <si>
    <t>IC-12023</t>
  </si>
  <si>
    <t xml:space="preserve">Fact#: 364665-367236 Rec#: 19522 RONALD DAVID CONTRERAS POTES </t>
  </si>
  <si>
    <t>IC-12024</t>
  </si>
  <si>
    <t xml:space="preserve">Fact#: 366070 Rec#: 34020 GLORIA ISABEL MITE LEON </t>
  </si>
  <si>
    <t>IC-12031</t>
  </si>
  <si>
    <t xml:space="preserve">Fact#: 368348 Rec#: 34021 FERRUX S.A. </t>
  </si>
  <si>
    <t>AT-3348</t>
  </si>
  <si>
    <t>JACKELINE LUCIA LOOR ORTEGA ABONA SGTE FACTURA, PAGO WESTERN UNION</t>
  </si>
  <si>
    <t>AT-3349</t>
  </si>
  <si>
    <t>NERY LILIANA OCHOA BAQUE ABONA SGTE FACTURA, PAGO WESTERN UNION</t>
  </si>
  <si>
    <t>AT-3350</t>
  </si>
  <si>
    <t>VASQUEZ DORA JUAN JOSE ABONA SGTE FACTURA, PAGO WESTEN UNION</t>
  </si>
  <si>
    <t>AT-3351</t>
  </si>
  <si>
    <t>SANCHEZ CONSTANTE RICHARD ALBERTO ABONA SGTE FACTYURA, PAGO WESTERN UNION</t>
  </si>
  <si>
    <t>HERNANDEZ MARIA ISABEL ABONA SGTE FACTURA, PAGO WESTEN UNION</t>
  </si>
  <si>
    <t>IC-12050</t>
  </si>
  <si>
    <t xml:space="preserve">Fact#: 368064 Rec#: 19523 GUAICHA PINCAY DANIEL AUGUSTO </t>
  </si>
  <si>
    <t>IC-12051</t>
  </si>
  <si>
    <t xml:space="preserve">Fact#: 367289 Rec#: 19524 FRANCO RODRIGUEZ FEDERICO ENRIQUE </t>
  </si>
  <si>
    <t>IC-12052</t>
  </si>
  <si>
    <t xml:space="preserve">Fact#: 368576 Rec#: 19525 GREENCORP SUPPLIES AND GRESURESA S.A  </t>
  </si>
  <si>
    <t>IC-12053</t>
  </si>
  <si>
    <t xml:space="preserve">Fact#: 365415-367984 Rec#: 19526 COSTA SOSA MARIA VALERIA </t>
  </si>
  <si>
    <t>IC-12054</t>
  </si>
  <si>
    <t xml:space="preserve">Fact#: 367903 Rec#: 19527 FALQUEZ SALAVARRIA PATRICIA AZUCENA </t>
  </si>
  <si>
    <t>IC-12055</t>
  </si>
  <si>
    <t xml:space="preserve">Fact#: 363705-366293 Rec#: 19528 JUAN CARLOS SANCHEZ AGUAS </t>
  </si>
  <si>
    <t>IC-12056</t>
  </si>
  <si>
    <t xml:space="preserve">Fact#: 361719-364271-366846 Rec#: 19529 ROMERO VERA MARIANA DE LAS MERCEDES </t>
  </si>
  <si>
    <t>IC-12057</t>
  </si>
  <si>
    <t xml:space="preserve">Fact#: 366132 Rec#: 19530 ROSA MARGARITA  BARRIGA CANTOS </t>
  </si>
  <si>
    <t>IC-12058</t>
  </si>
  <si>
    <t xml:space="preserve">Fact#: 367856 Rec#: 19531 HIDALGO CAICEDO JOHANNA ELIZABETH </t>
  </si>
  <si>
    <t>IC-12059</t>
  </si>
  <si>
    <t xml:space="preserve">Fact#: 364554-367128 Rec#: 19532 MUNIZ MARTINEZ CARMEN ALEJA </t>
  </si>
  <si>
    <t>IC-12060</t>
  </si>
  <si>
    <t xml:space="preserve">Fact#: 366859 Rec#: 19533 VALLEJO MARTINEZ LEIDIZ DIANA </t>
  </si>
  <si>
    <t>IC-12063</t>
  </si>
  <si>
    <t xml:space="preserve">Fact#: 363467-366061 Rec#: 34022 MARIA GABRIELA TERAN SEVILLA </t>
  </si>
  <si>
    <t>IC-12064</t>
  </si>
  <si>
    <t xml:space="preserve">Fact#: 366662 Rec#: 34023 QUINTO BAZAN JOHNN HENRY </t>
  </si>
  <si>
    <t>IC-12065</t>
  </si>
  <si>
    <t xml:space="preserve">Fact#: 367657 Rec#: 34024 ESPINOSA RAMIREZ RAUL </t>
  </si>
  <si>
    <t>IC-12066</t>
  </si>
  <si>
    <t xml:space="preserve">Fact#: 368502 Rec#: 34025 INDUSTRIAL JUVENALIS S.A.  </t>
  </si>
  <si>
    <t>IC-12067</t>
  </si>
  <si>
    <t xml:space="preserve">Fact#: 366628 Rec#: 34026 YAGUAL GOMEZ JOHAN ALEJANDRO </t>
  </si>
  <si>
    <t>IC-12073</t>
  </si>
  <si>
    <t xml:space="preserve">Fact#: 368408-368424-368425-368426 Rec#: 34027 RUIZ ROMAN ROMMEL ELIAS </t>
  </si>
  <si>
    <t>IC-12074</t>
  </si>
  <si>
    <t xml:space="preserve">Fact#: 367714 Rec#: 34028 CAMPOSANO VACA GLENDA MARJORIE </t>
  </si>
  <si>
    <t>IC-12090</t>
  </si>
  <si>
    <t xml:space="preserve">Fact#: 362583-365125-367685 Rec#: 34031 FIGUEROA VINCES JOSE ALFREDO </t>
  </si>
  <si>
    <t>IC-13055</t>
  </si>
  <si>
    <t>Fact#: 364195 Rec#: 34177 MACIAS PERUGACHI OSCAR ROLANDO</t>
  </si>
  <si>
    <t>IC-12061</t>
  </si>
  <si>
    <t xml:space="preserve">Fact#: 354116-356526-359001 Rec#: 19534 FLORES LAVAYEN HECTOR GIOVANNY </t>
  </si>
  <si>
    <t>IC-12062</t>
  </si>
  <si>
    <t xml:space="preserve">Fact#: 346772-349235-351424 Rec#: 19535 ANGEL JULIO GANAN OROZCO </t>
  </si>
  <si>
    <t>IC-12089</t>
  </si>
  <si>
    <t xml:space="preserve">Fact#: 365934-368560 Rec#: 34030 PALMA MACIAS RONALD GABRIEL </t>
  </si>
  <si>
    <t>IC-12093</t>
  </si>
  <si>
    <t xml:space="preserve">Fact#: 365955-368582 Rec#: 34032 CIA LTDA FULLCOSTEC </t>
  </si>
  <si>
    <t>IC-12094</t>
  </si>
  <si>
    <t xml:space="preserve">Fact#: 366058 Rec#: 34033 LAURO DAVID TORRES CARRILLO </t>
  </si>
  <si>
    <t>IC-12095</t>
  </si>
  <si>
    <t xml:space="preserve">Fact#: 366121 Rec#: 34034 TANNIA ELIZABETH  CARRERA CALDERON </t>
  </si>
  <si>
    <t>IC-12096</t>
  </si>
  <si>
    <t xml:space="preserve">Fact#: 366095 Rec#: 34035 HUGO ANTONIO SALMERON ACOSTA </t>
  </si>
  <si>
    <t>IC-12097</t>
  </si>
  <si>
    <t xml:space="preserve">Fact#: 364055-366638 Rec#: 34036 IBAÑEZ VASCONES MARIA CECILIA </t>
  </si>
  <si>
    <t>IC-12101</t>
  </si>
  <si>
    <t xml:space="preserve">Fact#: 363349-365937-368563 Rec#: 34037 NEIRA FERNANDEZ CHRISTIAN JAVIER </t>
  </si>
  <si>
    <t>IC-12102</t>
  </si>
  <si>
    <t xml:space="preserve">Fact#: 366283-368929 Rec#: 34038 GIOMAR PAOLA CHOEZ CATUTO </t>
  </si>
  <si>
    <t>IC-12106</t>
  </si>
  <si>
    <t xml:space="preserve">Fact#: 369038 Rec#: 34039 ENRIQUE FEDERICO ARENAS PILATAXI </t>
  </si>
  <si>
    <t>IC-12114</t>
  </si>
  <si>
    <t xml:space="preserve">Fact#: 368867 Rec#: 34040 MARIA CRISTINA LOAIZA BREVI </t>
  </si>
  <si>
    <t>IC-12115</t>
  </si>
  <si>
    <t xml:space="preserve">Fact#: 369205 Rec#: 34041 MEIBOL CRUZ VELEZ SANCHEZ </t>
  </si>
  <si>
    <t>IC-12119</t>
  </si>
  <si>
    <t xml:space="preserve">Fact#: 363749-366339-368986 Rec#: 19536 CARLA MARIA GARCIA ANDRADE </t>
  </si>
  <si>
    <t>IC-12120</t>
  </si>
  <si>
    <t xml:space="preserve">Fact#: 353812-356235-358717 Rec#: 19537 CARLOS EDUARDO CARVAJAL LOOR </t>
  </si>
  <si>
    <t>IC-12121</t>
  </si>
  <si>
    <t xml:space="preserve">Fact#: 362409-364953-367517 Rec#: 19538 LINDAO CEDENO KATHERIN LIZBETH </t>
  </si>
  <si>
    <t>IC-12122</t>
  </si>
  <si>
    <t xml:space="preserve">Fact#: 370426 Rec#: 19539 LINO VILLEGAS ANGEL ALFONSO </t>
  </si>
  <si>
    <t>IC-12123</t>
  </si>
  <si>
    <t xml:space="preserve">Fact#: 368872 Rec#: 19540 CESAR AUGUSTO BAQUERIZO AROSEMENA </t>
  </si>
  <si>
    <t>IC-12124</t>
  </si>
  <si>
    <t xml:space="preserve">Fact#: 368273 Rec#: 19541 FILUS S.A </t>
  </si>
  <si>
    <t>IC-12125</t>
  </si>
  <si>
    <t xml:space="preserve">Fact#: 368274 Rec#: 19542 FILUS S.A </t>
  </si>
  <si>
    <t>IC-12126</t>
  </si>
  <si>
    <t xml:space="preserve">Fact#: 367362-369978 Rec#: 19543 VELEZ MACIAS  KATHERINE ANGELINE  </t>
  </si>
  <si>
    <t>IC-12127</t>
  </si>
  <si>
    <t xml:space="preserve">Fact#: 368500 Rec#: 19544 FERNANDEZ CEVALLOS S.A FERCEVSA  </t>
  </si>
  <si>
    <t>IC-12128</t>
  </si>
  <si>
    <t xml:space="preserve">Fact#: 368499 Rec#: 19545 FERNANDEZ CEVALLOS S.A FERCEVSA  </t>
  </si>
  <si>
    <t>IC-12129</t>
  </si>
  <si>
    <t xml:space="preserve">Fact#: 361974-364518-367093 Rec#: 19546 MORENO GOMEZ DUQUE ALFREDO </t>
  </si>
  <si>
    <t>IC-12130</t>
  </si>
  <si>
    <t xml:space="preserve">Fact#: 361967-364511-367086 Rec#: 19547 MORENO GOMEZ DUQUE ALFREDO </t>
  </si>
  <si>
    <t>IC-12131</t>
  </si>
  <si>
    <t xml:space="preserve">Fact#: 368716 Rec#: 19548 EDDY MANUEL CHAVEZ CEDEÑO </t>
  </si>
  <si>
    <t>IC-12132</t>
  </si>
  <si>
    <t xml:space="preserve">Fact#: 366369-369012 Rec#: 19549 LUIS GALO IDROBO ACEBO </t>
  </si>
  <si>
    <t>IC-12133</t>
  </si>
  <si>
    <t xml:space="preserve">Fact#: 366927-369556 Rec#: 19550 CRISPIN ALTAMIRANO  MONICA ELIZABETH </t>
  </si>
  <si>
    <t>IC-12134</t>
  </si>
  <si>
    <t xml:space="preserve">Fact#: 366791-369425 Rec#: 19551 FLORES MARTINEZ RAQUEL VERONICA </t>
  </si>
  <si>
    <t>IC-12135</t>
  </si>
  <si>
    <t xml:space="preserve">Fact#: 368506 Rec#: 19552 SEGURIDAD &amp; PROTECCION TECNICA SEPROTECSECURITY CIA. LTDA.  </t>
  </si>
  <si>
    <t>IC-12136</t>
  </si>
  <si>
    <t xml:space="preserve">Fact#: 357460-359928-362444 Rec#: 19553 MEZA PIN YESSICA PAOLA </t>
  </si>
  <si>
    <t>IC-12137</t>
  </si>
  <si>
    <t xml:space="preserve">Fact#: 366833-369466 Rec#: 19554 ESPINOZA ZUNIGA ISABEL MARIA </t>
  </si>
  <si>
    <t>IC-12138</t>
  </si>
  <si>
    <t xml:space="preserve">Fact#: 366737-369373 Rec#: 19555 MIGUEZ ACOSTA WILLIAM GERMAN </t>
  </si>
  <si>
    <t>IC-12139</t>
  </si>
  <si>
    <t xml:space="preserve">Fact#: 364724-367292-369908 Rec#: 19556 MENDEZ CARABALI FREDDY MANUEL </t>
  </si>
  <si>
    <t>IC-12143</t>
  </si>
  <si>
    <t xml:space="preserve">Fact#: 368709 Rec#: 34042 OMAR  PALADINES CORDOVA </t>
  </si>
  <si>
    <t>IC-12146</t>
  </si>
  <si>
    <t xml:space="preserve">Fact#: 368535 Rec#: 34043 REPROLIMIT CIA.LTDA  </t>
  </si>
  <si>
    <t>IC-12168</t>
  </si>
  <si>
    <t xml:space="preserve">Fact#: 369886 Rec#: 34044 ARANA BARROS AMBAR GEOVANA </t>
  </si>
  <si>
    <t>IC-12176</t>
  </si>
  <si>
    <t xml:space="preserve">Fact#: 368743 Rec#: 34045 JORGE JOSE  TORBAY GONZALEZ </t>
  </si>
  <si>
    <t>IC-12177</t>
  </si>
  <si>
    <t xml:space="preserve">Fact#: 367731-370335 Rec#: 34046 MURILLO BARAHONA LISSETTE ESTEFANIA </t>
  </si>
  <si>
    <t>IC-12178</t>
  </si>
  <si>
    <t xml:space="preserve">Fact#: 368673 Rec#: 34047 VICTOR ANTONIO AGUSTO ALVARADO </t>
  </si>
  <si>
    <t>IC-12180</t>
  </si>
  <si>
    <t xml:space="preserve">Fact#: 370574 Rec#: 34049 AVEIGA PAINI CARLOS ENRIQUE </t>
  </si>
  <si>
    <t>IC-12181</t>
  </si>
  <si>
    <t xml:space="preserve">Fact#: 368878 Rec#: 34050 MANUEL ISIDRO RICAURTE GARCES </t>
  </si>
  <si>
    <t>IC-12182</t>
  </si>
  <si>
    <t xml:space="preserve">Fact#: 370164 Rec#: 34051 SUESCUM ROMERO  NATHALY VIRINEYA  </t>
  </si>
  <si>
    <t>IC-12183</t>
  </si>
  <si>
    <t xml:space="preserve">Fact#: 368721 Rec#: 34052 LOURDES JANET BRITO GUILLEN </t>
  </si>
  <si>
    <t>IC-12184</t>
  </si>
  <si>
    <t xml:space="preserve">Fact#: 337538-340530-344056-358827 Rec#: 19557 JOSELYNE VIVIANA MORA ARRIAGA </t>
  </si>
  <si>
    <t>IC-12185</t>
  </si>
  <si>
    <t xml:space="preserve">Fact#: 351397-353725-356147 Rec#: 19558 CARLOS JOSE SALAZAR ALBAN </t>
  </si>
  <si>
    <t>IC-12186</t>
  </si>
  <si>
    <t xml:space="preserve">Fact#: 365509-368072-370685 Rec#: 19559 CAMATON LEON ANA DE JESUS </t>
  </si>
  <si>
    <t>IC-12187</t>
  </si>
  <si>
    <t xml:space="preserve">Fact#: 365372-367947-370564 Rec#: 19560 ALCIVAR BARZOLA LELY MARUJA </t>
  </si>
  <si>
    <t>IC-12188</t>
  </si>
  <si>
    <t xml:space="preserve">Fact#: 369594 Rec#: 19561 GUERRERO CRESPIN JULIO ENRIQUE </t>
  </si>
  <si>
    <t>IC-12189</t>
  </si>
  <si>
    <t xml:space="preserve">Fact#: 369721 Rec#: 19562 ROBALINO VALENCIA  SPARTA SUSANA  </t>
  </si>
  <si>
    <t>IC-12190</t>
  </si>
  <si>
    <t xml:space="preserve">Fact#: 367597-370206 Rec#: 19563 AVILES ECHEVER GUSTAVO MICHAEL </t>
  </si>
  <si>
    <t>IC-12191</t>
  </si>
  <si>
    <t xml:space="preserve">Fact#: 368960 Rec#: 19564 LORENZO PASTOR TUMBACO CHIQUITO </t>
  </si>
  <si>
    <t>IC-12192</t>
  </si>
  <si>
    <t xml:space="preserve">Fact#: 361660-364215-366789 Rec#: 19565 PIZARRO CARDENAS MIGUEL MODESTO </t>
  </si>
  <si>
    <t>IC-12193</t>
  </si>
  <si>
    <t xml:space="preserve">Fact#: 363881-366471-369114 Rec#: 19566 CRISTIAN DAVID LOOR CERVANTES </t>
  </si>
  <si>
    <t>IC-12194</t>
  </si>
  <si>
    <t xml:space="preserve">Fact#: 369538 Rec#: 19567 CALI PINCAY SANDRA ELIZABETH  </t>
  </si>
  <si>
    <t>IC-12195</t>
  </si>
  <si>
    <t xml:space="preserve">Fact#: 366708-369344 Rec#: 19568 RAMIREZ ROJAS  RONNEY RAFAEL </t>
  </si>
  <si>
    <t>IC-12196</t>
  </si>
  <si>
    <t xml:space="preserve">Fact#: 316307-319021-321717 Rec#: 19569 SILVA ALVARADO JEAN CARLOS </t>
  </si>
  <si>
    <t>IC-12197</t>
  </si>
  <si>
    <t xml:space="preserve">Fact#: 368856 Rec#: 19570 MARIA PIEDAD MONTALVAN CAMPOVERDE </t>
  </si>
  <si>
    <t>IC-12198</t>
  </si>
  <si>
    <t xml:space="preserve">Fact#: 368479 Rec#: 19571 LA CASA DEL MEDICO LACASADELMEDICO S.A.  </t>
  </si>
  <si>
    <t>IC-12199</t>
  </si>
  <si>
    <t xml:space="preserve">Fact#: 366089-368736 Rec#: 19572 PABLO ENRIQUE GONZENBACH IGLESIAS </t>
  </si>
  <si>
    <t>IC-12200</t>
  </si>
  <si>
    <t xml:space="preserve">Fact#: 369179 Rec#: 19573 CARLOS RAUL CARPIO FREIRE </t>
  </si>
  <si>
    <t>IC-12201</t>
  </si>
  <si>
    <t xml:space="preserve">Fact#: 368492 Rec#: 19574 PAN ZI </t>
  </si>
  <si>
    <t>IC-12202</t>
  </si>
  <si>
    <t xml:space="preserve">Fact#: 368493 Rec#: 19575 PAN ZI </t>
  </si>
  <si>
    <t>IC-12203</t>
  </si>
  <si>
    <t xml:space="preserve">Fact#: 369135 Rec#: 19576 JUAN PABLO ORTEGA SANTOS </t>
  </si>
  <si>
    <t>IC-12204</t>
  </si>
  <si>
    <t xml:space="preserve">Fact#: 369640 Rec#: 19577 FERNANDEZ PACHECO DIANA ISABEL </t>
  </si>
  <si>
    <t>IC-12205</t>
  </si>
  <si>
    <t xml:space="preserve">Fact#: 366574-369215 Rec#: 19578 ELIDA DEL CARMEN MOREIRA VELEZ </t>
  </si>
  <si>
    <t>IC-13413</t>
  </si>
  <si>
    <t>Fact#: 368181 Rec#: 34048 LAUDE S.A. LAUDESA ADMINISTRADORA DE FONDOS Y FIDEICOMISOS</t>
  </si>
  <si>
    <t>N/D PACIFICO TRANSF. CANCELACIÓN DE ENERGIA ELECTRICA, PORTAL AL SOL, CTV, COD:200017298429</t>
  </si>
  <si>
    <t>N7D PACIFICO TRANSF. CANCELACIÓN DE FACTURA#32081596 CNEL EP</t>
  </si>
  <si>
    <t>N/D PACIFICO TRANSF. CANCELACIÓN DE FACTURA#31942865 CNEL EP</t>
  </si>
  <si>
    <t>N/D PRODUBANCO TRANSF. CANCELACIÓN DE FACTURA#31954339 CNEL EP</t>
  </si>
  <si>
    <t>AT-3354</t>
  </si>
  <si>
    <t>VITERI RAMIREZ RICARDO ISAIAS CANCELA TELEFONO 3902280 ABONA SGTE FACTURA, PAGO WESTERN UNION</t>
  </si>
  <si>
    <t>IC-12206</t>
  </si>
  <si>
    <t xml:space="preserve">Fact#: 358433-360969-363526 Rec#: 34053 MAGALI ELIZABETH  CALDERON AVILA </t>
  </si>
  <si>
    <t>IC-12215</t>
  </si>
  <si>
    <t xml:space="preserve">Fact#: 370024 Rec#: 34054 ESPINOSA ESPINOZA HUGO STANLEY </t>
  </si>
  <si>
    <t>IC-12218</t>
  </si>
  <si>
    <t xml:space="preserve">Fact#: 370268 Rec#: 34057 REYES HERRERA SILVIA LORENA </t>
  </si>
  <si>
    <t>IC-12221</t>
  </si>
  <si>
    <t xml:space="preserve">Fact#: 367754-370357 Rec#: 34058 BAZURTO MONTIEL PILAR CLARIBEL </t>
  </si>
  <si>
    <t>IC-12247</t>
  </si>
  <si>
    <t xml:space="preserve">Fact#: 366636-369274 Rec#: 19579 NIETO BARQUET OSCAR AHMED </t>
  </si>
  <si>
    <t>IC-12248</t>
  </si>
  <si>
    <t xml:space="preserve">Fact#: 369392 Rec#: 19580 TOMALA SANCAN JORGE LUIS </t>
  </si>
  <si>
    <t>IC-12249</t>
  </si>
  <si>
    <t xml:space="preserve">Fact#: 299823-302455 Rec#: 19581 ARIAS ALVAREZ MARIUXI ISABEL </t>
  </si>
  <si>
    <t>IC-12250</t>
  </si>
  <si>
    <t xml:space="preserve">Fact#: 300597-303264-305999 Rec#: 19582 ARIAS ALVAREZ MARIUXI ISABEL </t>
  </si>
  <si>
    <t>IC-12251</t>
  </si>
  <si>
    <t xml:space="preserve">Fact#: 5229 Rec#: 19583 TIO ALVAREZ ADRIAN </t>
  </si>
  <si>
    <t>IC-12252</t>
  </si>
  <si>
    <t xml:space="preserve">Fact#: 369767 Rec#: 19584 FLORES GORDILLO LUIS EDUARDO </t>
  </si>
  <si>
    <t>IC-12253</t>
  </si>
  <si>
    <t xml:space="preserve">Fact#: 365721-368351 Rec#: 19585 VITERI RAMIREZ RICARDO ISAIAS </t>
  </si>
  <si>
    <t>IC-12254</t>
  </si>
  <si>
    <t xml:space="preserve">Fact#: 368495 Rec#: 19586 VDS C.C.C </t>
  </si>
  <si>
    <t>IC-12255</t>
  </si>
  <si>
    <t xml:space="preserve">Fact#: 369277 Rec#: 19587 MINO DOYLET YOLANDA ABIGAIL </t>
  </si>
  <si>
    <t>IC-12256</t>
  </si>
  <si>
    <t xml:space="preserve">Fact#: 368778 Rec#: 19588 MARIA DEL CARMEN VERA VALVERDE </t>
  </si>
  <si>
    <t>IC-12257</t>
  </si>
  <si>
    <t xml:space="preserve">Fact#: 365695-368326 Rec#: 19589 NEDERAGRO S.A. </t>
  </si>
  <si>
    <t>IC-12258</t>
  </si>
  <si>
    <t xml:space="preserve">Fact#: 368761 Rec#: 19590 LAURA BEATRIZ  ENCALADA ESPINOZA </t>
  </si>
  <si>
    <t>IC-12259</t>
  </si>
  <si>
    <t xml:space="preserve">Fact#: 362127-364672-367242 Rec#: 19591 MITE VERGARA EDISON CLAUDIO </t>
  </si>
  <si>
    <t>IC-12260</t>
  </si>
  <si>
    <t xml:space="preserve">Fact#: 369990 Rec#: 19592 RIVADENEIRA ZAMBRANO ANGEL FAUSTO </t>
  </si>
  <si>
    <t>IC-12262</t>
  </si>
  <si>
    <t xml:space="preserve">Fact#: 368750 Rec#: 19594 GREI DOLORES  DELGADO FARIA </t>
  </si>
  <si>
    <t>IC-12279</t>
  </si>
  <si>
    <t xml:space="preserve">Fact#: 370121 Rec#: 34059 PRADO FRANCO ANDREA JACQUELINE </t>
  </si>
  <si>
    <t>IC-12280</t>
  </si>
  <si>
    <t xml:space="preserve">Fact#: 369919 Rec#: 34060 BUSTAMANTE TORRES CAMILO EDUARDO </t>
  </si>
  <si>
    <t>IC-12282</t>
  </si>
  <si>
    <t xml:space="preserve">Fact#: 370296 Rec#: 34061 TAMMY CARMEN CAAMAÑO CORNEJO </t>
  </si>
  <si>
    <t>IC-12283</t>
  </si>
  <si>
    <t xml:space="preserve">Fact#: 367766-370368 Rec#: 34062 MIRTHA ACELA ESCALANTE GARCIA </t>
  </si>
  <si>
    <t>IC-12303</t>
  </si>
  <si>
    <t xml:space="preserve">Fact#: 370088 Rec#: 34063 CHACON CALDERON SARITA MARIA DE LOS ANGEL </t>
  </si>
  <si>
    <t>IC-12304</t>
  </si>
  <si>
    <t xml:space="preserve">Fact#: 368651 Rec#: 34064 LOURDES DEL ROCIO CHAVEZ VELEZ </t>
  </si>
  <si>
    <t>IC-12345</t>
  </si>
  <si>
    <t xml:space="preserve">Fact#: 368188 Rec#: 34065 DVT DEL ECUADOR S.A </t>
  </si>
  <si>
    <t>IC-12543</t>
  </si>
  <si>
    <t>Fact#: 365986 Rec#: 34095 CONSORCIO ECUATORIANO DE TELECOMUNICACIONES S.A. CONECEL</t>
  </si>
  <si>
    <t>IC-12349</t>
  </si>
  <si>
    <t xml:space="preserve">Fact#: 368379 Rec#: 34066 PAYLESS SHOESOURCE ECUADOR CIA. LTDA. </t>
  </si>
  <si>
    <t>IC-12351</t>
  </si>
  <si>
    <t xml:space="preserve">Fact#: 367563 Rec#: 34067 ANGEL ROGELIO PUMA MEDINA </t>
  </si>
  <si>
    <t>IC-12354</t>
  </si>
  <si>
    <t xml:space="preserve">Fact#: 369471 Rec#: 34068 LOGROÑO REYES VICENTE JAVIER </t>
  </si>
  <si>
    <t>IC-12400</t>
  </si>
  <si>
    <t xml:space="preserve">Fact#: 364333-366906-369539 Rec#: 34069 PERALTA AVILES MIGUEL ANGEL </t>
  </si>
  <si>
    <t>IC-12401</t>
  </si>
  <si>
    <t xml:space="preserve">Fact#: 368728 Rec#: 34070 FERNANDO GABRIEL AVILES USCOCOVICH </t>
  </si>
  <si>
    <t>IC-12402</t>
  </si>
  <si>
    <t xml:space="preserve">Fact#: 370056 Rec#: 34071 SANCHEZ MEDINA FELIX </t>
  </si>
  <si>
    <t>IC-12403</t>
  </si>
  <si>
    <t xml:space="preserve">Fact#: 370213 Rec#: 34072 SILVA ESPINOZA CARLOTA ELIZABETH </t>
  </si>
  <si>
    <t>IC-12404</t>
  </si>
  <si>
    <t xml:space="preserve">Fact#: 368401 Rec#: 34073 ASISTMED ASISTENCIA A MEDICOS S.A. </t>
  </si>
  <si>
    <t>IC-12405</t>
  </si>
  <si>
    <t xml:space="preserve">Fact#: 367498-370110 Rec#: 34074 TRUJILL0 ELJURI ROBERTO FARID </t>
  </si>
  <si>
    <t>IC-12406</t>
  </si>
  <si>
    <t xml:space="preserve">Fact#: 370343 Rec#: 34075 INZHIVOTKINA YANA </t>
  </si>
  <si>
    <t>IC-12407</t>
  </si>
  <si>
    <t xml:space="preserve">Fact#: 364102-366685-369322 Rec#: 34076 ESPIN PEREZ JOSE XAVIER  </t>
  </si>
  <si>
    <t>N/D PACIFICO TRANSF. CANCELACIÓN DE FACTURA#151 ESTUPIÑAN FRANCISCO Y FACTURA# 151 BAQUE BYRON</t>
  </si>
  <si>
    <t>N/D PACIFICO TRANSF. ROLES DE PAGO 2DA QUINCENA MES DE AGOSTO 2021</t>
  </si>
  <si>
    <t>N/D PACIFICO TRANSF. CANCELACIÓN DE FACTURA#448 BAQUERIZO DAVILA PABLO JONATHAN</t>
  </si>
  <si>
    <t>DR-3153</t>
  </si>
  <si>
    <t>GASTO BANCARIO PACIFICO #5301877-965-13337-425-23567-642-33031-136-43069-111-76061-190-84673-729-92339-92421-5401183-269-26647-26723-36129-217-44531-621-52205-289-62177-264-85084-130-5502743-821-30024-117-77404-486-86966-060-17969-959</t>
  </si>
  <si>
    <t>IC-12419</t>
  </si>
  <si>
    <t xml:space="preserve">Fact#: 367574-370183 Rec#: 34077 CAGUANA VELESACA NORMA ALEXANDRA </t>
  </si>
  <si>
    <t>IC-12420</t>
  </si>
  <si>
    <t xml:space="preserve">Fact#: 361468-364022 Rec#: 34078 DANIELA MELISSA MORAN RUGEL </t>
  </si>
  <si>
    <t>IC-12426</t>
  </si>
  <si>
    <t xml:space="preserve">Fact#: 369586 Rec#: 34079 PUERO CUERO CARLOS JULIO </t>
  </si>
  <si>
    <t>IC-12427</t>
  </si>
  <si>
    <t xml:space="preserve">Fact#: 367400-370017 Rec#: 34080 GABINO MIRANDA DAVID EDUARDO </t>
  </si>
  <si>
    <t>IC-12432</t>
  </si>
  <si>
    <t xml:space="preserve">Fact#: 367619 Rec#: 34081 SAMAN CERASUOLO CRISTHIAN VICENTE </t>
  </si>
  <si>
    <t>IC-12511</t>
  </si>
  <si>
    <t xml:space="preserve">Fact#: 364141-366723-369358 Rec#: 34082 DAGER PESANTES OMAR ALEJANDRO </t>
  </si>
  <si>
    <t>IC-12512</t>
  </si>
  <si>
    <t xml:space="preserve">Fact#: 368519 Rec#: 34083 LANDIVAR VELIZ CARLOS ALEX </t>
  </si>
  <si>
    <t>IC-12513</t>
  </si>
  <si>
    <t xml:space="preserve">Fact#: 366738-369374 Rec#: 34084 HERRERA DIAZ HIALINA AMALIA DE LAS ROSAS </t>
  </si>
  <si>
    <t>IC-12514</t>
  </si>
  <si>
    <t xml:space="preserve">Fact#: 367816-370414 Rec#: 34085 LABORDA. JUAN CRUZ </t>
  </si>
  <si>
    <t>IC-12515</t>
  </si>
  <si>
    <t xml:space="preserve">Fact#: 368565 Rec#: 34086 LABORATORIOS TECNO - ALEMANES S.A. LATECNA  </t>
  </si>
  <si>
    <t>IC-12516</t>
  </si>
  <si>
    <t xml:space="preserve">Fact#: 370116 Rec#: 34087 MAZZILLI MENDOZA MELANIE MICHELLE </t>
  </si>
  <si>
    <t>IC-12517</t>
  </si>
  <si>
    <t xml:space="preserve">Fact#: 367506-370118 Rec#: 34088 MAZZINI RIVADENEIRA VALERIE GEOVANNA </t>
  </si>
  <si>
    <t>IC-12518</t>
  </si>
  <si>
    <t xml:space="preserve">Fact#: 368667 Rec#: 34089 RAFAEL VICENTE ERAZO FALQUEZ </t>
  </si>
  <si>
    <t>IC-12519</t>
  </si>
  <si>
    <t xml:space="preserve">Fact#: 367583-370192 Rec#: 34090 ANDRADE FLORENCIA  EMILIO JOSE  </t>
  </si>
  <si>
    <t>IC-12520</t>
  </si>
  <si>
    <t xml:space="preserve">Fact#: 366027-368675 Rec#: 34091 ARTURO ALFONSO VELASCO TUTIVEN </t>
  </si>
  <si>
    <t>IC-12521</t>
  </si>
  <si>
    <t xml:space="preserve">Fact#: 365381-370572 Rec#: 34092 ZURITA GODOY GUILLERMO ENMANUEL </t>
  </si>
  <si>
    <t>IC-12522</t>
  </si>
  <si>
    <t xml:space="preserve">Fact#: 366469-369112 Rec#: 34093 CATHERINE NICOLE RUGEL CARRERA </t>
  </si>
  <si>
    <t>IC-12523</t>
  </si>
  <si>
    <t xml:space="preserve">Fact#: 370317 Rec#: 34094 CHICALA GARCIA GEOVANNY PATRICIO </t>
  </si>
  <si>
    <t>N/D CANCELACIÓN DE FACTURA#162162952 BANCO DEL PACIFICO GASTOS BANCARIOS Y DIFERENCIA POR COMISIÓN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</si>
</sst>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dd&quot;-&quot;mmm&quot;-&quot;yy"/>
    <numFmt numFmtId="165" formatCode="\-#,##0.00;#,##0.00_)"/>
    <numFmt numFmtId="166" formatCode="#,##0.00_);\-#,##0.00"/>
    <numFmt numFmtId="167" formatCode="d\-mmm\-yy"/>
    <numFmt numFmtId="168" formatCode="dd&quot;-&quot;mmm&quot;-&quot;yyyy"/>
    <numFmt numFmtId="169" formatCode="hh&quot;:&quot;mm&quot;:&quot;ss\ AM/PM"/>
  </numFmts>
  <fonts count="5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Verdana"/>
      <family val="2"/>
    </font>
    <font>
      <sz val="8"/>
      <name val="Verdana"/>
      <family val="2"/>
    </font>
    <font>
      <sz val="8"/>
      <name val="Arial"/>
      <family val="2"/>
    </font>
    <font>
      <b/>
      <u/>
      <sz val="8"/>
      <name val="Verdana"/>
      <family val="2"/>
    </font>
    <font>
      <sz val="10"/>
      <color indexed="8"/>
      <name val="MS Sans Serif"/>
    </font>
    <font>
      <sz val="10"/>
      <color indexed="8"/>
      <name val="MS Sans Serif"/>
      <family val="2"/>
    </font>
    <font>
      <sz val="8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Times New Roman"/>
      <family val="1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sz val="10"/>
      <name val="MS Sans Serif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sz val="8"/>
      <color indexed="8"/>
      <name val="Verdana"/>
      <family val="2"/>
    </font>
    <font>
      <sz val="8"/>
      <color indexed="8"/>
      <name val="Tahoma"/>
      <family val="2"/>
    </font>
    <font>
      <sz val="7.6"/>
      <color indexed="8"/>
      <name val="Verdana"/>
      <family val="2"/>
    </font>
    <font>
      <b/>
      <sz val="9"/>
      <color indexed="8"/>
      <name val="Verdana"/>
      <family val="2"/>
    </font>
    <font>
      <sz val="9"/>
      <color indexed="8"/>
      <name val="Verdana"/>
      <family val="2"/>
    </font>
    <font>
      <b/>
      <sz val="16"/>
      <color indexed="8"/>
      <name val="Verdana"/>
      <family val="2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7.6"/>
      <color rgb="FFFF0000"/>
      <name val="Verdana"/>
      <family val="2"/>
    </font>
    <font>
      <sz val="7.6"/>
      <name val="Verdana"/>
      <family val="2"/>
    </font>
    <font>
      <b/>
      <sz val="12"/>
      <color rgb="FFFFFFFF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name val="Calibri"/>
      <family val="2"/>
      <scheme val="minor"/>
    </font>
    <font>
      <sz val="8"/>
      <color rgb="FFFF0000"/>
      <name val="Arial"/>
      <family val="2"/>
    </font>
    <font>
      <sz val="11"/>
      <color rgb="FFFF0000"/>
      <name val="Calibri"/>
      <family val="2"/>
      <scheme val="minor"/>
    </font>
    <font>
      <b/>
      <sz val="8"/>
      <color indexed="8"/>
      <name val="Verdana"/>
      <family val="2"/>
    </font>
    <font>
      <sz val="8"/>
      <color rgb="FFFF0000"/>
      <name val="Verdana"/>
      <family val="2"/>
    </font>
    <font>
      <b/>
      <sz val="10"/>
      <color indexed="8"/>
      <name val="Calibri"/>
      <family val="2"/>
      <scheme val="minor"/>
    </font>
    <font>
      <b/>
      <sz val="10"/>
      <color rgb="FF00B0F0"/>
      <name val="Calibri"/>
      <family val="2"/>
      <scheme val="minor"/>
    </font>
    <font>
      <b/>
      <sz val="10"/>
      <color indexed="8"/>
      <name val="MS Sans Serif"/>
    </font>
    <font>
      <sz val="10"/>
      <color rgb="FF333333"/>
      <name val="Calibri"/>
      <family val="2"/>
      <scheme val="minor"/>
    </font>
    <font>
      <b/>
      <sz val="9"/>
      <name val="Times New Roman"/>
      <family val="1"/>
    </font>
    <font>
      <sz val="9"/>
      <color rgb="FF333333"/>
      <name val="Open Sans"/>
      <family val="2"/>
    </font>
    <font>
      <sz val="11"/>
      <color rgb="FF00B0F0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2"/>
      <name val="Tahoma"/>
      <family val="2"/>
    </font>
    <font>
      <sz val="10"/>
      <color rgb="FFFF0000"/>
      <name val="MS Sans Serif"/>
    </font>
  </fonts>
  <fills count="5">
    <fill>
      <patternFill patternType="none"/>
    </fill>
    <fill>
      <patternFill patternType="gray125"/>
    </fill>
    <fill>
      <patternFill patternType="solid">
        <fgColor rgb="FF4444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2"/>
      </left>
      <right/>
      <top style="thin">
        <color indexed="62"/>
      </top>
      <bottom style="thin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2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rgb="FF4E4F5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2"/>
      </left>
      <right style="thin">
        <color indexed="62"/>
      </right>
      <top/>
      <bottom style="thin">
        <color indexed="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1" fillId="0" borderId="0" applyFont="0" applyFill="0" applyBorder="0" applyAlignment="0" applyProtection="0"/>
    <xf numFmtId="0" fontId="1" fillId="0" borderId="0"/>
    <xf numFmtId="0" fontId="12" fillId="0" borderId="0"/>
  </cellStyleXfs>
  <cellXfs count="305">
    <xf numFmtId="0" fontId="0" fillId="0" borderId="0" xfId="0"/>
    <xf numFmtId="0" fontId="2" fillId="0" borderId="0" xfId="1" applyFont="1" applyAlignment="1">
      <alignment horizontal="left"/>
    </xf>
    <xf numFmtId="2" fontId="3" fillId="0" borderId="0" xfId="1" applyNumberFormat="1" applyFont="1" applyAlignment="1">
      <alignment wrapText="1"/>
    </xf>
    <xf numFmtId="0" fontId="3" fillId="0" borderId="0" xfId="1" applyFont="1" applyAlignment="1">
      <alignment horizontal="center"/>
    </xf>
    <xf numFmtId="4" fontId="3" fillId="0" borderId="0" xfId="1" applyNumberFormat="1" applyFont="1"/>
    <xf numFmtId="0" fontId="4" fillId="0" borderId="0" xfId="1" applyFont="1"/>
    <xf numFmtId="0" fontId="4" fillId="0" borderId="0" xfId="1" applyFont="1" applyAlignment="1">
      <alignment horizontal="center"/>
    </xf>
    <xf numFmtId="0" fontId="3" fillId="0" borderId="0" xfId="1" applyFont="1" applyAlignment="1">
      <alignment horizontal="left"/>
    </xf>
    <xf numFmtId="2" fontId="2" fillId="0" borderId="0" xfId="1" quotePrefix="1" applyNumberFormat="1" applyFont="1" applyAlignment="1">
      <alignment horizontal="left" wrapText="1"/>
    </xf>
    <xf numFmtId="2" fontId="2" fillId="0" borderId="0" xfId="1" quotePrefix="1" applyNumberFormat="1" applyFont="1"/>
    <xf numFmtId="4" fontId="2" fillId="0" borderId="0" xfId="1" applyNumberFormat="1" applyFont="1" applyAlignment="1">
      <alignment horizontal="center"/>
    </xf>
    <xf numFmtId="4" fontId="2" fillId="0" borderId="0" xfId="1" applyNumberFormat="1" applyFont="1"/>
    <xf numFmtId="14" fontId="3" fillId="0" borderId="0" xfId="1" applyNumberFormat="1" applyFont="1" applyAlignment="1">
      <alignment horizontal="center"/>
    </xf>
    <xf numFmtId="2" fontId="5" fillId="0" borderId="0" xfId="1" quotePrefix="1" applyNumberFormat="1" applyFont="1" applyAlignment="1">
      <alignment horizontal="left" wrapText="1"/>
    </xf>
    <xf numFmtId="49" fontId="3" fillId="0" borderId="0" xfId="1" applyNumberFormat="1" applyFont="1" applyAlignment="1">
      <alignment horizontal="center"/>
    </xf>
    <xf numFmtId="2" fontId="3" fillId="0" borderId="0" xfId="1" applyNumberFormat="1" applyFont="1" applyAlignment="1">
      <alignment horizontal="center"/>
    </xf>
    <xf numFmtId="2" fontId="5" fillId="0" borderId="0" xfId="1" applyNumberFormat="1" applyFont="1" applyAlignment="1">
      <alignment horizontal="left" wrapText="1"/>
    </xf>
    <xf numFmtId="166" fontId="4" fillId="0" borderId="0" xfId="3" applyNumberFormat="1" applyFont="1" applyAlignment="1">
      <alignment horizontal="right" vertical="center"/>
    </xf>
    <xf numFmtId="4" fontId="4" fillId="0" borderId="0" xfId="1" applyNumberFormat="1" applyFont="1"/>
    <xf numFmtId="2" fontId="4" fillId="0" borderId="0" xfId="1" applyNumberFormat="1" applyFont="1" applyAlignment="1">
      <alignment wrapText="1"/>
    </xf>
    <xf numFmtId="0" fontId="8" fillId="0" borderId="0" xfId="1" applyFont="1"/>
    <xf numFmtId="0" fontId="4" fillId="0" borderId="0" xfId="1" applyFont="1" applyAlignment="1">
      <alignment vertical="center"/>
    </xf>
    <xf numFmtId="0" fontId="6" fillId="0" borderId="0" xfId="2"/>
    <xf numFmtId="0" fontId="0" fillId="0" borderId="4" xfId="0" applyBorder="1"/>
    <xf numFmtId="22" fontId="0" fillId="0" borderId="4" xfId="0" applyNumberFormat="1" applyBorder="1"/>
    <xf numFmtId="0" fontId="10" fillId="0" borderId="5" xfId="0" applyFont="1" applyBorder="1" applyAlignment="1">
      <alignment horizontal="center"/>
    </xf>
    <xf numFmtId="0" fontId="0" fillId="0" borderId="16" xfId="0" applyBorder="1"/>
    <xf numFmtId="4" fontId="14" fillId="0" borderId="2" xfId="1" applyNumberFormat="1" applyFont="1" applyBorder="1" applyAlignment="1">
      <alignment vertical="center"/>
    </xf>
    <xf numFmtId="0" fontId="1" fillId="0" borderId="0" xfId="1" applyFont="1" applyAlignment="1">
      <alignment vertical="center"/>
    </xf>
    <xf numFmtId="4" fontId="15" fillId="0" borderId="0" xfId="1" applyNumberFormat="1" applyFont="1"/>
    <xf numFmtId="0" fontId="1" fillId="0" borderId="0" xfId="1" applyFont="1"/>
    <xf numFmtId="4" fontId="14" fillId="0" borderId="0" xfId="1" applyNumberFormat="1" applyFont="1"/>
    <xf numFmtId="0" fontId="16" fillId="0" borderId="0" xfId="2" applyFont="1"/>
    <xf numFmtId="0" fontId="16" fillId="0" borderId="0" xfId="2" applyFont="1" applyAlignment="1">
      <alignment horizontal="right"/>
    </xf>
    <xf numFmtId="0" fontId="18" fillId="0" borderId="0" xfId="6" applyFont="1" applyAlignment="1">
      <alignment horizontal="center" vertical="center"/>
    </xf>
    <xf numFmtId="0" fontId="18" fillId="0" borderId="0" xfId="2" applyFont="1" applyAlignment="1">
      <alignment horizontal="center" vertical="center"/>
    </xf>
    <xf numFmtId="4" fontId="18" fillId="0" borderId="0" xfId="1" applyNumberFormat="1" applyFont="1"/>
    <xf numFmtId="0" fontId="18" fillId="0" borderId="0" xfId="1" applyFont="1"/>
    <xf numFmtId="14" fontId="19" fillId="0" borderId="0" xfId="1" applyNumberFormat="1" applyFont="1" applyAlignment="1">
      <alignment horizontal="center"/>
    </xf>
    <xf numFmtId="2" fontId="19" fillId="0" borderId="0" xfId="1" quotePrefix="1" applyNumberFormat="1" applyFont="1" applyAlignment="1">
      <alignment horizontal="center" wrapText="1"/>
    </xf>
    <xf numFmtId="0" fontId="19" fillId="0" borderId="0" xfId="1" applyFont="1" applyAlignment="1">
      <alignment horizontal="center"/>
    </xf>
    <xf numFmtId="49" fontId="19" fillId="0" borderId="0" xfId="1" applyNumberFormat="1" applyFont="1" applyAlignment="1">
      <alignment horizontal="center"/>
    </xf>
    <xf numFmtId="0" fontId="18" fillId="0" borderId="0" xfId="1" applyFont="1" applyAlignment="1">
      <alignment horizontal="center"/>
    </xf>
    <xf numFmtId="164" fontId="18" fillId="0" borderId="0" xfId="2" applyNumberFormat="1" applyFont="1" applyAlignment="1">
      <alignment horizontal="center" vertical="center"/>
    </xf>
    <xf numFmtId="0" fontId="18" fillId="0" borderId="0" xfId="2" applyFont="1" applyAlignment="1">
      <alignment horizontal="left" vertical="center" wrapText="1"/>
    </xf>
    <xf numFmtId="0" fontId="18" fillId="0" borderId="0" xfId="3" applyFont="1" applyAlignment="1">
      <alignment horizontal="center"/>
    </xf>
    <xf numFmtId="2" fontId="18" fillId="0" borderId="1" xfId="4" applyNumberFormat="1" applyFont="1" applyBorder="1" applyAlignment="1">
      <alignment horizontal="center" vertical="center"/>
    </xf>
    <xf numFmtId="164" fontId="18" fillId="0" borderId="0" xfId="5" applyNumberFormat="1" applyFont="1" applyAlignment="1">
      <alignment horizontal="center" vertical="center"/>
    </xf>
    <xf numFmtId="0" fontId="18" fillId="0" borderId="0" xfId="5" applyFont="1" applyAlignment="1">
      <alignment horizontal="left" vertical="center" wrapText="1"/>
    </xf>
    <xf numFmtId="4" fontId="19" fillId="0" borderId="0" xfId="1" applyNumberFormat="1" applyFont="1"/>
    <xf numFmtId="2" fontId="19" fillId="0" borderId="0" xfId="1" applyNumberFormat="1" applyFont="1" applyAlignment="1">
      <alignment wrapText="1"/>
    </xf>
    <xf numFmtId="4" fontId="18" fillId="0" borderId="0" xfId="1" applyNumberFormat="1" applyFont="1" applyAlignment="1">
      <alignment horizontal="center"/>
    </xf>
    <xf numFmtId="4" fontId="19" fillId="0" borderId="0" xfId="1" applyNumberFormat="1" applyFont="1" applyAlignment="1">
      <alignment horizontal="center"/>
    </xf>
    <xf numFmtId="2" fontId="20" fillId="0" borderId="0" xfId="1" applyNumberFormat="1" applyFont="1" applyAlignment="1">
      <alignment wrapText="1"/>
    </xf>
    <xf numFmtId="49" fontId="18" fillId="0" borderId="0" xfId="1" applyNumberFormat="1" applyFont="1" applyAlignment="1">
      <alignment horizontal="center"/>
    </xf>
    <xf numFmtId="2" fontId="20" fillId="0" borderId="0" xfId="1" applyNumberFormat="1" applyFont="1" applyAlignment="1">
      <alignment horizontal="left" wrapText="1"/>
    </xf>
    <xf numFmtId="0" fontId="18" fillId="0" borderId="0" xfId="2" applyFont="1" applyFill="1" applyAlignment="1">
      <alignment horizontal="center" vertical="center"/>
    </xf>
    <xf numFmtId="2" fontId="18" fillId="0" borderId="0" xfId="1" applyNumberFormat="1" applyFont="1" applyAlignment="1">
      <alignment wrapText="1"/>
    </xf>
    <xf numFmtId="14" fontId="18" fillId="0" borderId="0" xfId="1" applyNumberFormat="1" applyFont="1" applyAlignment="1">
      <alignment horizontal="center"/>
    </xf>
    <xf numFmtId="0" fontId="20" fillId="0" borderId="0" xfId="1" applyFont="1" applyAlignment="1">
      <alignment wrapText="1"/>
    </xf>
    <xf numFmtId="4" fontId="18" fillId="0" borderId="0" xfId="7" applyNumberFormat="1" applyFont="1" applyFill="1" applyBorder="1"/>
    <xf numFmtId="164" fontId="18" fillId="0" borderId="0" xfId="5" applyNumberFormat="1" applyFont="1" applyAlignment="1">
      <alignment horizontal="left" vertical="center"/>
    </xf>
    <xf numFmtId="164" fontId="18" fillId="0" borderId="0" xfId="2" applyNumberFormat="1" applyFont="1" applyAlignment="1">
      <alignment horizontal="left" vertical="center"/>
    </xf>
    <xf numFmtId="0" fontId="18" fillId="0" borderId="0" xfId="2" applyFont="1" applyAlignment="1">
      <alignment horizontal="left" vertical="center"/>
    </xf>
    <xf numFmtId="0" fontId="18" fillId="0" borderId="0" xfId="1" applyFont="1" applyAlignment="1">
      <alignment horizontal="center" vertical="center"/>
    </xf>
    <xf numFmtId="167" fontId="19" fillId="0" borderId="0" xfId="1" applyNumberFormat="1" applyFont="1" applyAlignment="1">
      <alignment horizontal="center" vertical="center"/>
    </xf>
    <xf numFmtId="0" fontId="19" fillId="0" borderId="0" xfId="1" applyFont="1" applyAlignment="1">
      <alignment horizontal="center" vertical="center"/>
    </xf>
    <xf numFmtId="2" fontId="18" fillId="0" borderId="1" xfId="1" applyNumberFormat="1" applyFont="1" applyBorder="1" applyAlignment="1">
      <alignment horizontal="centerContinuous" wrapText="1"/>
    </xf>
    <xf numFmtId="2" fontId="18" fillId="0" borderId="0" xfId="6" applyNumberFormat="1" applyFont="1" applyAlignment="1">
      <alignment horizontal="center" vertical="center"/>
    </xf>
    <xf numFmtId="4" fontId="18" fillId="0" borderId="1" xfId="1" applyNumberFormat="1" applyFont="1" applyBorder="1" applyAlignment="1">
      <alignment horizontal="center"/>
    </xf>
    <xf numFmtId="166" fontId="17" fillId="0" borderId="0" xfId="2" applyNumberFormat="1" applyFont="1" applyFill="1" applyAlignment="1">
      <alignment horizontal="center" vertical="center"/>
    </xf>
    <xf numFmtId="4" fontId="18" fillId="0" borderId="0" xfId="1" applyNumberFormat="1" applyFont="1" applyAlignment="1">
      <alignment horizontal="center" vertical="center"/>
    </xf>
    <xf numFmtId="0" fontId="16" fillId="0" borderId="0" xfId="2" applyFont="1" applyAlignment="1">
      <alignment horizontal="center"/>
    </xf>
    <xf numFmtId="0" fontId="4" fillId="0" borderId="0" xfId="1" applyFont="1" applyAlignment="1">
      <alignment horizontal="left"/>
    </xf>
    <xf numFmtId="2" fontId="2" fillId="0" borderId="0" xfId="1" quotePrefix="1" applyNumberFormat="1" applyFont="1" applyAlignment="1">
      <alignment horizontal="left"/>
    </xf>
    <xf numFmtId="0" fontId="19" fillId="0" borderId="0" xfId="1" applyFont="1" applyAlignment="1">
      <alignment horizontal="left"/>
    </xf>
    <xf numFmtId="0" fontId="18" fillId="0" borderId="0" xfId="3" applyFont="1" applyAlignment="1">
      <alignment horizontal="left" vertical="center"/>
    </xf>
    <xf numFmtId="0" fontId="18" fillId="0" borderId="0" xfId="5" applyFont="1" applyAlignment="1">
      <alignment horizontal="left" vertical="center"/>
    </xf>
    <xf numFmtId="0" fontId="18" fillId="0" borderId="0" xfId="1" applyFont="1" applyAlignment="1">
      <alignment horizontal="left"/>
    </xf>
    <xf numFmtId="2" fontId="18" fillId="0" borderId="0" xfId="1" applyNumberFormat="1" applyFont="1" applyAlignment="1">
      <alignment horizontal="left" vertical="center" wrapText="1"/>
    </xf>
    <xf numFmtId="2" fontId="18" fillId="0" borderId="1" xfId="1" applyNumberFormat="1" applyFont="1" applyBorder="1" applyAlignment="1">
      <alignment horizontal="left" wrapText="1"/>
    </xf>
    <xf numFmtId="4" fontId="13" fillId="0" borderId="2" xfId="1" applyNumberFormat="1" applyFont="1" applyBorder="1" applyAlignment="1">
      <alignment vertical="center"/>
    </xf>
    <xf numFmtId="166" fontId="18" fillId="0" borderId="0" xfId="2" applyNumberFormat="1" applyFont="1" applyAlignment="1">
      <alignment horizontal="right" vertical="center"/>
    </xf>
    <xf numFmtId="0" fontId="9" fillId="0" borderId="4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21" fillId="0" borderId="0" xfId="2" applyFont="1" applyAlignment="1">
      <alignment horizontal="right" vertical="center"/>
    </xf>
    <xf numFmtId="0" fontId="22" fillId="0" borderId="0" xfId="2" applyFont="1" applyAlignment="1">
      <alignment vertical="center"/>
    </xf>
    <xf numFmtId="166" fontId="23" fillId="0" borderId="0" xfId="2" applyNumberFormat="1" applyFont="1" applyAlignment="1">
      <alignment horizontal="right" vertical="center"/>
    </xf>
    <xf numFmtId="0" fontId="23" fillId="0" borderId="0" xfId="2" applyFont="1" applyAlignment="1">
      <alignment horizontal="left" vertical="center"/>
    </xf>
    <xf numFmtId="164" fontId="23" fillId="0" borderId="0" xfId="2" applyNumberFormat="1" applyFont="1" applyAlignment="1">
      <alignment horizontal="left" vertical="center"/>
    </xf>
    <xf numFmtId="0" fontId="23" fillId="0" borderId="0" xfId="2" applyFont="1" applyAlignment="1">
      <alignment vertical="center"/>
    </xf>
    <xf numFmtId="0" fontId="24" fillId="0" borderId="0" xfId="2" applyFont="1" applyAlignment="1">
      <alignment vertical="center"/>
    </xf>
    <xf numFmtId="0" fontId="25" fillId="0" borderId="0" xfId="2" applyFont="1" applyAlignment="1">
      <alignment horizontal="right" vertical="center"/>
    </xf>
    <xf numFmtId="0" fontId="24" fillId="0" borderId="0" xfId="2" applyFont="1" applyAlignment="1">
      <alignment horizontal="right" vertical="center"/>
    </xf>
    <xf numFmtId="0" fontId="26" fillId="0" borderId="0" xfId="2" applyFont="1" applyAlignment="1">
      <alignment horizontal="center" vertical="center"/>
    </xf>
    <xf numFmtId="0" fontId="0" fillId="0" borderId="14" xfId="0" applyBorder="1"/>
    <xf numFmtId="0" fontId="0" fillId="0" borderId="13" xfId="0" applyBorder="1"/>
    <xf numFmtId="0" fontId="19" fillId="0" borderId="7" xfId="0" applyFont="1" applyBorder="1" applyAlignment="1">
      <alignment horizontal="left" vertical="top" wrapText="1"/>
    </xf>
    <xf numFmtId="49" fontId="11" fillId="0" borderId="7" xfId="0" applyNumberFormat="1" applyFont="1" applyBorder="1" applyAlignment="1">
      <alignment horizontal="left" vertical="top" wrapText="1"/>
    </xf>
    <xf numFmtId="0" fontId="0" fillId="3" borderId="0" xfId="0" applyFill="1"/>
    <xf numFmtId="0" fontId="11" fillId="0" borderId="7" xfId="0" applyFont="1" applyBorder="1" applyAlignment="1">
      <alignment horizontal="left" vertical="top" wrapText="1"/>
    </xf>
    <xf numFmtId="49" fontId="11" fillId="0" borderId="6" xfId="0" applyNumberFormat="1" applyFont="1" applyBorder="1" applyAlignment="1">
      <alignment horizontal="left" vertical="top" wrapText="1"/>
    </xf>
    <xf numFmtId="0" fontId="9" fillId="0" borderId="4" xfId="0" applyFont="1" applyBorder="1" applyAlignment="1">
      <alignment horizontal="center"/>
    </xf>
    <xf numFmtId="0" fontId="28" fillId="0" borderId="4" xfId="0" applyFont="1" applyBorder="1" applyAlignment="1">
      <alignment horizontal="center"/>
    </xf>
    <xf numFmtId="0" fontId="29" fillId="0" borderId="4" xfId="0" applyFont="1" applyBorder="1"/>
    <xf numFmtId="22" fontId="29" fillId="0" borderId="4" xfId="0" applyNumberFormat="1" applyFont="1" applyBorder="1"/>
    <xf numFmtId="2" fontId="29" fillId="0" borderId="4" xfId="0" applyNumberFormat="1" applyFont="1" applyBorder="1"/>
    <xf numFmtId="2" fontId="28" fillId="0" borderId="4" xfId="0" applyNumberFormat="1" applyFont="1" applyBorder="1" applyAlignment="1">
      <alignment horizontal="center"/>
    </xf>
    <xf numFmtId="49" fontId="11" fillId="0" borderId="0" xfId="8" applyNumberFormat="1" applyFont="1" applyBorder="1" applyAlignment="1">
      <alignment horizontal="left" vertical="top" wrapText="1"/>
    </xf>
    <xf numFmtId="49" fontId="11" fillId="0" borderId="17" xfId="0" applyNumberFormat="1" applyFont="1" applyBorder="1" applyAlignment="1">
      <alignment horizontal="left" vertical="top" wrapText="1"/>
    </xf>
    <xf numFmtId="0" fontId="11" fillId="0" borderId="17" xfId="0" applyFont="1" applyBorder="1" applyAlignment="1">
      <alignment horizontal="left" vertical="top" wrapText="1"/>
    </xf>
    <xf numFmtId="0" fontId="10" fillId="0" borderId="18" xfId="0" applyFont="1" applyBorder="1" applyAlignment="1">
      <alignment horizontal="center"/>
    </xf>
    <xf numFmtId="49" fontId="19" fillId="0" borderId="4" xfId="0" applyNumberFormat="1" applyFont="1" applyBorder="1" applyAlignment="1">
      <alignment horizontal="center" vertical="top" wrapText="1"/>
    </xf>
    <xf numFmtId="0" fontId="30" fillId="2" borderId="4" xfId="0" applyFont="1" applyFill="1" applyBorder="1" applyAlignment="1">
      <alignment horizontal="center" vertical="center"/>
    </xf>
    <xf numFmtId="49" fontId="18" fillId="0" borderId="4" xfId="0" applyNumberFormat="1" applyFont="1" applyBorder="1" applyAlignment="1">
      <alignment horizontal="left" vertical="top" wrapText="1"/>
    </xf>
    <xf numFmtId="0" fontId="18" fillId="0" borderId="4" xfId="0" applyFont="1" applyBorder="1" applyAlignment="1">
      <alignment horizontal="left" vertical="top" wrapText="1"/>
    </xf>
    <xf numFmtId="0" fontId="30" fillId="3" borderId="4" xfId="0" applyFont="1" applyFill="1" applyBorder="1" applyAlignment="1">
      <alignment horizontal="center" vertical="center"/>
    </xf>
    <xf numFmtId="49" fontId="19" fillId="0" borderId="4" xfId="0" applyNumberFormat="1" applyFont="1" applyBorder="1" applyAlignment="1">
      <alignment horizontal="left" vertical="top" wrapText="1"/>
    </xf>
    <xf numFmtId="0" fontId="19" fillId="0" borderId="4" xfId="0" applyFont="1" applyBorder="1" applyAlignment="1">
      <alignment horizontal="left" vertical="top" wrapText="1"/>
    </xf>
    <xf numFmtId="0" fontId="18" fillId="0" borderId="14" xfId="0" applyFont="1" applyBorder="1"/>
    <xf numFmtId="0" fontId="18" fillId="0" borderId="13" xfId="0" applyFont="1" applyBorder="1"/>
    <xf numFmtId="0" fontId="29" fillId="0" borderId="0" xfId="0" applyFont="1"/>
    <xf numFmtId="0" fontId="31" fillId="2" borderId="12" xfId="0" applyFont="1" applyFill="1" applyBorder="1" applyAlignment="1">
      <alignment horizontal="center" vertical="center"/>
    </xf>
    <xf numFmtId="0" fontId="31" fillId="2" borderId="11" xfId="0" applyFont="1" applyFill="1" applyBorder="1" applyAlignment="1">
      <alignment horizontal="center" vertical="center"/>
    </xf>
    <xf numFmtId="0" fontId="31" fillId="2" borderId="10" xfId="0" applyFont="1" applyFill="1" applyBorder="1" applyAlignment="1">
      <alignment horizontal="center" vertical="center"/>
    </xf>
    <xf numFmtId="0" fontId="31" fillId="2" borderId="9" xfId="0" applyFont="1" applyFill="1" applyBorder="1" applyAlignment="1">
      <alignment horizontal="center" vertical="center"/>
    </xf>
    <xf numFmtId="49" fontId="18" fillId="0" borderId="7" xfId="0" applyNumberFormat="1" applyFont="1" applyBorder="1" applyAlignment="1">
      <alignment horizontal="left" vertical="top" wrapText="1"/>
    </xf>
    <xf numFmtId="0" fontId="18" fillId="0" borderId="7" xfId="0" applyNumberFormat="1" applyFont="1" applyBorder="1" applyAlignment="1">
      <alignment vertical="top" wrapText="1"/>
    </xf>
    <xf numFmtId="0" fontId="19" fillId="0" borderId="4" xfId="0" applyFont="1" applyBorder="1" applyAlignment="1">
      <alignment horizontal="center"/>
    </xf>
    <xf numFmtId="0" fontId="29" fillId="3" borderId="0" xfId="0" applyFont="1" applyFill="1"/>
    <xf numFmtId="0" fontId="19" fillId="3" borderId="0" xfId="0" applyFont="1" applyFill="1" applyBorder="1" applyAlignment="1">
      <alignment horizontal="center" vertical="center"/>
    </xf>
    <xf numFmtId="0" fontId="18" fillId="0" borderId="7" xfId="0" applyFont="1" applyBorder="1" applyAlignment="1">
      <alignment horizontal="left" vertical="top" wrapText="1"/>
    </xf>
    <xf numFmtId="0" fontId="19" fillId="0" borderId="5" xfId="0" applyFont="1" applyBorder="1" applyAlignment="1">
      <alignment horizontal="center"/>
    </xf>
    <xf numFmtId="49" fontId="18" fillId="0" borderId="8" xfId="8" applyNumberFormat="1" applyFont="1" applyBorder="1" applyAlignment="1">
      <alignment horizontal="left" vertical="top" wrapText="1"/>
    </xf>
    <xf numFmtId="49" fontId="19" fillId="0" borderId="7" xfId="0" applyNumberFormat="1" applyFont="1" applyBorder="1" applyAlignment="1">
      <alignment horizontal="left" vertical="top" wrapText="1"/>
    </xf>
    <xf numFmtId="49" fontId="19" fillId="0" borderId="7" xfId="0" applyNumberFormat="1" applyFont="1" applyBorder="1" applyAlignment="1">
      <alignment horizontal="center" vertical="top" wrapText="1"/>
    </xf>
    <xf numFmtId="0" fontId="32" fillId="0" borderId="7" xfId="0" applyFont="1" applyBorder="1" applyAlignment="1">
      <alignment horizontal="left" vertical="top" wrapText="1"/>
    </xf>
    <xf numFmtId="49" fontId="18" fillId="0" borderId="6" xfId="0" applyNumberFormat="1" applyFont="1" applyBorder="1" applyAlignment="1">
      <alignment horizontal="left" vertical="top" wrapText="1"/>
    </xf>
    <xf numFmtId="0" fontId="28" fillId="0" borderId="4" xfId="0" applyFont="1" applyBorder="1"/>
    <xf numFmtId="0" fontId="9" fillId="0" borderId="4" xfId="0" applyFont="1" applyBorder="1" applyAlignment="1">
      <alignment horizontal="center"/>
    </xf>
    <xf numFmtId="0" fontId="13" fillId="0" borderId="7" xfId="0" applyFont="1" applyBorder="1" applyAlignment="1">
      <alignment horizontal="left" vertical="top" wrapText="1"/>
    </xf>
    <xf numFmtId="0" fontId="33" fillId="0" borderId="7" xfId="0" applyFont="1" applyBorder="1" applyAlignment="1">
      <alignment horizontal="left" vertical="top" wrapText="1"/>
    </xf>
    <xf numFmtId="49" fontId="13" fillId="0" borderId="7" xfId="0" applyNumberFormat="1" applyFont="1" applyBorder="1" applyAlignment="1">
      <alignment horizontal="left" vertical="top" wrapText="1"/>
    </xf>
    <xf numFmtId="0" fontId="2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34" fillId="0" borderId="0" xfId="0" applyFont="1"/>
    <xf numFmtId="166" fontId="35" fillId="0" borderId="0" xfId="2" applyNumberFormat="1" applyFont="1" applyAlignment="1">
      <alignment horizontal="right" vertical="center"/>
    </xf>
    <xf numFmtId="0" fontId="6" fillId="0" borderId="0" xfId="2" applyAlignment="1">
      <alignment horizontal="right"/>
    </xf>
    <xf numFmtId="0" fontId="18" fillId="0" borderId="0" xfId="6" applyFont="1" applyAlignment="1">
      <alignment horizontal="right" vertical="center"/>
    </xf>
    <xf numFmtId="0" fontId="36" fillId="0" borderId="0" xfId="2" applyFont="1" applyAlignment="1">
      <alignment vertical="center"/>
    </xf>
    <xf numFmtId="164" fontId="36" fillId="0" borderId="0" xfId="2" applyNumberFormat="1" applyFont="1" applyAlignment="1">
      <alignment horizontal="left" vertical="center"/>
    </xf>
    <xf numFmtId="0" fontId="36" fillId="0" borderId="0" xfId="2" applyFont="1" applyAlignment="1">
      <alignment horizontal="left" vertical="center"/>
    </xf>
    <xf numFmtId="0" fontId="17" fillId="0" borderId="0" xfId="2" applyFont="1" applyAlignment="1">
      <alignment horizontal="right"/>
    </xf>
    <xf numFmtId="0" fontId="6" fillId="0" borderId="0" xfId="2" applyFill="1"/>
    <xf numFmtId="164" fontId="23" fillId="0" borderId="0" xfId="2" applyNumberFormat="1" applyFont="1" applyFill="1" applyAlignment="1">
      <alignment horizontal="left" vertical="center"/>
    </xf>
    <xf numFmtId="0" fontId="23" fillId="0" borderId="0" xfId="2" applyFont="1" applyFill="1" applyAlignment="1">
      <alignment horizontal="left" vertical="center"/>
    </xf>
    <xf numFmtId="0" fontId="23" fillId="0" borderId="0" xfId="2" applyFont="1" applyFill="1" applyAlignment="1">
      <alignment vertical="center"/>
    </xf>
    <xf numFmtId="0" fontId="6" fillId="0" borderId="0" xfId="2" applyFill="1" applyAlignment="1">
      <alignment horizontal="right"/>
    </xf>
    <xf numFmtId="166" fontId="35" fillId="0" borderId="0" xfId="2" applyNumberFormat="1" applyFont="1" applyFill="1" applyAlignment="1">
      <alignment horizontal="right" vertical="center"/>
    </xf>
    <xf numFmtId="0" fontId="3" fillId="0" borderId="0" xfId="1" applyFont="1" applyAlignment="1">
      <alignment horizontal="right"/>
    </xf>
    <xf numFmtId="0" fontId="4" fillId="0" borderId="0" xfId="1" applyFont="1" applyAlignment="1">
      <alignment horizontal="right"/>
    </xf>
    <xf numFmtId="49" fontId="3" fillId="0" borderId="0" xfId="1" applyNumberFormat="1" applyFont="1" applyAlignment="1">
      <alignment horizontal="right"/>
    </xf>
    <xf numFmtId="49" fontId="19" fillId="0" borderId="0" xfId="1" applyNumberFormat="1" applyFont="1" applyAlignment="1">
      <alignment horizontal="right"/>
    </xf>
    <xf numFmtId="0" fontId="18" fillId="0" borderId="0" xfId="3" applyFont="1" applyAlignment="1">
      <alignment horizontal="right"/>
    </xf>
    <xf numFmtId="49" fontId="18" fillId="0" borderId="0" xfId="1" applyNumberFormat="1" applyFont="1" applyAlignment="1">
      <alignment horizontal="right"/>
    </xf>
    <xf numFmtId="0" fontId="19" fillId="0" borderId="0" xfId="1" applyFont="1" applyAlignment="1">
      <alignment horizontal="right"/>
    </xf>
    <xf numFmtId="0" fontId="18" fillId="0" borderId="0" xfId="1" applyFont="1" applyAlignment="1">
      <alignment horizontal="right"/>
    </xf>
    <xf numFmtId="0" fontId="18" fillId="0" borderId="0" xfId="1" applyFont="1" applyAlignment="1">
      <alignment horizontal="right" vertical="center"/>
    </xf>
    <xf numFmtId="2" fontId="18" fillId="0" borderId="1" xfId="1" applyNumberFormat="1" applyFont="1" applyBorder="1" applyAlignment="1">
      <alignment horizontal="right" wrapText="1"/>
    </xf>
    <xf numFmtId="166" fontId="36" fillId="0" borderId="0" xfId="2" applyNumberFormat="1" applyFont="1" applyAlignment="1">
      <alignment horizontal="right" vertical="center"/>
    </xf>
    <xf numFmtId="2" fontId="28" fillId="0" borderId="4" xfId="0" applyNumberFormat="1" applyFont="1" applyBorder="1"/>
    <xf numFmtId="2" fontId="9" fillId="0" borderId="4" xfId="0" applyNumberFormat="1" applyFont="1" applyBorder="1"/>
    <xf numFmtId="0" fontId="32" fillId="0" borderId="0" xfId="2" applyFont="1" applyAlignment="1">
      <alignment horizontal="center" vertical="center"/>
    </xf>
    <xf numFmtId="0" fontId="37" fillId="2" borderId="12" xfId="0" applyFont="1" applyFill="1" applyBorder="1" applyAlignment="1">
      <alignment horizontal="center" vertical="center"/>
    </xf>
    <xf numFmtId="0" fontId="37" fillId="2" borderId="11" xfId="0" applyFont="1" applyFill="1" applyBorder="1" applyAlignment="1">
      <alignment horizontal="center" vertical="center"/>
    </xf>
    <xf numFmtId="0" fontId="38" fillId="2" borderId="11" xfId="0" applyFont="1" applyFill="1" applyBorder="1" applyAlignment="1">
      <alignment horizontal="center" vertical="center"/>
    </xf>
    <xf numFmtId="0" fontId="37" fillId="2" borderId="10" xfId="0" applyFont="1" applyFill="1" applyBorder="1" applyAlignment="1">
      <alignment horizontal="center" vertical="center"/>
    </xf>
    <xf numFmtId="0" fontId="37" fillId="2" borderId="9" xfId="0" applyFont="1" applyFill="1" applyBorder="1" applyAlignment="1">
      <alignment horizontal="center" vertical="center"/>
    </xf>
    <xf numFmtId="0" fontId="0" fillId="0" borderId="0" xfId="0" applyFont="1"/>
    <xf numFmtId="49" fontId="39" fillId="0" borderId="7" xfId="0" applyNumberFormat="1" applyFont="1" applyBorder="1" applyAlignment="1">
      <alignment horizontal="left" vertical="top" wrapText="1"/>
    </xf>
    <xf numFmtId="0" fontId="39" fillId="0" borderId="7" xfId="0" applyFont="1" applyBorder="1" applyAlignment="1">
      <alignment horizontal="left" vertical="top" wrapText="1"/>
    </xf>
    <xf numFmtId="0" fontId="37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49" fontId="39" fillId="0" borderId="8" xfId="8" applyNumberFormat="1" applyFont="1" applyBorder="1" applyAlignment="1">
      <alignment horizontal="left" vertical="top" wrapText="1"/>
    </xf>
    <xf numFmtId="0" fontId="32" fillId="0" borderId="0" xfId="1" applyFont="1" applyAlignment="1">
      <alignment horizontal="center"/>
    </xf>
    <xf numFmtId="0" fontId="32" fillId="0" borderId="0" xfId="1" applyFont="1"/>
    <xf numFmtId="166" fontId="40" fillId="0" borderId="0" xfId="3" applyNumberFormat="1" applyFont="1" applyAlignment="1">
      <alignment horizontal="right" vertical="center"/>
    </xf>
    <xf numFmtId="0" fontId="40" fillId="0" borderId="0" xfId="1" applyFont="1"/>
    <xf numFmtId="0" fontId="9" fillId="0" borderId="4" xfId="0" applyFont="1" applyBorder="1"/>
    <xf numFmtId="0" fontId="9" fillId="0" borderId="4" xfId="0" applyFont="1" applyBorder="1" applyAlignment="1">
      <alignment horizontal="center"/>
    </xf>
    <xf numFmtId="166" fontId="35" fillId="0" borderId="1" xfId="2" applyNumberFormat="1" applyFont="1" applyFill="1" applyBorder="1" applyAlignment="1">
      <alignment horizontal="right" vertical="center"/>
    </xf>
    <xf numFmtId="166" fontId="35" fillId="0" borderId="0" xfId="2" applyNumberFormat="1" applyFont="1" applyFill="1" applyBorder="1" applyAlignment="1">
      <alignment horizontal="right" vertical="center"/>
    </xf>
    <xf numFmtId="0" fontId="9" fillId="0" borderId="4" xfId="0" applyFont="1" applyBorder="1" applyAlignment="1">
      <alignment horizontal="center"/>
    </xf>
    <xf numFmtId="166" fontId="23" fillId="4" borderId="0" xfId="2" applyNumberFormat="1" applyFont="1" applyFill="1" applyAlignment="1">
      <alignment horizontal="right" vertical="center"/>
    </xf>
    <xf numFmtId="166" fontId="36" fillId="4" borderId="0" xfId="2" applyNumberFormat="1" applyFont="1" applyFill="1" applyAlignment="1">
      <alignment horizontal="right" vertical="center"/>
    </xf>
    <xf numFmtId="166" fontId="21" fillId="0" borderId="0" xfId="2" applyNumberFormat="1" applyFont="1" applyAlignment="1">
      <alignment horizontal="left" vertical="center"/>
    </xf>
    <xf numFmtId="0" fontId="42" fillId="0" borderId="0" xfId="2" applyFont="1" applyAlignment="1">
      <alignment horizontal="right" vertical="center"/>
    </xf>
    <xf numFmtId="166" fontId="21" fillId="0" borderId="0" xfId="2" applyNumberFormat="1" applyFont="1" applyAlignment="1">
      <alignment horizontal="right" vertical="center"/>
    </xf>
    <xf numFmtId="0" fontId="21" fillId="0" borderId="0" xfId="2" applyFont="1" applyAlignment="1">
      <alignment horizontal="left" vertical="center"/>
    </xf>
    <xf numFmtId="164" fontId="21" fillId="0" borderId="0" xfId="2" applyNumberFormat="1" applyFont="1" applyAlignment="1">
      <alignment horizontal="left" vertical="center"/>
    </xf>
    <xf numFmtId="0" fontId="21" fillId="0" borderId="0" xfId="2" applyFont="1" applyAlignment="1">
      <alignment vertical="center"/>
    </xf>
    <xf numFmtId="166" fontId="43" fillId="0" borderId="0" xfId="2" applyNumberFormat="1" applyFont="1" applyAlignment="1">
      <alignment horizontal="right" vertical="center"/>
    </xf>
    <xf numFmtId="0" fontId="42" fillId="0" borderId="0" xfId="2" applyFont="1" applyAlignment="1">
      <alignment horizontal="center" vertical="center"/>
    </xf>
    <xf numFmtId="0" fontId="42" fillId="0" borderId="0" xfId="2" applyFont="1" applyAlignment="1">
      <alignment horizontal="left" vertical="center"/>
    </xf>
    <xf numFmtId="0" fontId="42" fillId="0" borderId="0" xfId="2" applyFont="1" applyAlignment="1">
      <alignment vertical="center"/>
    </xf>
    <xf numFmtId="168" fontId="21" fillId="0" borderId="0" xfId="2" applyNumberFormat="1" applyFont="1" applyAlignment="1">
      <alignment vertical="center"/>
    </xf>
    <xf numFmtId="3" fontId="21" fillId="0" borderId="0" xfId="2" applyNumberFormat="1" applyFont="1" applyAlignment="1">
      <alignment horizontal="left" vertical="center"/>
    </xf>
    <xf numFmtId="2" fontId="0" fillId="0" borderId="0" xfId="0" applyNumberFormat="1"/>
    <xf numFmtId="2" fontId="9" fillId="0" borderId="0" xfId="0" applyNumberFormat="1" applyFont="1"/>
    <xf numFmtId="0" fontId="9" fillId="0" borderId="0" xfId="0" applyFont="1"/>
    <xf numFmtId="0" fontId="0" fillId="0" borderId="5" xfId="0" applyBorder="1"/>
    <xf numFmtId="22" fontId="0" fillId="0" borderId="5" xfId="0" applyNumberFormat="1" applyBorder="1"/>
    <xf numFmtId="0" fontId="9" fillId="0" borderId="5" xfId="0" applyFont="1" applyBorder="1" applyAlignment="1">
      <alignment horizontal="center"/>
    </xf>
    <xf numFmtId="4" fontId="18" fillId="0" borderId="0" xfId="1" applyNumberFormat="1" applyFont="1" applyBorder="1" applyAlignment="1">
      <alignment horizontal="center"/>
    </xf>
    <xf numFmtId="166" fontId="36" fillId="0" borderId="0" xfId="2" applyNumberFormat="1" applyFont="1" applyFill="1" applyAlignment="1">
      <alignment horizontal="center" vertical="center"/>
    </xf>
    <xf numFmtId="2" fontId="18" fillId="0" borderId="0" xfId="1" applyNumberFormat="1" applyFont="1" applyAlignment="1">
      <alignment horizontal="left" wrapText="1"/>
    </xf>
    <xf numFmtId="0" fontId="3" fillId="0" borderId="0" xfId="2" applyFont="1" applyAlignment="1">
      <alignment vertical="center"/>
    </xf>
    <xf numFmtId="0" fontId="41" fillId="0" borderId="0" xfId="0" applyFont="1"/>
    <xf numFmtId="0" fontId="13" fillId="0" borderId="0" xfId="0" applyFont="1"/>
    <xf numFmtId="0" fontId="9" fillId="0" borderId="0" xfId="0" applyFont="1" applyAlignment="1">
      <alignment horizontal="center"/>
    </xf>
    <xf numFmtId="0" fontId="9" fillId="0" borderId="4" xfId="0" applyFont="1" applyBorder="1" applyAlignment="1">
      <alignment horizontal="center"/>
    </xf>
    <xf numFmtId="165" fontId="21" fillId="0" borderId="0" xfId="2" applyNumberFormat="1" applyFont="1" applyAlignment="1">
      <alignment horizontal="right" vertical="center"/>
    </xf>
    <xf numFmtId="2" fontId="6" fillId="0" borderId="0" xfId="2" applyNumberFormat="1" applyAlignment="1">
      <alignment horizontal="right"/>
    </xf>
    <xf numFmtId="2" fontId="44" fillId="0" borderId="0" xfId="2" applyNumberFormat="1" applyFont="1" applyAlignment="1">
      <alignment horizontal="right"/>
    </xf>
    <xf numFmtId="0" fontId="17" fillId="0" borderId="0" xfId="2" applyFont="1"/>
    <xf numFmtId="2" fontId="17" fillId="0" borderId="0" xfId="2" applyNumberFormat="1" applyFont="1" applyAlignment="1">
      <alignment horizontal="right"/>
    </xf>
    <xf numFmtId="0" fontId="44" fillId="0" borderId="0" xfId="2" applyFont="1"/>
    <xf numFmtId="0" fontId="45" fillId="0" borderId="0" xfId="2" applyFont="1" applyAlignment="1">
      <alignment horizontal="right"/>
    </xf>
    <xf numFmtId="49" fontId="18" fillId="0" borderId="0" xfId="2" applyNumberFormat="1" applyFont="1" applyAlignment="1">
      <alignment horizontal="left" vertical="top" wrapText="1"/>
    </xf>
    <xf numFmtId="2" fontId="18" fillId="0" borderId="0" xfId="2" applyNumberFormat="1" applyFont="1" applyAlignment="1">
      <alignment horizontal="right" vertical="top" wrapText="1"/>
    </xf>
    <xf numFmtId="0" fontId="19" fillId="0" borderId="0" xfId="2" applyFont="1" applyAlignment="1">
      <alignment horizontal="right"/>
    </xf>
    <xf numFmtId="166" fontId="3" fillId="0" borderId="0" xfId="2" applyNumberFormat="1" applyFont="1" applyAlignment="1">
      <alignment horizontal="right" vertical="center"/>
    </xf>
    <xf numFmtId="0" fontId="6" fillId="0" borderId="0" xfId="2" applyBorder="1"/>
    <xf numFmtId="0" fontId="44" fillId="0" borderId="4" xfId="2" applyFont="1" applyBorder="1" applyAlignment="1">
      <alignment horizontal="center"/>
    </xf>
    <xf numFmtId="4" fontId="18" fillId="0" borderId="0" xfId="1" applyNumberFormat="1" applyFont="1" applyBorder="1"/>
    <xf numFmtId="0" fontId="46" fillId="0" borderId="0" xfId="2" applyFont="1" applyBorder="1"/>
    <xf numFmtId="0" fontId="32" fillId="0" borderId="0" xfId="1" applyFont="1" applyBorder="1"/>
    <xf numFmtId="0" fontId="18" fillId="0" borderId="0" xfId="1" applyFont="1" applyBorder="1"/>
    <xf numFmtId="0" fontId="4" fillId="0" borderId="0" xfId="1" applyFont="1" applyBorder="1"/>
    <xf numFmtId="2" fontId="46" fillId="0" borderId="0" xfId="2" applyNumberFormat="1" applyFont="1" applyBorder="1"/>
    <xf numFmtId="2" fontId="18" fillId="0" borderId="0" xfId="4" applyNumberFormat="1" applyFont="1" applyBorder="1" applyAlignment="1">
      <alignment horizontal="center" vertical="center"/>
    </xf>
    <xf numFmtId="2" fontId="29" fillId="0" borderId="0" xfId="0" applyNumberFormat="1" applyFont="1" applyAlignment="1">
      <alignment horizontal="right"/>
    </xf>
    <xf numFmtId="49" fontId="18" fillId="0" borderId="0" xfId="0" applyNumberFormat="1" applyFont="1" applyAlignment="1">
      <alignment horizontal="left" vertical="top" wrapText="1"/>
    </xf>
    <xf numFmtId="2" fontId="18" fillId="0" borderId="0" xfId="0" applyNumberFormat="1" applyFont="1" applyAlignment="1">
      <alignment horizontal="right" vertical="top" wrapText="1"/>
    </xf>
    <xf numFmtId="0" fontId="28" fillId="0" borderId="0" xfId="0" applyFont="1" applyAlignment="1">
      <alignment horizontal="center"/>
    </xf>
    <xf numFmtId="2" fontId="19" fillId="0" borderId="0" xfId="0" applyNumberFormat="1" applyFont="1" applyAlignment="1">
      <alignment horizontal="right" vertical="top" wrapText="1"/>
    </xf>
    <xf numFmtId="49" fontId="19" fillId="0" borderId="0" xfId="0" applyNumberFormat="1" applyFont="1" applyAlignment="1">
      <alignment horizontal="left" vertical="top" wrapText="1"/>
    </xf>
    <xf numFmtId="2" fontId="32" fillId="0" borderId="0" xfId="0" applyNumberFormat="1" applyFont="1" applyAlignment="1">
      <alignment horizontal="right" vertical="top" wrapText="1"/>
    </xf>
    <xf numFmtId="49" fontId="18" fillId="0" borderId="0" xfId="8" applyNumberFormat="1" applyFont="1" applyAlignment="1">
      <alignment horizontal="left" vertical="top" wrapText="1"/>
    </xf>
    <xf numFmtId="0" fontId="47" fillId="0" borderId="0" xfId="0" applyFont="1"/>
    <xf numFmtId="0" fontId="16" fillId="0" borderId="0" xfId="2" applyFont="1" applyBorder="1"/>
    <xf numFmtId="49" fontId="11" fillId="0" borderId="0" xfId="0" applyNumberFormat="1" applyFont="1" applyAlignment="1">
      <alignment horizontal="left" vertical="top" wrapText="1"/>
    </xf>
    <xf numFmtId="2" fontId="11" fillId="0" borderId="0" xfId="0" applyNumberFormat="1" applyFont="1" applyAlignment="1">
      <alignment horizontal="right" vertical="top" wrapText="1"/>
    </xf>
    <xf numFmtId="0" fontId="10" fillId="0" borderId="0" xfId="0" applyFont="1" applyAlignment="1">
      <alignment horizontal="center"/>
    </xf>
    <xf numFmtId="49" fontId="48" fillId="0" borderId="0" xfId="0" applyNumberFormat="1" applyFont="1" applyAlignment="1">
      <alignment horizontal="left" vertical="top" wrapText="1"/>
    </xf>
    <xf numFmtId="0" fontId="49" fillId="0" borderId="0" xfId="0" applyFont="1"/>
    <xf numFmtId="49" fontId="11" fillId="0" borderId="0" xfId="8" applyNumberFormat="1" applyFont="1" applyAlignment="1">
      <alignment horizontal="left" vertical="top" wrapText="1"/>
    </xf>
    <xf numFmtId="2" fontId="48" fillId="0" borderId="0" xfId="0" applyNumberFormat="1" applyFont="1" applyAlignment="1">
      <alignment horizontal="right" vertical="top" wrapText="1"/>
    </xf>
    <xf numFmtId="2" fontId="0" fillId="0" borderId="0" xfId="0" applyNumberFormat="1" applyAlignment="1">
      <alignment horizontal="right"/>
    </xf>
    <xf numFmtId="2" fontId="0" fillId="0" borderId="4" xfId="0" applyNumberFormat="1" applyBorder="1"/>
    <xf numFmtId="2" fontId="13" fillId="0" borderId="4" xfId="0" applyNumberFormat="1" applyFont="1" applyBorder="1"/>
    <xf numFmtId="2" fontId="13" fillId="0" borderId="0" xfId="0" applyNumberFormat="1" applyFont="1"/>
    <xf numFmtId="0" fontId="50" fillId="0" borderId="0" xfId="0" applyFont="1"/>
    <xf numFmtId="0" fontId="51" fillId="0" borderId="0" xfId="0" applyFont="1"/>
    <xf numFmtId="166" fontId="35" fillId="0" borderId="0" xfId="2" applyNumberFormat="1" applyFont="1" applyBorder="1" applyAlignment="1">
      <alignment horizontal="right" vertical="center"/>
    </xf>
    <xf numFmtId="166" fontId="3" fillId="0" borderId="0" xfId="2" applyNumberFormat="1" applyFont="1" applyFill="1" applyAlignment="1">
      <alignment horizontal="right" vertical="center"/>
    </xf>
    <xf numFmtId="169" fontId="21" fillId="0" borderId="0" xfId="2" applyNumberFormat="1" applyFont="1" applyAlignment="1">
      <alignment vertical="center"/>
    </xf>
    <xf numFmtId="166" fontId="36" fillId="0" borderId="1" xfId="2" applyNumberFormat="1" applyFont="1" applyFill="1" applyBorder="1" applyAlignment="1">
      <alignment horizontal="right" vertical="center"/>
    </xf>
    <xf numFmtId="166" fontId="36" fillId="0" borderId="1" xfId="2" applyNumberFormat="1" applyFont="1" applyBorder="1" applyAlignment="1">
      <alignment horizontal="right" vertical="center"/>
    </xf>
    <xf numFmtId="166" fontId="23" fillId="4" borderId="1" xfId="2" applyNumberFormat="1" applyFont="1" applyFill="1" applyBorder="1" applyAlignment="1">
      <alignment horizontal="right" vertical="center"/>
    </xf>
    <xf numFmtId="0" fontId="0" fillId="0" borderId="0" xfId="0" applyAlignment="1">
      <alignment horizontal="right"/>
    </xf>
    <xf numFmtId="166" fontId="36" fillId="0" borderId="1" xfId="2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right"/>
    </xf>
    <xf numFmtId="166" fontId="3" fillId="0" borderId="1" xfId="2" applyNumberFormat="1" applyFont="1" applyBorder="1" applyAlignment="1">
      <alignment horizontal="right" vertical="center"/>
    </xf>
    <xf numFmtId="0" fontId="13" fillId="0" borderId="4" xfId="0" applyFont="1" applyBorder="1" applyAlignment="1">
      <alignment horizontal="center"/>
    </xf>
    <xf numFmtId="0" fontId="44" fillId="0" borderId="4" xfId="2" applyFont="1" applyBorder="1"/>
    <xf numFmtId="2" fontId="44" fillId="0" borderId="4" xfId="2" applyNumberFormat="1" applyFont="1" applyBorder="1" applyAlignment="1">
      <alignment horizontal="right"/>
    </xf>
    <xf numFmtId="2" fontId="19" fillId="0" borderId="0" xfId="2" applyNumberFormat="1" applyFont="1" applyAlignment="1">
      <alignment horizontal="right"/>
    </xf>
    <xf numFmtId="166" fontId="21" fillId="0" borderId="1" xfId="2" applyNumberFormat="1" applyFont="1" applyBorder="1" applyAlignment="1">
      <alignment horizontal="right" vertical="center"/>
    </xf>
    <xf numFmtId="0" fontId="19" fillId="0" borderId="4" xfId="0" applyFont="1" applyFill="1" applyBorder="1" applyAlignment="1">
      <alignment horizontal="center" vertical="center"/>
    </xf>
    <xf numFmtId="2" fontId="19" fillId="0" borderId="4" xfId="0" applyNumberFormat="1" applyFont="1" applyFill="1" applyBorder="1" applyAlignment="1">
      <alignment horizontal="right" vertical="center"/>
    </xf>
    <xf numFmtId="0" fontId="52" fillId="0" borderId="4" xfId="0" applyFont="1" applyFill="1" applyBorder="1" applyAlignment="1">
      <alignment horizontal="center" vertical="center"/>
    </xf>
    <xf numFmtId="2" fontId="52" fillId="0" borderId="4" xfId="0" applyNumberFormat="1" applyFont="1" applyFill="1" applyBorder="1" applyAlignment="1">
      <alignment horizontal="center" vertical="center"/>
    </xf>
    <xf numFmtId="164" fontId="43" fillId="0" borderId="0" xfId="2" applyNumberFormat="1" applyFont="1" applyFill="1" applyAlignment="1">
      <alignment horizontal="left" vertical="center"/>
    </xf>
    <xf numFmtId="0" fontId="43" fillId="0" borderId="0" xfId="2" applyFont="1" applyFill="1" applyAlignment="1">
      <alignment horizontal="left" vertical="center"/>
    </xf>
    <xf numFmtId="0" fontId="43" fillId="0" borderId="0" xfId="2" applyFont="1" applyFill="1" applyAlignment="1">
      <alignment vertical="center"/>
    </xf>
    <xf numFmtId="49" fontId="32" fillId="0" borderId="0" xfId="1" applyNumberFormat="1" applyFont="1" applyFill="1" applyAlignment="1">
      <alignment horizontal="right"/>
    </xf>
    <xf numFmtId="0" fontId="53" fillId="0" borderId="0" xfId="2" applyFont="1" applyFill="1" applyAlignment="1">
      <alignment horizontal="right"/>
    </xf>
    <xf numFmtId="169" fontId="21" fillId="0" borderId="0" xfId="2" applyNumberFormat="1" applyFont="1" applyAlignment="1">
      <alignment vertical="center"/>
    </xf>
    <xf numFmtId="0" fontId="19" fillId="0" borderId="15" xfId="0" applyFont="1" applyBorder="1" applyAlignment="1">
      <alignment horizontal="center"/>
    </xf>
    <xf numFmtId="0" fontId="19" fillId="0" borderId="14" xfId="0" applyFont="1" applyBorder="1" applyAlignment="1">
      <alignment horizontal="center"/>
    </xf>
    <xf numFmtId="0" fontId="28" fillId="0" borderId="4" xfId="0" applyFont="1" applyBorder="1" applyAlignment="1">
      <alignment horizontal="center"/>
    </xf>
    <xf numFmtId="2" fontId="19" fillId="0" borderId="3" xfId="1" applyNumberFormat="1" applyFont="1" applyBorder="1" applyAlignment="1">
      <alignment horizontal="center" wrapText="1"/>
    </xf>
    <xf numFmtId="0" fontId="9" fillId="0" borderId="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44" fillId="0" borderId="0" xfId="2" applyFont="1" applyAlignment="1">
      <alignment horizontal="center"/>
    </xf>
    <xf numFmtId="2" fontId="2" fillId="0" borderId="0" xfId="1" quotePrefix="1" applyNumberFormat="1" applyFont="1" applyAlignment="1">
      <alignment horizontal="center"/>
    </xf>
    <xf numFmtId="2" fontId="5" fillId="0" borderId="0" xfId="1" applyNumberFormat="1" applyFont="1" applyAlignment="1">
      <alignment horizontal="center" wrapText="1"/>
    </xf>
    <xf numFmtId="2" fontId="20" fillId="0" borderId="0" xfId="1" applyNumberFormat="1" applyFont="1" applyAlignment="1">
      <alignment horizontal="left" wrapText="1"/>
    </xf>
    <xf numFmtId="0" fontId="28" fillId="0" borderId="0" xfId="0" applyFont="1" applyAlignment="1">
      <alignment horizontal="center"/>
    </xf>
    <xf numFmtId="166" fontId="43" fillId="0" borderId="0" xfId="2" applyNumberFormat="1" applyFont="1" applyFill="1" applyAlignment="1">
      <alignment horizontal="center" vertical="center"/>
    </xf>
    <xf numFmtId="166" fontId="43" fillId="0" borderId="1" xfId="2" applyNumberFormat="1" applyFont="1" applyFill="1" applyBorder="1" applyAlignment="1">
      <alignment horizontal="center" vertical="center"/>
    </xf>
  </cellXfs>
  <cellStyles count="10">
    <cellStyle name="Millares 2" xfId="7" xr:uid="{491EE3FD-DDB4-473C-9622-2C1EF23989A3}"/>
    <cellStyle name="Normal" xfId="0" builtinId="0"/>
    <cellStyle name="Normal 2" xfId="8" xr:uid="{5F381AAA-F637-4011-886A-132B6100AFBC}"/>
    <cellStyle name="Normal 3" xfId="9" xr:uid="{63A2F704-E06F-4487-B8BC-F1CF80165C24}"/>
    <cellStyle name="Normal 3 2" xfId="5" xr:uid="{27410E1E-50F6-4374-BCB7-F2DACCD5EE5F}"/>
    <cellStyle name="Normal 4" xfId="1" xr:uid="{CBCA9A5A-FF0E-4067-9052-A718FC18568D}"/>
    <cellStyle name="Normal 5" xfId="6" xr:uid="{FDCE5733-F81D-4717-BF4D-CA488B36DEFA}"/>
    <cellStyle name="Normal 6" xfId="4" xr:uid="{5119951B-5EB3-4BB6-A02A-28357F1E889B}"/>
    <cellStyle name="Normal 7 2" xfId="3" xr:uid="{C640ADA7-2520-4B8E-B96A-BE050001E890}"/>
    <cellStyle name="Normal 8" xfId="2" xr:uid="{CE33F1DE-B613-48B1-96C2-6B589D0CEC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789</xdr:row>
      <xdr:rowOff>0</xdr:rowOff>
    </xdr:from>
    <xdr:ext cx="1343025" cy="333375"/>
    <xdr:pic>
      <xdr:nvPicPr>
        <xdr:cNvPr id="2" name="Imagen 1">
          <a:extLst>
            <a:ext uri="{FF2B5EF4-FFF2-40B4-BE49-F238E27FC236}">
              <a16:creationId xmlns:a16="http://schemas.microsoft.com/office/drawing/2014/main" id="{E9B4D5A6-E4D4-4E43-82CF-72A4305B4C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7758825"/>
          <a:ext cx="1343025" cy="3333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705</xdr:row>
      <xdr:rowOff>0</xdr:rowOff>
    </xdr:from>
    <xdr:ext cx="1343025" cy="333375"/>
    <xdr:pic>
      <xdr:nvPicPr>
        <xdr:cNvPr id="2" name="Imagen 1">
          <a:extLst>
            <a:ext uri="{FF2B5EF4-FFF2-40B4-BE49-F238E27FC236}">
              <a16:creationId xmlns:a16="http://schemas.microsoft.com/office/drawing/2014/main" id="{2D84E803-6334-4633-A808-9068369E1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14157125"/>
          <a:ext cx="1343025" cy="3333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811</xdr:row>
      <xdr:rowOff>0</xdr:rowOff>
    </xdr:from>
    <xdr:ext cx="1343025" cy="333375"/>
    <xdr:pic>
      <xdr:nvPicPr>
        <xdr:cNvPr id="2" name="Imagen 1">
          <a:extLst>
            <a:ext uri="{FF2B5EF4-FFF2-40B4-BE49-F238E27FC236}">
              <a16:creationId xmlns:a16="http://schemas.microsoft.com/office/drawing/2014/main" id="{C574D556-2AF6-454F-ACAD-A2A5FF085A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31321175"/>
          <a:ext cx="1343025" cy="3333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777</xdr:row>
      <xdr:rowOff>0</xdr:rowOff>
    </xdr:from>
    <xdr:ext cx="1343025" cy="333375"/>
    <xdr:pic>
      <xdr:nvPicPr>
        <xdr:cNvPr id="2" name="Imagen 1">
          <a:extLst>
            <a:ext uri="{FF2B5EF4-FFF2-40B4-BE49-F238E27FC236}">
              <a16:creationId xmlns:a16="http://schemas.microsoft.com/office/drawing/2014/main" id="{E2AFFB36-9D4B-49FF-B82A-34D39C39A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5815725"/>
          <a:ext cx="1343025" cy="3333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796</xdr:row>
      <xdr:rowOff>0</xdr:rowOff>
    </xdr:from>
    <xdr:ext cx="1343025" cy="333375"/>
    <xdr:pic>
      <xdr:nvPicPr>
        <xdr:cNvPr id="2" name="Imagen 1">
          <a:extLst>
            <a:ext uri="{FF2B5EF4-FFF2-40B4-BE49-F238E27FC236}">
              <a16:creationId xmlns:a16="http://schemas.microsoft.com/office/drawing/2014/main" id="{B9D481A7-126D-4150-A179-84A037A40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8892300"/>
          <a:ext cx="1343025" cy="3333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830</xdr:row>
      <xdr:rowOff>0</xdr:rowOff>
    </xdr:from>
    <xdr:ext cx="1343025" cy="333375"/>
    <xdr:pic>
      <xdr:nvPicPr>
        <xdr:cNvPr id="2" name="Imagen 1">
          <a:extLst>
            <a:ext uri="{FF2B5EF4-FFF2-40B4-BE49-F238E27FC236}">
              <a16:creationId xmlns:a16="http://schemas.microsoft.com/office/drawing/2014/main" id="{20FB1D9A-1832-4B80-9261-8A7A95E42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34397750"/>
          <a:ext cx="1343025" cy="3333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843</xdr:row>
      <xdr:rowOff>0</xdr:rowOff>
    </xdr:from>
    <xdr:ext cx="1343025" cy="333375"/>
    <xdr:pic>
      <xdr:nvPicPr>
        <xdr:cNvPr id="2" name="Imagen 1">
          <a:extLst>
            <a:ext uri="{FF2B5EF4-FFF2-40B4-BE49-F238E27FC236}">
              <a16:creationId xmlns:a16="http://schemas.microsoft.com/office/drawing/2014/main" id="{E7D0F61A-6ABD-4C0C-8986-FAB0C05359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36502775"/>
          <a:ext cx="1343025" cy="3333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800</xdr:row>
      <xdr:rowOff>0</xdr:rowOff>
    </xdr:from>
    <xdr:to>
      <xdr:col>1</xdr:col>
      <xdr:colOff>657225</xdr:colOff>
      <xdr:row>802</xdr:row>
      <xdr:rowOff>9525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212FE86-3344-4CA4-BD6E-21B688A7B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9625725"/>
          <a:ext cx="1343025" cy="3333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ED6A8-1108-4B4A-9A28-8E880339AE62}">
  <dimension ref="A2:K791"/>
  <sheetViews>
    <sheetView topLeftCell="A769" workbookViewId="0">
      <selection activeCell="E793" sqref="E793"/>
    </sheetView>
  </sheetViews>
  <sheetFormatPr baseColWidth="10" defaultRowHeight="12.75" x14ac:dyDescent="0.2"/>
  <cols>
    <col min="1" max="16384" width="11.42578125" style="22"/>
  </cols>
  <sheetData>
    <row r="2" spans="1:11" ht="19.5" x14ac:dyDescent="0.2">
      <c r="F2" s="95" t="s">
        <v>541</v>
      </c>
      <c r="J2" s="197" t="s">
        <v>540</v>
      </c>
      <c r="K2" s="207">
        <v>1</v>
      </c>
    </row>
    <row r="3" spans="1:11" x14ac:dyDescent="0.2">
      <c r="J3" s="197" t="s">
        <v>539</v>
      </c>
      <c r="K3" s="206">
        <v>44462</v>
      </c>
    </row>
    <row r="5" spans="1:11" x14ac:dyDescent="0.2">
      <c r="E5" s="94" t="s">
        <v>538</v>
      </c>
      <c r="F5" s="92" t="s">
        <v>2601</v>
      </c>
      <c r="G5" s="94" t="s">
        <v>537</v>
      </c>
      <c r="H5" s="92" t="s">
        <v>2601</v>
      </c>
      <c r="J5" s="267">
        <v>0.81388888888888888</v>
      </c>
    </row>
    <row r="7" spans="1:11" x14ac:dyDescent="0.2">
      <c r="J7" s="197" t="s">
        <v>536</v>
      </c>
      <c r="K7" s="201" t="s">
        <v>1579</v>
      </c>
    </row>
    <row r="8" spans="1:11" x14ac:dyDescent="0.2">
      <c r="C8" s="93" t="s">
        <v>535</v>
      </c>
      <c r="D8" s="92" t="s">
        <v>534</v>
      </c>
      <c r="F8" s="93" t="s">
        <v>533</v>
      </c>
      <c r="G8" s="92" t="s">
        <v>531</v>
      </c>
      <c r="I8" s="93" t="s">
        <v>532</v>
      </c>
      <c r="J8" s="92" t="s">
        <v>531</v>
      </c>
    </row>
    <row r="11" spans="1:11" x14ac:dyDescent="0.2">
      <c r="A11" s="205" t="s">
        <v>530</v>
      </c>
      <c r="C11" s="204" t="s">
        <v>529</v>
      </c>
      <c r="D11" s="204" t="s">
        <v>528</v>
      </c>
      <c r="F11" s="203" t="s">
        <v>527</v>
      </c>
      <c r="I11" s="197" t="s">
        <v>21</v>
      </c>
      <c r="J11" s="197" t="s">
        <v>20</v>
      </c>
      <c r="K11" s="197" t="s">
        <v>526</v>
      </c>
    </row>
    <row r="14" spans="1:11" x14ac:dyDescent="0.2">
      <c r="A14" s="205" t="s">
        <v>525</v>
      </c>
      <c r="B14" s="199" t="s">
        <v>524</v>
      </c>
    </row>
    <row r="16" spans="1:11" x14ac:dyDescent="0.2">
      <c r="A16" s="204" t="s">
        <v>523</v>
      </c>
      <c r="B16" s="201" t="s">
        <v>522</v>
      </c>
      <c r="J16" s="197" t="s">
        <v>22</v>
      </c>
      <c r="K16" s="198">
        <v>58382.89</v>
      </c>
    </row>
    <row r="18" spans="3:11" x14ac:dyDescent="0.2">
      <c r="C18" s="201" t="s">
        <v>518</v>
      </c>
      <c r="D18" s="200">
        <v>44197</v>
      </c>
      <c r="E18" s="199" t="s">
        <v>2600</v>
      </c>
      <c r="I18" s="198">
        <v>24.59</v>
      </c>
      <c r="K18" s="198">
        <v>58407.48</v>
      </c>
    </row>
    <row r="19" spans="3:11" x14ac:dyDescent="0.2">
      <c r="C19" s="201" t="s">
        <v>517</v>
      </c>
      <c r="D19" s="200">
        <v>44198</v>
      </c>
      <c r="E19" s="199" t="s">
        <v>2599</v>
      </c>
      <c r="I19" s="198">
        <v>7.66</v>
      </c>
      <c r="K19" s="198">
        <v>58415.14</v>
      </c>
    </row>
    <row r="20" spans="3:11" x14ac:dyDescent="0.2">
      <c r="C20" s="201" t="s">
        <v>516</v>
      </c>
      <c r="D20" s="200">
        <v>44198</v>
      </c>
      <c r="E20" s="199" t="s">
        <v>2598</v>
      </c>
      <c r="I20" s="198">
        <v>5.14</v>
      </c>
      <c r="K20" s="198">
        <v>58420.28</v>
      </c>
    </row>
    <row r="21" spans="3:11" x14ac:dyDescent="0.2">
      <c r="C21" s="201" t="s">
        <v>515</v>
      </c>
      <c r="D21" s="200">
        <v>44198</v>
      </c>
      <c r="E21" s="199" t="s">
        <v>2597</v>
      </c>
      <c r="I21" s="198">
        <v>19.38</v>
      </c>
      <c r="K21" s="198">
        <v>58439.66</v>
      </c>
    </row>
    <row r="22" spans="3:11" x14ac:dyDescent="0.2">
      <c r="C22" s="201" t="s">
        <v>514</v>
      </c>
      <c r="D22" s="200">
        <v>44198</v>
      </c>
      <c r="E22" s="199" t="s">
        <v>2596</v>
      </c>
      <c r="I22" s="198">
        <v>87.96</v>
      </c>
      <c r="K22" s="198">
        <v>58527.62</v>
      </c>
    </row>
    <row r="23" spans="3:11" x14ac:dyDescent="0.2">
      <c r="C23" s="201" t="s">
        <v>521</v>
      </c>
      <c r="D23" s="200">
        <v>44198</v>
      </c>
      <c r="E23" s="199" t="s">
        <v>2595</v>
      </c>
      <c r="I23" s="198">
        <v>4.3099999999999996</v>
      </c>
      <c r="K23" s="198">
        <v>58531.93</v>
      </c>
    </row>
    <row r="24" spans="3:11" x14ac:dyDescent="0.2">
      <c r="C24" s="201" t="s">
        <v>520</v>
      </c>
      <c r="D24" s="200">
        <v>44198</v>
      </c>
      <c r="E24" s="199" t="s">
        <v>2594</v>
      </c>
      <c r="I24" s="198">
        <v>3.71</v>
      </c>
      <c r="K24" s="198">
        <v>58535.64</v>
      </c>
    </row>
    <row r="25" spans="3:11" x14ac:dyDescent="0.2">
      <c r="C25" s="201" t="s">
        <v>519</v>
      </c>
      <c r="D25" s="200">
        <v>44198</v>
      </c>
      <c r="E25" s="199" t="s">
        <v>2593</v>
      </c>
      <c r="I25" s="198">
        <v>1.68</v>
      </c>
      <c r="K25" s="198">
        <v>58537.32</v>
      </c>
    </row>
    <row r="26" spans="3:11" x14ac:dyDescent="0.2">
      <c r="C26" s="201" t="s">
        <v>513</v>
      </c>
      <c r="D26" s="200">
        <v>44198</v>
      </c>
      <c r="E26" s="199" t="s">
        <v>2592</v>
      </c>
      <c r="I26" s="198">
        <v>7.83</v>
      </c>
      <c r="K26" s="198">
        <v>58545.15</v>
      </c>
    </row>
    <row r="27" spans="3:11" x14ac:dyDescent="0.2">
      <c r="C27" s="201" t="s">
        <v>509</v>
      </c>
      <c r="D27" s="200">
        <v>44198</v>
      </c>
      <c r="E27" s="199" t="s">
        <v>2591</v>
      </c>
      <c r="I27" s="198">
        <v>6.32</v>
      </c>
      <c r="K27" s="198">
        <v>58551.47</v>
      </c>
    </row>
    <row r="28" spans="3:11" x14ac:dyDescent="0.2">
      <c r="C28" s="201" t="s">
        <v>508</v>
      </c>
      <c r="D28" s="200">
        <v>44198</v>
      </c>
      <c r="E28" s="199" t="s">
        <v>2590</v>
      </c>
      <c r="I28" s="198">
        <v>2.31</v>
      </c>
      <c r="K28" s="198">
        <v>58553.78</v>
      </c>
    </row>
    <row r="29" spans="3:11" x14ac:dyDescent="0.2">
      <c r="C29" s="201" t="s">
        <v>512</v>
      </c>
      <c r="D29" s="200">
        <v>44199</v>
      </c>
      <c r="E29" s="199" t="s">
        <v>2589</v>
      </c>
      <c r="I29" s="198">
        <v>1.65</v>
      </c>
      <c r="K29" s="198">
        <v>58555.43</v>
      </c>
    </row>
    <row r="30" spans="3:11" x14ac:dyDescent="0.2">
      <c r="C30" s="201" t="s">
        <v>2588</v>
      </c>
      <c r="D30" s="200">
        <v>44199</v>
      </c>
      <c r="E30" s="199" t="s">
        <v>2587</v>
      </c>
      <c r="I30" s="198">
        <v>5.04</v>
      </c>
      <c r="K30" s="198">
        <v>58560.47</v>
      </c>
    </row>
    <row r="31" spans="3:11" x14ac:dyDescent="0.2">
      <c r="C31" s="201" t="s">
        <v>2586</v>
      </c>
      <c r="D31" s="200">
        <v>44199</v>
      </c>
      <c r="E31" s="199" t="s">
        <v>2585</v>
      </c>
      <c r="I31" s="198">
        <v>43.57</v>
      </c>
      <c r="K31" s="198">
        <v>58604.04</v>
      </c>
    </row>
    <row r="32" spans="3:11" x14ac:dyDescent="0.2">
      <c r="C32" s="201" t="s">
        <v>2584</v>
      </c>
      <c r="D32" s="200">
        <v>44199</v>
      </c>
      <c r="E32" s="199" t="s">
        <v>2583</v>
      </c>
      <c r="I32" s="198">
        <v>3.7</v>
      </c>
      <c r="K32" s="198">
        <v>58607.74</v>
      </c>
    </row>
    <row r="33" spans="3:11" x14ac:dyDescent="0.2">
      <c r="C33" s="201" t="s">
        <v>2582</v>
      </c>
      <c r="D33" s="200">
        <v>44199</v>
      </c>
      <c r="E33" s="199" t="s">
        <v>2581</v>
      </c>
      <c r="I33" s="198">
        <v>8.2799999999999994</v>
      </c>
      <c r="K33" s="198">
        <v>58616.02</v>
      </c>
    </row>
    <row r="34" spans="3:11" x14ac:dyDescent="0.2">
      <c r="C34" s="201" t="s">
        <v>2580</v>
      </c>
      <c r="D34" s="200">
        <v>44199</v>
      </c>
      <c r="E34" s="199" t="s">
        <v>2579</v>
      </c>
      <c r="I34" s="198">
        <v>1.88</v>
      </c>
      <c r="K34" s="198">
        <v>58617.9</v>
      </c>
    </row>
    <row r="35" spans="3:11" x14ac:dyDescent="0.2">
      <c r="C35" s="201" t="s">
        <v>2578</v>
      </c>
      <c r="D35" s="200">
        <v>44199</v>
      </c>
      <c r="E35" s="199" t="s">
        <v>2577</v>
      </c>
      <c r="I35" s="198">
        <v>2.5099999999999998</v>
      </c>
      <c r="K35" s="198">
        <v>58620.41</v>
      </c>
    </row>
    <row r="36" spans="3:11" x14ac:dyDescent="0.2">
      <c r="C36" s="201" t="s">
        <v>2576</v>
      </c>
      <c r="D36" s="200">
        <v>44199</v>
      </c>
      <c r="E36" s="199" t="s">
        <v>2575</v>
      </c>
      <c r="I36" s="198">
        <v>3.36</v>
      </c>
      <c r="K36" s="198">
        <v>58623.77</v>
      </c>
    </row>
    <row r="37" spans="3:11" x14ac:dyDescent="0.2">
      <c r="C37" s="201" t="s">
        <v>511</v>
      </c>
      <c r="D37" s="200">
        <v>44199</v>
      </c>
      <c r="E37" s="199" t="s">
        <v>2574</v>
      </c>
      <c r="I37" s="198">
        <v>8.27</v>
      </c>
      <c r="K37" s="198">
        <v>58632.04</v>
      </c>
    </row>
    <row r="38" spans="3:11" x14ac:dyDescent="0.2">
      <c r="C38" s="201" t="s">
        <v>476</v>
      </c>
      <c r="D38" s="200">
        <v>44199</v>
      </c>
      <c r="E38" s="199" t="s">
        <v>2573</v>
      </c>
      <c r="I38" s="198">
        <v>3.14</v>
      </c>
      <c r="K38" s="198">
        <v>58635.18</v>
      </c>
    </row>
    <row r="39" spans="3:11" x14ac:dyDescent="0.2">
      <c r="C39" s="201" t="s">
        <v>510</v>
      </c>
      <c r="D39" s="200">
        <v>44199</v>
      </c>
      <c r="E39" s="199" t="s">
        <v>2572</v>
      </c>
      <c r="I39" s="198">
        <v>2.48</v>
      </c>
      <c r="K39" s="198">
        <v>58637.66</v>
      </c>
    </row>
    <row r="40" spans="3:11" x14ac:dyDescent="0.2">
      <c r="C40" s="201" t="s">
        <v>507</v>
      </c>
      <c r="D40" s="200">
        <v>44200</v>
      </c>
      <c r="E40" s="199" t="s">
        <v>2571</v>
      </c>
      <c r="I40" s="198">
        <v>1.92</v>
      </c>
      <c r="K40" s="198">
        <v>58639.58</v>
      </c>
    </row>
    <row r="41" spans="3:11" x14ac:dyDescent="0.2">
      <c r="C41" s="201" t="s">
        <v>506</v>
      </c>
      <c r="D41" s="200">
        <v>44200</v>
      </c>
      <c r="E41" s="199" t="s">
        <v>2570</v>
      </c>
      <c r="I41" s="198">
        <v>29.95</v>
      </c>
      <c r="K41" s="198">
        <v>58669.53</v>
      </c>
    </row>
    <row r="42" spans="3:11" x14ac:dyDescent="0.2">
      <c r="C42" s="201" t="s">
        <v>505</v>
      </c>
      <c r="D42" s="200">
        <v>44200</v>
      </c>
      <c r="E42" s="199" t="s">
        <v>2569</v>
      </c>
      <c r="I42" s="198">
        <v>2.52</v>
      </c>
      <c r="K42" s="198">
        <v>58672.05</v>
      </c>
    </row>
    <row r="43" spans="3:11" x14ac:dyDescent="0.2">
      <c r="C43" s="201" t="s">
        <v>504</v>
      </c>
      <c r="D43" s="200">
        <v>44200</v>
      </c>
      <c r="E43" s="199" t="s">
        <v>2568</v>
      </c>
      <c r="I43" s="198">
        <v>3.42</v>
      </c>
      <c r="K43" s="198">
        <v>58675.47</v>
      </c>
    </row>
    <row r="44" spans="3:11" x14ac:dyDescent="0.2">
      <c r="C44" s="201" t="s">
        <v>503</v>
      </c>
      <c r="D44" s="200">
        <v>44200</v>
      </c>
      <c r="E44" s="199" t="s">
        <v>2567</v>
      </c>
      <c r="I44" s="198">
        <v>8.07</v>
      </c>
      <c r="K44" s="198">
        <v>58683.54</v>
      </c>
    </row>
    <row r="45" spans="3:11" x14ac:dyDescent="0.2">
      <c r="C45" s="201" t="s">
        <v>502</v>
      </c>
      <c r="D45" s="200">
        <v>44200</v>
      </c>
      <c r="E45" s="199" t="s">
        <v>2566</v>
      </c>
      <c r="I45" s="198">
        <v>6.94</v>
      </c>
      <c r="K45" s="198">
        <v>58690.48</v>
      </c>
    </row>
    <row r="46" spans="3:11" x14ac:dyDescent="0.2">
      <c r="C46" s="201" t="s">
        <v>501</v>
      </c>
      <c r="D46" s="200">
        <v>44200</v>
      </c>
      <c r="E46" s="199" t="s">
        <v>2565</v>
      </c>
      <c r="I46" s="198">
        <v>7.0000000000000007E-2</v>
      </c>
      <c r="K46" s="198">
        <v>58690.55</v>
      </c>
    </row>
    <row r="47" spans="3:11" x14ac:dyDescent="0.2">
      <c r="C47" s="201" t="s">
        <v>500</v>
      </c>
      <c r="D47" s="200">
        <v>44200</v>
      </c>
      <c r="E47" s="199" t="s">
        <v>2564</v>
      </c>
      <c r="I47" s="198">
        <v>1.68</v>
      </c>
      <c r="K47" s="198">
        <v>58692.23</v>
      </c>
    </row>
    <row r="48" spans="3:11" x14ac:dyDescent="0.2">
      <c r="C48" s="201" t="s">
        <v>499</v>
      </c>
      <c r="D48" s="200">
        <v>44200</v>
      </c>
      <c r="E48" s="199" t="s">
        <v>2563</v>
      </c>
      <c r="I48" s="198">
        <v>2.0499999999999998</v>
      </c>
      <c r="K48" s="198">
        <v>58694.28</v>
      </c>
    </row>
    <row r="49" spans="3:11" x14ac:dyDescent="0.2">
      <c r="C49" s="201" t="s">
        <v>2562</v>
      </c>
      <c r="D49" s="200">
        <v>44200</v>
      </c>
      <c r="E49" s="199" t="s">
        <v>2561</v>
      </c>
      <c r="I49" s="198">
        <v>1.69</v>
      </c>
      <c r="K49" s="198">
        <v>58695.97</v>
      </c>
    </row>
    <row r="50" spans="3:11" x14ac:dyDescent="0.2">
      <c r="C50" s="201" t="s">
        <v>2560</v>
      </c>
      <c r="D50" s="200">
        <v>44200</v>
      </c>
      <c r="E50" s="199" t="s">
        <v>2559</v>
      </c>
      <c r="I50" s="198">
        <v>4.28</v>
      </c>
      <c r="K50" s="198">
        <v>58700.25</v>
      </c>
    </row>
    <row r="51" spans="3:11" x14ac:dyDescent="0.2">
      <c r="C51" s="201" t="s">
        <v>2558</v>
      </c>
      <c r="D51" s="200">
        <v>44200</v>
      </c>
      <c r="E51" s="199" t="s">
        <v>2557</v>
      </c>
      <c r="I51" s="198">
        <v>15.12</v>
      </c>
      <c r="K51" s="198">
        <v>58715.37</v>
      </c>
    </row>
    <row r="52" spans="3:11" x14ac:dyDescent="0.2">
      <c r="C52" s="201" t="s">
        <v>2556</v>
      </c>
      <c r="D52" s="200">
        <v>44200</v>
      </c>
      <c r="E52" s="199" t="s">
        <v>2555</v>
      </c>
      <c r="I52" s="198">
        <v>29.25</v>
      </c>
      <c r="K52" s="198">
        <v>58744.62</v>
      </c>
    </row>
    <row r="53" spans="3:11" x14ac:dyDescent="0.2">
      <c r="C53" s="201" t="s">
        <v>2554</v>
      </c>
      <c r="D53" s="200">
        <v>44200</v>
      </c>
      <c r="E53" s="199" t="s">
        <v>2553</v>
      </c>
      <c r="I53" s="198">
        <v>7.9</v>
      </c>
      <c r="K53" s="198">
        <v>58752.52</v>
      </c>
    </row>
    <row r="54" spans="3:11" x14ac:dyDescent="0.2">
      <c r="C54" s="201" t="s">
        <v>2552</v>
      </c>
      <c r="D54" s="200">
        <v>44200</v>
      </c>
      <c r="E54" s="199" t="s">
        <v>2551</v>
      </c>
      <c r="I54" s="198">
        <v>7.3</v>
      </c>
      <c r="K54" s="198">
        <v>58759.82</v>
      </c>
    </row>
    <row r="55" spans="3:11" x14ac:dyDescent="0.2">
      <c r="C55" s="201" t="s">
        <v>2550</v>
      </c>
      <c r="D55" s="200">
        <v>44200</v>
      </c>
      <c r="E55" s="199" t="s">
        <v>2549</v>
      </c>
      <c r="I55" s="198">
        <v>6.93</v>
      </c>
      <c r="K55" s="198">
        <v>58766.75</v>
      </c>
    </row>
    <row r="56" spans="3:11" x14ac:dyDescent="0.2">
      <c r="C56" s="201" t="s">
        <v>2548</v>
      </c>
      <c r="D56" s="200">
        <v>44200</v>
      </c>
      <c r="E56" s="199" t="s">
        <v>2547</v>
      </c>
      <c r="I56" s="198">
        <v>1.83</v>
      </c>
      <c r="K56" s="198">
        <v>58768.58</v>
      </c>
    </row>
    <row r="57" spans="3:11" x14ac:dyDescent="0.2">
      <c r="C57" s="201" t="s">
        <v>2546</v>
      </c>
      <c r="D57" s="200">
        <v>44200</v>
      </c>
      <c r="E57" s="199" t="s">
        <v>2545</v>
      </c>
      <c r="I57" s="198">
        <v>1.68</v>
      </c>
      <c r="K57" s="198">
        <v>58770.26</v>
      </c>
    </row>
    <row r="58" spans="3:11" x14ac:dyDescent="0.2">
      <c r="C58" s="201" t="s">
        <v>2544</v>
      </c>
      <c r="D58" s="200">
        <v>44200</v>
      </c>
      <c r="E58" s="199" t="s">
        <v>2543</v>
      </c>
      <c r="I58" s="198">
        <v>28.27</v>
      </c>
      <c r="K58" s="198">
        <v>58798.53</v>
      </c>
    </row>
    <row r="59" spans="3:11" x14ac:dyDescent="0.2">
      <c r="C59" s="201" t="s">
        <v>498</v>
      </c>
      <c r="D59" s="200">
        <v>44200</v>
      </c>
      <c r="E59" s="199" t="s">
        <v>2542</v>
      </c>
      <c r="I59" s="198">
        <v>3.36</v>
      </c>
      <c r="K59" s="198">
        <v>58801.89</v>
      </c>
    </row>
    <row r="60" spans="3:11" x14ac:dyDescent="0.2">
      <c r="C60" s="201" t="s">
        <v>497</v>
      </c>
      <c r="D60" s="200">
        <v>44200</v>
      </c>
      <c r="E60" s="199" t="s">
        <v>2541</v>
      </c>
      <c r="I60" s="198">
        <v>2.65</v>
      </c>
      <c r="K60" s="198">
        <v>58804.54</v>
      </c>
    </row>
    <row r="61" spans="3:11" x14ac:dyDescent="0.2">
      <c r="C61" s="201" t="s">
        <v>496</v>
      </c>
      <c r="D61" s="200">
        <v>44200</v>
      </c>
      <c r="E61" s="199" t="s">
        <v>2540</v>
      </c>
      <c r="I61" s="198">
        <v>1.79</v>
      </c>
      <c r="K61" s="198">
        <v>58806.33</v>
      </c>
    </row>
    <row r="62" spans="3:11" x14ac:dyDescent="0.2">
      <c r="C62" s="201" t="s">
        <v>495</v>
      </c>
      <c r="D62" s="200">
        <v>44200</v>
      </c>
      <c r="E62" s="199" t="s">
        <v>2539</v>
      </c>
      <c r="I62" s="198">
        <v>13.6</v>
      </c>
      <c r="K62" s="198">
        <v>58819.93</v>
      </c>
    </row>
    <row r="63" spans="3:11" x14ac:dyDescent="0.2">
      <c r="C63" s="201" t="s">
        <v>494</v>
      </c>
      <c r="D63" s="200">
        <v>44200</v>
      </c>
      <c r="E63" s="199" t="s">
        <v>2538</v>
      </c>
      <c r="I63" s="198">
        <v>10.79</v>
      </c>
      <c r="K63" s="198">
        <v>58830.720000000001</v>
      </c>
    </row>
    <row r="64" spans="3:11" x14ac:dyDescent="0.2">
      <c r="C64" s="201" t="s">
        <v>493</v>
      </c>
      <c r="D64" s="200">
        <v>44200</v>
      </c>
      <c r="E64" s="199" t="s">
        <v>2537</v>
      </c>
      <c r="I64" s="198">
        <v>2.0299999999999998</v>
      </c>
      <c r="K64" s="198">
        <v>58832.75</v>
      </c>
    </row>
    <row r="65" spans="3:11" x14ac:dyDescent="0.2">
      <c r="C65" s="201" t="s">
        <v>492</v>
      </c>
      <c r="D65" s="200">
        <v>44200</v>
      </c>
      <c r="E65" s="199" t="s">
        <v>2536</v>
      </c>
      <c r="I65" s="198">
        <v>22.21</v>
      </c>
      <c r="K65" s="198">
        <v>58854.96</v>
      </c>
    </row>
    <row r="66" spans="3:11" x14ac:dyDescent="0.2">
      <c r="C66" s="201" t="s">
        <v>491</v>
      </c>
      <c r="D66" s="200">
        <v>44200</v>
      </c>
      <c r="E66" s="199" t="s">
        <v>2535</v>
      </c>
      <c r="I66" s="198">
        <v>1.89</v>
      </c>
      <c r="K66" s="198">
        <v>58856.85</v>
      </c>
    </row>
    <row r="67" spans="3:11" x14ac:dyDescent="0.2">
      <c r="C67" s="201" t="s">
        <v>490</v>
      </c>
      <c r="D67" s="200">
        <v>44200</v>
      </c>
      <c r="E67" s="199" t="s">
        <v>2534</v>
      </c>
      <c r="I67" s="198">
        <v>5.0599999999999996</v>
      </c>
      <c r="K67" s="198">
        <v>58861.91</v>
      </c>
    </row>
    <row r="68" spans="3:11" x14ac:dyDescent="0.2">
      <c r="C68" s="201" t="s">
        <v>489</v>
      </c>
      <c r="D68" s="200">
        <v>44200</v>
      </c>
      <c r="E68" s="199" t="s">
        <v>2533</v>
      </c>
      <c r="I68" s="198">
        <v>5.29</v>
      </c>
      <c r="K68" s="198">
        <v>58867.199999999997</v>
      </c>
    </row>
    <row r="69" spans="3:11" x14ac:dyDescent="0.2">
      <c r="C69" s="201" t="s">
        <v>488</v>
      </c>
      <c r="D69" s="200">
        <v>44200</v>
      </c>
      <c r="E69" s="199" t="s">
        <v>2532</v>
      </c>
      <c r="I69" s="198">
        <v>6.94</v>
      </c>
      <c r="K69" s="198">
        <v>58874.14</v>
      </c>
    </row>
    <row r="70" spans="3:11" x14ac:dyDescent="0.2">
      <c r="C70" s="201" t="s">
        <v>485</v>
      </c>
      <c r="D70" s="200">
        <v>44200</v>
      </c>
      <c r="E70" s="199" t="s">
        <v>2531</v>
      </c>
      <c r="I70" s="198">
        <v>2.81</v>
      </c>
      <c r="K70" s="198">
        <v>58876.95</v>
      </c>
    </row>
    <row r="71" spans="3:11" x14ac:dyDescent="0.2">
      <c r="C71" s="201" t="s">
        <v>484</v>
      </c>
      <c r="D71" s="200">
        <v>44200</v>
      </c>
      <c r="E71" s="199" t="s">
        <v>2530</v>
      </c>
      <c r="I71" s="198">
        <v>8.3800000000000008</v>
      </c>
      <c r="K71" s="198">
        <v>58885.33</v>
      </c>
    </row>
    <row r="72" spans="3:11" x14ac:dyDescent="0.2">
      <c r="C72" s="201" t="s">
        <v>483</v>
      </c>
      <c r="D72" s="200">
        <v>44200</v>
      </c>
      <c r="E72" s="199" t="s">
        <v>2529</v>
      </c>
      <c r="I72" s="198">
        <v>4.1900000000000004</v>
      </c>
      <c r="K72" s="198">
        <v>58889.52</v>
      </c>
    </row>
    <row r="73" spans="3:11" x14ac:dyDescent="0.2">
      <c r="C73" s="201" t="s">
        <v>482</v>
      </c>
      <c r="D73" s="200">
        <v>44200</v>
      </c>
      <c r="E73" s="199" t="s">
        <v>2528</v>
      </c>
      <c r="I73" s="198">
        <v>8.2200000000000006</v>
      </c>
      <c r="K73" s="198">
        <v>58897.74</v>
      </c>
    </row>
    <row r="74" spans="3:11" x14ac:dyDescent="0.2">
      <c r="C74" s="201" t="s">
        <v>481</v>
      </c>
      <c r="D74" s="200">
        <v>44200</v>
      </c>
      <c r="E74" s="199" t="s">
        <v>2527</v>
      </c>
      <c r="I74" s="198">
        <v>1.87</v>
      </c>
      <c r="K74" s="198">
        <v>58899.61</v>
      </c>
    </row>
    <row r="75" spans="3:11" x14ac:dyDescent="0.2">
      <c r="C75" s="201" t="s">
        <v>480</v>
      </c>
      <c r="D75" s="200">
        <v>44200</v>
      </c>
      <c r="E75" s="199" t="s">
        <v>2526</v>
      </c>
      <c r="I75" s="198">
        <v>8.3800000000000008</v>
      </c>
      <c r="K75" s="198">
        <v>58907.99</v>
      </c>
    </row>
    <row r="76" spans="3:11" x14ac:dyDescent="0.2">
      <c r="C76" s="201" t="s">
        <v>2525</v>
      </c>
      <c r="D76" s="200">
        <v>44200</v>
      </c>
      <c r="E76" s="199" t="s">
        <v>2524</v>
      </c>
      <c r="I76" s="198">
        <v>8.3800000000000008</v>
      </c>
      <c r="K76" s="198">
        <v>58916.37</v>
      </c>
    </row>
    <row r="77" spans="3:11" x14ac:dyDescent="0.2">
      <c r="C77" s="201" t="s">
        <v>475</v>
      </c>
      <c r="D77" s="200">
        <v>44200</v>
      </c>
      <c r="E77" s="199" t="s">
        <v>2523</v>
      </c>
      <c r="I77" s="198">
        <v>8.3800000000000008</v>
      </c>
      <c r="K77" s="198">
        <v>58924.75</v>
      </c>
    </row>
    <row r="78" spans="3:11" x14ac:dyDescent="0.2">
      <c r="C78" s="201" t="s">
        <v>474</v>
      </c>
      <c r="D78" s="200">
        <v>44200</v>
      </c>
      <c r="E78" s="199" t="s">
        <v>2522</v>
      </c>
      <c r="I78" s="198">
        <v>6.94</v>
      </c>
      <c r="K78" s="198">
        <v>58931.69</v>
      </c>
    </row>
    <row r="79" spans="3:11" x14ac:dyDescent="0.2">
      <c r="C79" s="201" t="s">
        <v>2521</v>
      </c>
      <c r="D79" s="200">
        <v>44200</v>
      </c>
      <c r="E79" s="199" t="s">
        <v>2520</v>
      </c>
      <c r="I79" s="198">
        <v>3.7</v>
      </c>
      <c r="K79" s="198">
        <v>58935.39</v>
      </c>
    </row>
    <row r="80" spans="3:11" x14ac:dyDescent="0.2">
      <c r="C80" s="201" t="s">
        <v>2519</v>
      </c>
      <c r="D80" s="200">
        <v>44200</v>
      </c>
      <c r="E80" s="199" t="s">
        <v>2518</v>
      </c>
      <c r="I80" s="198">
        <v>6.94</v>
      </c>
      <c r="K80" s="198">
        <v>58942.33</v>
      </c>
    </row>
    <row r="81" spans="3:11" x14ac:dyDescent="0.2">
      <c r="C81" s="201" t="s">
        <v>473</v>
      </c>
      <c r="D81" s="200">
        <v>44200</v>
      </c>
      <c r="E81" s="199" t="s">
        <v>2517</v>
      </c>
      <c r="I81" s="198">
        <v>1.9</v>
      </c>
      <c r="K81" s="198">
        <v>58944.23</v>
      </c>
    </row>
    <row r="82" spans="3:11" x14ac:dyDescent="0.2">
      <c r="C82" s="201" t="s">
        <v>2516</v>
      </c>
      <c r="D82" s="200">
        <v>44200</v>
      </c>
      <c r="E82" s="199" t="s">
        <v>2515</v>
      </c>
      <c r="I82" s="198">
        <v>8.3800000000000008</v>
      </c>
      <c r="K82" s="198">
        <v>58952.61</v>
      </c>
    </row>
    <row r="83" spans="3:11" x14ac:dyDescent="0.2">
      <c r="C83" s="201" t="s">
        <v>479</v>
      </c>
      <c r="D83" s="200">
        <v>44200</v>
      </c>
      <c r="E83" s="199" t="s">
        <v>2514</v>
      </c>
      <c r="I83" s="198">
        <v>8.92</v>
      </c>
      <c r="K83" s="198">
        <v>58961.53</v>
      </c>
    </row>
    <row r="84" spans="3:11" x14ac:dyDescent="0.2">
      <c r="C84" s="201" t="s">
        <v>478</v>
      </c>
      <c r="D84" s="200">
        <v>44200</v>
      </c>
      <c r="E84" s="199" t="s">
        <v>2513</v>
      </c>
      <c r="I84" s="198">
        <v>4.2699999999999996</v>
      </c>
      <c r="K84" s="198">
        <v>58965.8</v>
      </c>
    </row>
    <row r="85" spans="3:11" x14ac:dyDescent="0.2">
      <c r="C85" s="201" t="s">
        <v>477</v>
      </c>
      <c r="D85" s="200">
        <v>44200</v>
      </c>
      <c r="E85" s="199" t="s">
        <v>2512</v>
      </c>
      <c r="I85" s="198">
        <v>1.98</v>
      </c>
      <c r="K85" s="198">
        <v>58967.78</v>
      </c>
    </row>
    <row r="86" spans="3:11" x14ac:dyDescent="0.2">
      <c r="C86" s="201" t="s">
        <v>472</v>
      </c>
      <c r="D86" s="200">
        <v>44200</v>
      </c>
      <c r="E86" s="199" t="s">
        <v>2511</v>
      </c>
      <c r="I86" s="198">
        <v>1.68</v>
      </c>
      <c r="K86" s="198">
        <v>58969.46</v>
      </c>
    </row>
    <row r="87" spans="3:11" x14ac:dyDescent="0.2">
      <c r="C87" s="201" t="s">
        <v>471</v>
      </c>
      <c r="D87" s="200">
        <v>44200</v>
      </c>
      <c r="E87" s="199" t="s">
        <v>2510</v>
      </c>
      <c r="I87" s="198">
        <v>8.3800000000000008</v>
      </c>
      <c r="K87" s="198">
        <v>58977.84</v>
      </c>
    </row>
    <row r="88" spans="3:11" x14ac:dyDescent="0.2">
      <c r="C88" s="201" t="s">
        <v>470</v>
      </c>
      <c r="D88" s="200">
        <v>44200</v>
      </c>
      <c r="E88" s="199" t="s">
        <v>2509</v>
      </c>
      <c r="I88" s="198">
        <v>2.4300000000000002</v>
      </c>
      <c r="K88" s="198">
        <v>58980.27</v>
      </c>
    </row>
    <row r="89" spans="3:11" x14ac:dyDescent="0.2">
      <c r="C89" s="201" t="s">
        <v>2508</v>
      </c>
      <c r="D89" s="200">
        <v>44200</v>
      </c>
      <c r="E89" s="199" t="s">
        <v>2507</v>
      </c>
      <c r="I89" s="198">
        <v>5.0599999999999996</v>
      </c>
      <c r="K89" s="198">
        <v>58985.33</v>
      </c>
    </row>
    <row r="90" spans="3:11" x14ac:dyDescent="0.2">
      <c r="C90" s="201" t="s">
        <v>2506</v>
      </c>
      <c r="D90" s="200">
        <v>44200</v>
      </c>
      <c r="E90" s="199" t="s">
        <v>2505</v>
      </c>
      <c r="I90" s="198">
        <v>1.68</v>
      </c>
      <c r="K90" s="198">
        <v>58987.01</v>
      </c>
    </row>
    <row r="91" spans="3:11" x14ac:dyDescent="0.2">
      <c r="C91" s="201" t="s">
        <v>469</v>
      </c>
      <c r="D91" s="200">
        <v>44200</v>
      </c>
      <c r="E91" s="199" t="s">
        <v>2504</v>
      </c>
      <c r="I91" s="198">
        <v>1.72</v>
      </c>
      <c r="K91" s="198">
        <v>58988.73</v>
      </c>
    </row>
    <row r="92" spans="3:11" x14ac:dyDescent="0.2">
      <c r="C92" s="201" t="s">
        <v>468</v>
      </c>
      <c r="D92" s="200">
        <v>44200</v>
      </c>
      <c r="E92" s="199" t="s">
        <v>2503</v>
      </c>
      <c r="I92" s="198">
        <v>7.82</v>
      </c>
      <c r="K92" s="198">
        <v>58996.55</v>
      </c>
    </row>
    <row r="93" spans="3:11" x14ac:dyDescent="0.2">
      <c r="C93" s="201" t="s">
        <v>2502</v>
      </c>
      <c r="D93" s="200">
        <v>44200</v>
      </c>
      <c r="E93" s="199" t="s">
        <v>2501</v>
      </c>
      <c r="I93" s="198">
        <v>8.3800000000000008</v>
      </c>
      <c r="K93" s="198">
        <v>59004.93</v>
      </c>
    </row>
    <row r="94" spans="3:11" x14ac:dyDescent="0.2">
      <c r="C94" s="201" t="s">
        <v>2500</v>
      </c>
      <c r="D94" s="200">
        <v>44200</v>
      </c>
      <c r="E94" s="199" t="s">
        <v>2499</v>
      </c>
      <c r="I94" s="198">
        <v>1.7</v>
      </c>
      <c r="K94" s="198">
        <v>59006.63</v>
      </c>
    </row>
    <row r="95" spans="3:11" x14ac:dyDescent="0.2">
      <c r="C95" s="201" t="s">
        <v>2498</v>
      </c>
      <c r="D95" s="200">
        <v>44200</v>
      </c>
      <c r="E95" s="199" t="s">
        <v>2497</v>
      </c>
      <c r="I95" s="198">
        <v>8.3800000000000008</v>
      </c>
      <c r="K95" s="198">
        <v>59015.01</v>
      </c>
    </row>
    <row r="96" spans="3:11" x14ac:dyDescent="0.2">
      <c r="C96" s="201" t="s">
        <v>2496</v>
      </c>
      <c r="D96" s="200">
        <v>44200</v>
      </c>
      <c r="E96" s="199" t="s">
        <v>2495</v>
      </c>
      <c r="I96" s="198">
        <v>4.92</v>
      </c>
      <c r="K96" s="198">
        <v>59019.93</v>
      </c>
    </row>
    <row r="97" spans="3:11" x14ac:dyDescent="0.2">
      <c r="C97" s="201" t="s">
        <v>2494</v>
      </c>
      <c r="D97" s="200">
        <v>44200</v>
      </c>
      <c r="E97" s="199" t="s">
        <v>2493</v>
      </c>
      <c r="I97" s="198">
        <v>4.1900000000000004</v>
      </c>
      <c r="K97" s="198">
        <v>59024.12</v>
      </c>
    </row>
    <row r="98" spans="3:11" x14ac:dyDescent="0.2">
      <c r="C98" s="201" t="s">
        <v>2492</v>
      </c>
      <c r="D98" s="200">
        <v>44200</v>
      </c>
      <c r="E98" s="199" t="s">
        <v>2491</v>
      </c>
      <c r="I98" s="198">
        <v>7.82</v>
      </c>
      <c r="K98" s="198">
        <v>59031.94</v>
      </c>
    </row>
    <row r="99" spans="3:11" x14ac:dyDescent="0.2">
      <c r="C99" s="201" t="s">
        <v>2490</v>
      </c>
      <c r="D99" s="200">
        <v>44200</v>
      </c>
      <c r="E99" s="199" t="s">
        <v>2489</v>
      </c>
      <c r="I99" s="198">
        <v>12.3</v>
      </c>
      <c r="K99" s="198">
        <v>59044.24</v>
      </c>
    </row>
    <row r="100" spans="3:11" x14ac:dyDescent="0.2">
      <c r="C100" s="201" t="s">
        <v>2488</v>
      </c>
      <c r="D100" s="200">
        <v>44200</v>
      </c>
      <c r="E100" s="199" t="s">
        <v>2487</v>
      </c>
      <c r="I100" s="198">
        <v>1.85</v>
      </c>
      <c r="K100" s="198">
        <v>59046.09</v>
      </c>
    </row>
    <row r="101" spans="3:11" x14ac:dyDescent="0.2">
      <c r="C101" s="201" t="s">
        <v>2486</v>
      </c>
      <c r="D101" s="200">
        <v>44200</v>
      </c>
      <c r="E101" s="199" t="s">
        <v>2485</v>
      </c>
      <c r="I101" s="198">
        <v>3.36</v>
      </c>
      <c r="K101" s="198">
        <v>59049.45</v>
      </c>
    </row>
    <row r="102" spans="3:11" x14ac:dyDescent="0.2">
      <c r="C102" s="201" t="s">
        <v>2484</v>
      </c>
      <c r="D102" s="200">
        <v>44200</v>
      </c>
      <c r="E102" s="199" t="s">
        <v>2483</v>
      </c>
      <c r="I102" s="198">
        <v>2.4</v>
      </c>
      <c r="K102" s="198">
        <v>59051.85</v>
      </c>
    </row>
    <row r="103" spans="3:11" x14ac:dyDescent="0.2">
      <c r="C103" s="201" t="s">
        <v>2482</v>
      </c>
      <c r="D103" s="200">
        <v>44200</v>
      </c>
      <c r="E103" s="199" t="s">
        <v>2481</v>
      </c>
      <c r="I103" s="198">
        <v>3.47</v>
      </c>
      <c r="K103" s="198">
        <v>59055.32</v>
      </c>
    </row>
    <row r="104" spans="3:11" x14ac:dyDescent="0.2">
      <c r="C104" s="201" t="s">
        <v>2480</v>
      </c>
      <c r="D104" s="200">
        <v>44200</v>
      </c>
      <c r="E104" s="199" t="s">
        <v>2479</v>
      </c>
      <c r="I104" s="198">
        <v>4.1900000000000004</v>
      </c>
      <c r="K104" s="198">
        <v>59059.51</v>
      </c>
    </row>
    <row r="105" spans="3:11" x14ac:dyDescent="0.2">
      <c r="C105" s="201" t="s">
        <v>2478</v>
      </c>
      <c r="D105" s="200">
        <v>44200</v>
      </c>
      <c r="E105" s="199" t="s">
        <v>2477</v>
      </c>
      <c r="I105" s="198">
        <v>7.82</v>
      </c>
      <c r="K105" s="198">
        <v>59067.33</v>
      </c>
    </row>
    <row r="106" spans="3:11" x14ac:dyDescent="0.2">
      <c r="C106" s="201" t="s">
        <v>2476</v>
      </c>
      <c r="D106" s="200">
        <v>44200</v>
      </c>
      <c r="E106" s="199" t="s">
        <v>2475</v>
      </c>
      <c r="I106" s="198">
        <v>1.95</v>
      </c>
      <c r="K106" s="198">
        <v>59069.279999999999</v>
      </c>
    </row>
    <row r="107" spans="3:11" x14ac:dyDescent="0.2">
      <c r="C107" s="201" t="s">
        <v>2474</v>
      </c>
      <c r="D107" s="200">
        <v>44200</v>
      </c>
      <c r="E107" s="199" t="s">
        <v>2473</v>
      </c>
      <c r="I107" s="198">
        <v>8.3800000000000008</v>
      </c>
      <c r="K107" s="198">
        <v>59077.66</v>
      </c>
    </row>
    <row r="108" spans="3:11" x14ac:dyDescent="0.2">
      <c r="C108" s="201" t="s">
        <v>2472</v>
      </c>
      <c r="D108" s="200">
        <v>44200</v>
      </c>
      <c r="E108" s="199" t="s">
        <v>2471</v>
      </c>
      <c r="I108" s="198">
        <v>17.899999999999999</v>
      </c>
      <c r="K108" s="198">
        <v>59095.56</v>
      </c>
    </row>
    <row r="109" spans="3:11" x14ac:dyDescent="0.2">
      <c r="C109" s="201" t="s">
        <v>2470</v>
      </c>
      <c r="D109" s="200">
        <v>44200</v>
      </c>
      <c r="E109" s="199" t="s">
        <v>2469</v>
      </c>
      <c r="I109" s="198">
        <v>2.17</v>
      </c>
      <c r="K109" s="198">
        <v>59097.73</v>
      </c>
    </row>
    <row r="110" spans="3:11" x14ac:dyDescent="0.2">
      <c r="C110" s="201" t="s">
        <v>2468</v>
      </c>
      <c r="D110" s="200">
        <v>44200</v>
      </c>
      <c r="E110" s="199" t="s">
        <v>2467</v>
      </c>
      <c r="I110" s="198">
        <v>4.4000000000000004</v>
      </c>
      <c r="K110" s="198">
        <v>59102.13</v>
      </c>
    </row>
    <row r="111" spans="3:11" x14ac:dyDescent="0.2">
      <c r="C111" s="201" t="s">
        <v>2466</v>
      </c>
      <c r="D111" s="200">
        <v>44200</v>
      </c>
      <c r="E111" s="199" t="s">
        <v>2465</v>
      </c>
      <c r="I111" s="198">
        <v>3.79</v>
      </c>
      <c r="K111" s="198">
        <v>59105.919999999998</v>
      </c>
    </row>
    <row r="112" spans="3:11" x14ac:dyDescent="0.2">
      <c r="C112" s="201" t="s">
        <v>467</v>
      </c>
      <c r="D112" s="200">
        <v>44200</v>
      </c>
      <c r="E112" s="199" t="s">
        <v>2464</v>
      </c>
      <c r="I112" s="198">
        <v>1.94</v>
      </c>
      <c r="K112" s="198">
        <v>59107.86</v>
      </c>
    </row>
    <row r="113" spans="3:11" x14ac:dyDescent="0.2">
      <c r="C113" s="201" t="s">
        <v>2463</v>
      </c>
      <c r="D113" s="200">
        <v>44200</v>
      </c>
      <c r="E113" s="199" t="s">
        <v>2462</v>
      </c>
      <c r="I113" s="198">
        <v>15.3</v>
      </c>
      <c r="K113" s="198">
        <v>59123.16</v>
      </c>
    </row>
    <row r="114" spans="3:11" x14ac:dyDescent="0.2">
      <c r="C114" s="201" t="s">
        <v>2461</v>
      </c>
      <c r="D114" s="200">
        <v>44200</v>
      </c>
      <c r="E114" s="199" t="s">
        <v>2460</v>
      </c>
      <c r="I114" s="198">
        <v>15.3</v>
      </c>
      <c r="K114" s="198">
        <v>59138.46</v>
      </c>
    </row>
    <row r="115" spans="3:11" x14ac:dyDescent="0.2">
      <c r="C115" s="201" t="s">
        <v>2459</v>
      </c>
      <c r="D115" s="200">
        <v>44200</v>
      </c>
      <c r="E115" s="199" t="s">
        <v>2458</v>
      </c>
      <c r="I115" s="198">
        <v>15.3</v>
      </c>
      <c r="K115" s="198">
        <v>59153.760000000002</v>
      </c>
    </row>
    <row r="116" spans="3:11" x14ac:dyDescent="0.2">
      <c r="C116" s="201" t="s">
        <v>2457</v>
      </c>
      <c r="D116" s="200">
        <v>44200</v>
      </c>
      <c r="E116" s="199" t="s">
        <v>2456</v>
      </c>
      <c r="I116" s="198">
        <v>15.3</v>
      </c>
      <c r="K116" s="198">
        <v>59169.06</v>
      </c>
    </row>
    <row r="117" spans="3:11" x14ac:dyDescent="0.2">
      <c r="C117" s="201" t="s">
        <v>466</v>
      </c>
      <c r="D117" s="200">
        <v>44200</v>
      </c>
      <c r="E117" s="199" t="s">
        <v>2455</v>
      </c>
      <c r="I117" s="198">
        <v>30.98</v>
      </c>
      <c r="K117" s="198">
        <v>59200.04</v>
      </c>
    </row>
    <row r="118" spans="3:11" x14ac:dyDescent="0.2">
      <c r="C118" s="201" t="s">
        <v>2454</v>
      </c>
      <c r="D118" s="200">
        <v>44200</v>
      </c>
      <c r="E118" s="199" t="s">
        <v>2453</v>
      </c>
      <c r="I118" s="198">
        <v>8.49</v>
      </c>
      <c r="K118" s="198">
        <v>59208.53</v>
      </c>
    </row>
    <row r="119" spans="3:11" x14ac:dyDescent="0.2">
      <c r="C119" s="201" t="s">
        <v>487</v>
      </c>
      <c r="D119" s="200">
        <v>44201</v>
      </c>
      <c r="E119" s="199" t="s">
        <v>2452</v>
      </c>
      <c r="I119" s="198">
        <v>1.68</v>
      </c>
      <c r="K119" s="198">
        <v>59210.21</v>
      </c>
    </row>
    <row r="120" spans="3:11" x14ac:dyDescent="0.2">
      <c r="C120" s="201" t="s">
        <v>486</v>
      </c>
      <c r="D120" s="200">
        <v>44201</v>
      </c>
      <c r="E120" s="199" t="s">
        <v>2451</v>
      </c>
      <c r="I120" s="198">
        <v>1.68</v>
      </c>
      <c r="K120" s="198">
        <v>59211.89</v>
      </c>
    </row>
    <row r="121" spans="3:11" x14ac:dyDescent="0.2">
      <c r="C121" s="201" t="s">
        <v>465</v>
      </c>
      <c r="D121" s="200">
        <v>44201</v>
      </c>
      <c r="E121" s="199" t="s">
        <v>2450</v>
      </c>
      <c r="I121" s="198">
        <v>23.14</v>
      </c>
      <c r="K121" s="198">
        <v>59235.03</v>
      </c>
    </row>
    <row r="122" spans="3:11" x14ac:dyDescent="0.2">
      <c r="C122" s="201" t="s">
        <v>464</v>
      </c>
      <c r="D122" s="200">
        <v>44201</v>
      </c>
      <c r="E122" s="199" t="s">
        <v>2449</v>
      </c>
      <c r="I122" s="198">
        <v>6.94</v>
      </c>
      <c r="K122" s="198">
        <v>59241.97</v>
      </c>
    </row>
    <row r="123" spans="3:11" x14ac:dyDescent="0.2">
      <c r="C123" s="201" t="s">
        <v>463</v>
      </c>
      <c r="D123" s="200">
        <v>44201</v>
      </c>
      <c r="E123" s="199" t="s">
        <v>2448</v>
      </c>
      <c r="I123" s="198">
        <v>4.32</v>
      </c>
      <c r="K123" s="198">
        <v>59246.29</v>
      </c>
    </row>
    <row r="124" spans="3:11" x14ac:dyDescent="0.2">
      <c r="C124" s="201" t="s">
        <v>462</v>
      </c>
      <c r="D124" s="200">
        <v>44201</v>
      </c>
      <c r="E124" s="199" t="s">
        <v>2447</v>
      </c>
      <c r="I124" s="198">
        <v>10</v>
      </c>
      <c r="K124" s="198">
        <v>59256.29</v>
      </c>
    </row>
    <row r="125" spans="3:11" x14ac:dyDescent="0.2">
      <c r="C125" s="201" t="s">
        <v>461</v>
      </c>
      <c r="D125" s="200">
        <v>44201</v>
      </c>
      <c r="E125" s="199" t="s">
        <v>2446</v>
      </c>
      <c r="I125" s="198">
        <v>25.95</v>
      </c>
      <c r="K125" s="198">
        <v>59282.239999999998</v>
      </c>
    </row>
    <row r="126" spans="3:11" x14ac:dyDescent="0.2">
      <c r="C126" s="201" t="s">
        <v>460</v>
      </c>
      <c r="D126" s="200">
        <v>44201</v>
      </c>
      <c r="E126" s="199" t="s">
        <v>2445</v>
      </c>
      <c r="I126" s="198">
        <v>55.06</v>
      </c>
      <c r="K126" s="198">
        <v>59337.3</v>
      </c>
    </row>
    <row r="127" spans="3:11" x14ac:dyDescent="0.2">
      <c r="C127" s="201" t="s">
        <v>459</v>
      </c>
      <c r="D127" s="200">
        <v>44201</v>
      </c>
      <c r="E127" s="199" t="s">
        <v>2444</v>
      </c>
      <c r="I127" s="198">
        <v>5.04</v>
      </c>
      <c r="K127" s="198">
        <v>59342.34</v>
      </c>
    </row>
    <row r="128" spans="3:11" x14ac:dyDescent="0.2">
      <c r="C128" s="201" t="s">
        <v>458</v>
      </c>
      <c r="D128" s="200">
        <v>44201</v>
      </c>
      <c r="E128" s="199" t="s">
        <v>2443</v>
      </c>
      <c r="I128" s="198">
        <v>5.17</v>
      </c>
      <c r="K128" s="198">
        <v>59347.51</v>
      </c>
    </row>
    <row r="129" spans="3:11" x14ac:dyDescent="0.2">
      <c r="C129" s="201" t="s">
        <v>457</v>
      </c>
      <c r="D129" s="200">
        <v>44201</v>
      </c>
      <c r="E129" s="199" t="s">
        <v>2442</v>
      </c>
      <c r="I129" s="198">
        <v>10.74</v>
      </c>
      <c r="K129" s="198">
        <v>59358.25</v>
      </c>
    </row>
    <row r="130" spans="3:11" x14ac:dyDescent="0.2">
      <c r="C130" s="201" t="s">
        <v>456</v>
      </c>
      <c r="D130" s="200">
        <v>44201</v>
      </c>
      <c r="E130" s="199" t="s">
        <v>2441</v>
      </c>
      <c r="I130" s="198">
        <v>44.08</v>
      </c>
      <c r="K130" s="198">
        <v>59402.33</v>
      </c>
    </row>
    <row r="131" spans="3:11" x14ac:dyDescent="0.2">
      <c r="C131" s="201" t="s">
        <v>455</v>
      </c>
      <c r="D131" s="200">
        <v>44201</v>
      </c>
      <c r="E131" s="199" t="s">
        <v>2440</v>
      </c>
      <c r="I131" s="198">
        <v>2.82</v>
      </c>
      <c r="K131" s="198">
        <v>59405.15</v>
      </c>
    </row>
    <row r="132" spans="3:11" x14ac:dyDescent="0.2">
      <c r="C132" s="201" t="s">
        <v>445</v>
      </c>
      <c r="D132" s="200">
        <v>44201</v>
      </c>
      <c r="E132" s="199" t="s">
        <v>2439</v>
      </c>
      <c r="I132" s="198">
        <v>1.89</v>
      </c>
      <c r="K132" s="198">
        <v>59407.040000000001</v>
      </c>
    </row>
    <row r="133" spans="3:11" x14ac:dyDescent="0.2">
      <c r="C133" s="201" t="s">
        <v>444</v>
      </c>
      <c r="D133" s="200">
        <v>44201</v>
      </c>
      <c r="E133" s="199" t="s">
        <v>2438</v>
      </c>
      <c r="I133" s="198">
        <v>2.5</v>
      </c>
      <c r="K133" s="198">
        <v>59409.54</v>
      </c>
    </row>
    <row r="134" spans="3:11" x14ac:dyDescent="0.2">
      <c r="C134" s="201" t="s">
        <v>443</v>
      </c>
      <c r="D134" s="200">
        <v>44201</v>
      </c>
      <c r="E134" s="199" t="s">
        <v>2437</v>
      </c>
      <c r="I134" s="198">
        <v>5.8</v>
      </c>
      <c r="K134" s="198">
        <v>59415.34</v>
      </c>
    </row>
    <row r="135" spans="3:11" x14ac:dyDescent="0.2">
      <c r="C135" s="201" t="s">
        <v>442</v>
      </c>
      <c r="D135" s="200">
        <v>44201</v>
      </c>
      <c r="E135" s="199" t="s">
        <v>2436</v>
      </c>
      <c r="I135" s="198">
        <v>10.14</v>
      </c>
      <c r="K135" s="198">
        <v>59425.48</v>
      </c>
    </row>
    <row r="136" spans="3:11" x14ac:dyDescent="0.2">
      <c r="C136" s="201" t="s">
        <v>441</v>
      </c>
      <c r="D136" s="200">
        <v>44201</v>
      </c>
      <c r="E136" s="199" t="s">
        <v>2435</v>
      </c>
      <c r="I136" s="198">
        <v>3.36</v>
      </c>
      <c r="K136" s="198">
        <v>59428.84</v>
      </c>
    </row>
    <row r="137" spans="3:11" x14ac:dyDescent="0.2">
      <c r="C137" s="201" t="s">
        <v>440</v>
      </c>
      <c r="D137" s="200">
        <v>44201</v>
      </c>
      <c r="E137" s="199" t="s">
        <v>2434</v>
      </c>
      <c r="I137" s="198">
        <v>9.93</v>
      </c>
      <c r="K137" s="198">
        <v>59438.77</v>
      </c>
    </row>
    <row r="138" spans="3:11" x14ac:dyDescent="0.2">
      <c r="C138" s="201" t="s">
        <v>439</v>
      </c>
      <c r="D138" s="200">
        <v>44201</v>
      </c>
      <c r="E138" s="199" t="s">
        <v>2433</v>
      </c>
      <c r="I138" s="198">
        <v>9.34</v>
      </c>
      <c r="K138" s="198">
        <v>59448.11</v>
      </c>
    </row>
    <row r="139" spans="3:11" x14ac:dyDescent="0.2">
      <c r="C139" s="201" t="s">
        <v>438</v>
      </c>
      <c r="D139" s="200">
        <v>44201</v>
      </c>
      <c r="E139" s="199" t="s">
        <v>2432</v>
      </c>
      <c r="I139" s="198">
        <v>3.21</v>
      </c>
      <c r="K139" s="198">
        <v>59451.32</v>
      </c>
    </row>
    <row r="140" spans="3:11" x14ac:dyDescent="0.2">
      <c r="C140" s="201" t="s">
        <v>437</v>
      </c>
      <c r="D140" s="200">
        <v>44201</v>
      </c>
      <c r="E140" s="199" t="s">
        <v>2431</v>
      </c>
      <c r="I140" s="198">
        <v>6.24</v>
      </c>
      <c r="K140" s="198">
        <v>59457.56</v>
      </c>
    </row>
    <row r="141" spans="3:11" x14ac:dyDescent="0.2">
      <c r="C141" s="201" t="s">
        <v>436</v>
      </c>
      <c r="D141" s="200">
        <v>44201</v>
      </c>
      <c r="E141" s="199" t="s">
        <v>2430</v>
      </c>
      <c r="I141" s="198">
        <v>5.0999999999999996</v>
      </c>
      <c r="K141" s="198">
        <v>59462.66</v>
      </c>
    </row>
    <row r="142" spans="3:11" x14ac:dyDescent="0.2">
      <c r="C142" s="201" t="s">
        <v>435</v>
      </c>
      <c r="D142" s="200">
        <v>44201</v>
      </c>
      <c r="E142" s="199" t="s">
        <v>2429</v>
      </c>
      <c r="I142" s="198">
        <v>5.16</v>
      </c>
      <c r="K142" s="198">
        <v>59467.82</v>
      </c>
    </row>
    <row r="143" spans="3:11" x14ac:dyDescent="0.2">
      <c r="C143" s="201" t="s">
        <v>434</v>
      </c>
      <c r="D143" s="200">
        <v>44201</v>
      </c>
      <c r="E143" s="199" t="s">
        <v>2428</v>
      </c>
      <c r="I143" s="198">
        <v>3.82</v>
      </c>
      <c r="K143" s="198">
        <v>59471.64</v>
      </c>
    </row>
    <row r="144" spans="3:11" x14ac:dyDescent="0.2">
      <c r="C144" s="201" t="s">
        <v>433</v>
      </c>
      <c r="D144" s="200">
        <v>44201</v>
      </c>
      <c r="E144" s="199" t="s">
        <v>2427</v>
      </c>
      <c r="I144" s="198">
        <v>2.4300000000000002</v>
      </c>
      <c r="K144" s="198">
        <v>59474.07</v>
      </c>
    </row>
    <row r="145" spans="3:11" x14ac:dyDescent="0.2">
      <c r="C145" s="201" t="s">
        <v>432</v>
      </c>
      <c r="D145" s="200">
        <v>44201</v>
      </c>
      <c r="E145" s="199" t="s">
        <v>2426</v>
      </c>
      <c r="I145" s="198">
        <v>5.32</v>
      </c>
      <c r="K145" s="198">
        <v>59479.39</v>
      </c>
    </row>
    <row r="146" spans="3:11" x14ac:dyDescent="0.2">
      <c r="C146" s="201" t="s">
        <v>431</v>
      </c>
      <c r="D146" s="200">
        <v>44201</v>
      </c>
      <c r="E146" s="199" t="s">
        <v>2425</v>
      </c>
      <c r="I146" s="198">
        <v>1.23</v>
      </c>
      <c r="K146" s="198">
        <v>59480.62</v>
      </c>
    </row>
    <row r="147" spans="3:11" x14ac:dyDescent="0.2">
      <c r="C147" s="201" t="s">
        <v>430</v>
      </c>
      <c r="D147" s="200">
        <v>44201</v>
      </c>
      <c r="E147" s="199" t="s">
        <v>2424</v>
      </c>
      <c r="I147" s="198">
        <v>25.14</v>
      </c>
      <c r="K147" s="198">
        <v>59505.760000000002</v>
      </c>
    </row>
    <row r="148" spans="3:11" x14ac:dyDescent="0.2">
      <c r="C148" s="201" t="s">
        <v>429</v>
      </c>
      <c r="D148" s="200">
        <v>44201</v>
      </c>
      <c r="E148" s="199" t="s">
        <v>2423</v>
      </c>
      <c r="I148" s="198">
        <v>8.3800000000000008</v>
      </c>
      <c r="K148" s="198">
        <v>59514.14</v>
      </c>
    </row>
    <row r="149" spans="3:11" x14ac:dyDescent="0.2">
      <c r="C149" s="201" t="s">
        <v>428</v>
      </c>
      <c r="D149" s="200">
        <v>44201</v>
      </c>
      <c r="E149" s="199" t="s">
        <v>2422</v>
      </c>
      <c r="I149" s="198">
        <v>3.25</v>
      </c>
      <c r="K149" s="198">
        <v>59517.39</v>
      </c>
    </row>
    <row r="150" spans="3:11" x14ac:dyDescent="0.2">
      <c r="C150" s="201" t="s">
        <v>427</v>
      </c>
      <c r="D150" s="200">
        <v>44201</v>
      </c>
      <c r="E150" s="199" t="s">
        <v>2421</v>
      </c>
      <c r="I150" s="198">
        <v>6.06</v>
      </c>
      <c r="K150" s="198">
        <v>59523.45</v>
      </c>
    </row>
    <row r="151" spans="3:11" x14ac:dyDescent="0.2">
      <c r="C151" s="201" t="s">
        <v>426</v>
      </c>
      <c r="D151" s="200">
        <v>44201</v>
      </c>
      <c r="E151" s="199" t="s">
        <v>2420</v>
      </c>
      <c r="I151" s="198">
        <v>16.53</v>
      </c>
      <c r="K151" s="198">
        <v>59539.98</v>
      </c>
    </row>
    <row r="152" spans="3:11" x14ac:dyDescent="0.2">
      <c r="C152" s="201" t="s">
        <v>425</v>
      </c>
      <c r="D152" s="200">
        <v>44201</v>
      </c>
      <c r="E152" s="199" t="s">
        <v>2419</v>
      </c>
      <c r="I152" s="198">
        <v>4.5999999999999996</v>
      </c>
      <c r="K152" s="198">
        <v>59544.58</v>
      </c>
    </row>
    <row r="153" spans="3:11" x14ac:dyDescent="0.2">
      <c r="C153" s="201" t="s">
        <v>417</v>
      </c>
      <c r="D153" s="200">
        <v>44201</v>
      </c>
      <c r="E153" s="199" t="s">
        <v>2418</v>
      </c>
      <c r="I153" s="198">
        <v>23.77</v>
      </c>
      <c r="K153" s="198">
        <v>59568.35</v>
      </c>
    </row>
    <row r="154" spans="3:11" x14ac:dyDescent="0.2">
      <c r="C154" s="201" t="s">
        <v>424</v>
      </c>
      <c r="D154" s="200">
        <v>44201</v>
      </c>
      <c r="E154" s="199" t="s">
        <v>2417</v>
      </c>
      <c r="I154" s="198">
        <v>8.3800000000000008</v>
      </c>
      <c r="K154" s="198">
        <v>59576.73</v>
      </c>
    </row>
    <row r="155" spans="3:11" x14ac:dyDescent="0.2">
      <c r="C155" s="201" t="s">
        <v>423</v>
      </c>
      <c r="D155" s="200">
        <v>44201</v>
      </c>
      <c r="E155" s="199" t="s">
        <v>2416</v>
      </c>
      <c r="I155" s="198">
        <v>6.57</v>
      </c>
      <c r="K155" s="198">
        <v>59583.3</v>
      </c>
    </row>
    <row r="156" spans="3:11" x14ac:dyDescent="0.2">
      <c r="C156" s="201" t="s">
        <v>422</v>
      </c>
      <c r="D156" s="200">
        <v>44201</v>
      </c>
      <c r="E156" s="199" t="s">
        <v>2415</v>
      </c>
      <c r="I156" s="198">
        <v>9.31</v>
      </c>
      <c r="K156" s="198">
        <v>59592.61</v>
      </c>
    </row>
    <row r="157" spans="3:11" x14ac:dyDescent="0.2">
      <c r="C157" s="201" t="s">
        <v>421</v>
      </c>
      <c r="D157" s="200">
        <v>44201</v>
      </c>
      <c r="E157" s="199" t="s">
        <v>2414</v>
      </c>
      <c r="I157" s="198">
        <v>3.57</v>
      </c>
      <c r="K157" s="198">
        <v>59596.18</v>
      </c>
    </row>
    <row r="158" spans="3:11" x14ac:dyDescent="0.2">
      <c r="C158" s="201" t="s">
        <v>420</v>
      </c>
      <c r="D158" s="200">
        <v>44201</v>
      </c>
      <c r="E158" s="199" t="s">
        <v>2413</v>
      </c>
      <c r="I158" s="198">
        <v>2.04</v>
      </c>
      <c r="K158" s="198">
        <v>59598.22</v>
      </c>
    </row>
    <row r="159" spans="3:11" x14ac:dyDescent="0.2">
      <c r="C159" s="201" t="s">
        <v>419</v>
      </c>
      <c r="D159" s="200">
        <v>44201</v>
      </c>
      <c r="E159" s="199" t="s">
        <v>2412</v>
      </c>
      <c r="I159" s="198">
        <v>3.18</v>
      </c>
      <c r="K159" s="198">
        <v>59601.4</v>
      </c>
    </row>
    <row r="160" spans="3:11" x14ac:dyDescent="0.2">
      <c r="C160" s="201" t="s">
        <v>418</v>
      </c>
      <c r="D160" s="200">
        <v>44201</v>
      </c>
      <c r="E160" s="199" t="s">
        <v>2411</v>
      </c>
      <c r="I160" s="198">
        <v>2.76</v>
      </c>
      <c r="K160" s="198">
        <v>59604.160000000003</v>
      </c>
    </row>
    <row r="161" spans="3:11" x14ac:dyDescent="0.2">
      <c r="C161" s="201" t="s">
        <v>416</v>
      </c>
      <c r="D161" s="200">
        <v>44201</v>
      </c>
      <c r="E161" s="199" t="s">
        <v>2410</v>
      </c>
      <c r="I161" s="198">
        <v>6.16</v>
      </c>
      <c r="K161" s="198">
        <v>59610.32</v>
      </c>
    </row>
    <row r="162" spans="3:11" x14ac:dyDescent="0.2">
      <c r="C162" s="201" t="s">
        <v>454</v>
      </c>
      <c r="D162" s="200">
        <v>44201</v>
      </c>
      <c r="E162" s="199" t="s">
        <v>2409</v>
      </c>
      <c r="I162" s="198">
        <v>2.5</v>
      </c>
      <c r="K162" s="198">
        <v>59612.82</v>
      </c>
    </row>
    <row r="163" spans="3:11" x14ac:dyDescent="0.2">
      <c r="C163" s="201" t="s">
        <v>453</v>
      </c>
      <c r="D163" s="200">
        <v>44201</v>
      </c>
      <c r="E163" s="199" t="s">
        <v>2408</v>
      </c>
      <c r="I163" s="198">
        <v>1.68</v>
      </c>
      <c r="K163" s="198">
        <v>59614.5</v>
      </c>
    </row>
    <row r="164" spans="3:11" x14ac:dyDescent="0.2">
      <c r="C164" s="201" t="s">
        <v>452</v>
      </c>
      <c r="D164" s="200">
        <v>44201</v>
      </c>
      <c r="E164" s="199" t="s">
        <v>2407</v>
      </c>
      <c r="I164" s="198">
        <v>15.77</v>
      </c>
      <c r="K164" s="198">
        <v>59630.27</v>
      </c>
    </row>
    <row r="165" spans="3:11" x14ac:dyDescent="0.2">
      <c r="C165" s="201" t="s">
        <v>451</v>
      </c>
      <c r="D165" s="200">
        <v>44201</v>
      </c>
      <c r="E165" s="199" t="s">
        <v>2406</v>
      </c>
      <c r="I165" s="198">
        <v>17.11</v>
      </c>
      <c r="K165" s="198">
        <v>59647.38</v>
      </c>
    </row>
    <row r="166" spans="3:11" x14ac:dyDescent="0.2">
      <c r="C166" s="201" t="s">
        <v>450</v>
      </c>
      <c r="D166" s="200">
        <v>44201</v>
      </c>
      <c r="E166" s="199" t="s">
        <v>2405</v>
      </c>
      <c r="I166" s="198">
        <v>6.69</v>
      </c>
      <c r="K166" s="198">
        <v>59654.07</v>
      </c>
    </row>
    <row r="167" spans="3:11" x14ac:dyDescent="0.2">
      <c r="C167" s="201" t="s">
        <v>449</v>
      </c>
      <c r="D167" s="200">
        <v>44201</v>
      </c>
      <c r="E167" s="199" t="s">
        <v>2404</v>
      </c>
      <c r="I167" s="198">
        <v>8.43</v>
      </c>
      <c r="K167" s="198">
        <v>59662.5</v>
      </c>
    </row>
    <row r="168" spans="3:11" x14ac:dyDescent="0.2">
      <c r="C168" s="201" t="s">
        <v>448</v>
      </c>
      <c r="D168" s="200">
        <v>44201</v>
      </c>
      <c r="E168" s="199" t="s">
        <v>2403</v>
      </c>
      <c r="I168" s="198">
        <v>26.62</v>
      </c>
      <c r="K168" s="198">
        <v>59689.120000000003</v>
      </c>
    </row>
    <row r="169" spans="3:11" x14ac:dyDescent="0.2">
      <c r="C169" s="201" t="s">
        <v>447</v>
      </c>
      <c r="D169" s="200">
        <v>44201</v>
      </c>
      <c r="E169" s="199" t="s">
        <v>2402</v>
      </c>
      <c r="I169" s="198">
        <v>3.36</v>
      </c>
      <c r="K169" s="198">
        <v>59692.480000000003</v>
      </c>
    </row>
    <row r="170" spans="3:11" x14ac:dyDescent="0.2">
      <c r="C170" s="201" t="s">
        <v>446</v>
      </c>
      <c r="D170" s="200">
        <v>44201</v>
      </c>
      <c r="E170" s="199" t="s">
        <v>2401</v>
      </c>
      <c r="I170" s="198">
        <v>3.56</v>
      </c>
      <c r="K170" s="198">
        <v>59696.04</v>
      </c>
    </row>
    <row r="171" spans="3:11" x14ac:dyDescent="0.2">
      <c r="C171" s="201" t="s">
        <v>415</v>
      </c>
      <c r="D171" s="200">
        <v>44201</v>
      </c>
      <c r="E171" s="199" t="s">
        <v>2400</v>
      </c>
      <c r="I171" s="198">
        <v>5.63</v>
      </c>
      <c r="K171" s="198">
        <v>59701.67</v>
      </c>
    </row>
    <row r="172" spans="3:11" x14ac:dyDescent="0.2">
      <c r="C172" s="201" t="s">
        <v>2399</v>
      </c>
      <c r="D172" s="200">
        <v>44201</v>
      </c>
      <c r="E172" s="199" t="s">
        <v>2398</v>
      </c>
      <c r="I172" s="198">
        <v>3.36</v>
      </c>
      <c r="K172" s="198">
        <v>59705.03</v>
      </c>
    </row>
    <row r="173" spans="3:11" x14ac:dyDescent="0.2">
      <c r="C173" s="201" t="s">
        <v>2397</v>
      </c>
      <c r="D173" s="200">
        <v>44201</v>
      </c>
      <c r="E173" s="199" t="s">
        <v>2396</v>
      </c>
      <c r="I173" s="198">
        <v>3.36</v>
      </c>
      <c r="K173" s="198">
        <v>59708.39</v>
      </c>
    </row>
    <row r="174" spans="3:11" x14ac:dyDescent="0.2">
      <c r="C174" s="201" t="s">
        <v>2395</v>
      </c>
      <c r="D174" s="200">
        <v>44201</v>
      </c>
      <c r="E174" s="199" t="s">
        <v>2394</v>
      </c>
      <c r="I174" s="198">
        <v>19</v>
      </c>
      <c r="K174" s="198">
        <v>59727.39</v>
      </c>
    </row>
    <row r="175" spans="3:11" x14ac:dyDescent="0.2">
      <c r="C175" s="201" t="s">
        <v>2393</v>
      </c>
      <c r="D175" s="200">
        <v>44201</v>
      </c>
      <c r="E175" s="199" t="s">
        <v>2392</v>
      </c>
      <c r="I175" s="198">
        <v>5.61</v>
      </c>
      <c r="K175" s="198">
        <v>59733</v>
      </c>
    </row>
    <row r="176" spans="3:11" x14ac:dyDescent="0.2">
      <c r="C176" s="201" t="s">
        <v>2391</v>
      </c>
      <c r="D176" s="200">
        <v>44201</v>
      </c>
      <c r="E176" s="199" t="s">
        <v>2390</v>
      </c>
      <c r="I176" s="198">
        <v>1.96</v>
      </c>
      <c r="K176" s="198">
        <v>59734.96</v>
      </c>
    </row>
    <row r="177" spans="3:11" x14ac:dyDescent="0.2">
      <c r="C177" s="201" t="s">
        <v>414</v>
      </c>
      <c r="D177" s="200">
        <v>44201</v>
      </c>
      <c r="E177" s="199" t="s">
        <v>2389</v>
      </c>
      <c r="I177" s="198">
        <v>16.760000000000002</v>
      </c>
      <c r="K177" s="198">
        <v>59751.72</v>
      </c>
    </row>
    <row r="178" spans="3:11" x14ac:dyDescent="0.2">
      <c r="C178" s="201" t="s">
        <v>2388</v>
      </c>
      <c r="D178" s="200">
        <v>44201</v>
      </c>
      <c r="E178" s="199" t="s">
        <v>2387</v>
      </c>
      <c r="I178" s="198">
        <v>16.760000000000002</v>
      </c>
      <c r="K178" s="198">
        <v>59768.480000000003</v>
      </c>
    </row>
    <row r="179" spans="3:11" x14ac:dyDescent="0.2">
      <c r="C179" s="201" t="s">
        <v>2386</v>
      </c>
      <c r="D179" s="200">
        <v>44201</v>
      </c>
      <c r="E179" s="199" t="s">
        <v>2385</v>
      </c>
      <c r="I179" s="198">
        <v>3.63</v>
      </c>
      <c r="K179" s="198">
        <v>59772.11</v>
      </c>
    </row>
    <row r="180" spans="3:11" x14ac:dyDescent="0.2">
      <c r="C180" s="201" t="s">
        <v>2384</v>
      </c>
      <c r="D180" s="200">
        <v>44201</v>
      </c>
      <c r="E180" s="199" t="s">
        <v>2383</v>
      </c>
      <c r="I180" s="198">
        <v>2.78</v>
      </c>
      <c r="K180" s="198">
        <v>59774.89</v>
      </c>
    </row>
    <row r="181" spans="3:11" x14ac:dyDescent="0.2">
      <c r="C181" s="201" t="s">
        <v>2382</v>
      </c>
      <c r="D181" s="200">
        <v>44201</v>
      </c>
      <c r="E181" s="199" t="s">
        <v>2381</v>
      </c>
      <c r="I181" s="198">
        <v>3.47</v>
      </c>
      <c r="K181" s="198">
        <v>59778.36</v>
      </c>
    </row>
    <row r="182" spans="3:11" x14ac:dyDescent="0.2">
      <c r="C182" s="201" t="s">
        <v>2380</v>
      </c>
      <c r="D182" s="200">
        <v>44201</v>
      </c>
      <c r="E182" s="199" t="s">
        <v>2379</v>
      </c>
      <c r="I182" s="198">
        <v>100.01</v>
      </c>
      <c r="K182" s="198">
        <v>59878.37</v>
      </c>
    </row>
    <row r="183" spans="3:11" x14ac:dyDescent="0.2">
      <c r="C183" s="201" t="s">
        <v>2378</v>
      </c>
      <c r="D183" s="200">
        <v>44201</v>
      </c>
      <c r="E183" s="199" t="s">
        <v>2377</v>
      </c>
      <c r="I183" s="198">
        <v>16.489999999999998</v>
      </c>
      <c r="K183" s="198">
        <v>59894.86</v>
      </c>
    </row>
    <row r="184" spans="3:11" x14ac:dyDescent="0.2">
      <c r="C184" s="201" t="s">
        <v>2376</v>
      </c>
      <c r="D184" s="200">
        <v>44201</v>
      </c>
      <c r="E184" s="199" t="s">
        <v>2375</v>
      </c>
      <c r="I184" s="198">
        <v>8</v>
      </c>
      <c r="K184" s="198">
        <v>59902.86</v>
      </c>
    </row>
    <row r="185" spans="3:11" x14ac:dyDescent="0.2">
      <c r="C185" s="201" t="s">
        <v>2374</v>
      </c>
      <c r="D185" s="200">
        <v>44201</v>
      </c>
      <c r="E185" s="199" t="s">
        <v>2373</v>
      </c>
      <c r="I185" s="198">
        <v>2.92</v>
      </c>
      <c r="K185" s="198">
        <v>59905.78</v>
      </c>
    </row>
    <row r="186" spans="3:11" x14ac:dyDescent="0.2">
      <c r="C186" s="201" t="s">
        <v>290</v>
      </c>
      <c r="D186" s="200">
        <v>44201</v>
      </c>
      <c r="E186" s="199" t="s">
        <v>2372</v>
      </c>
      <c r="I186" s="198">
        <v>5</v>
      </c>
      <c r="K186" s="198">
        <v>59910.78</v>
      </c>
    </row>
    <row r="187" spans="3:11" x14ac:dyDescent="0.2">
      <c r="C187" s="201" t="s">
        <v>7479</v>
      </c>
      <c r="D187" s="200">
        <v>44201</v>
      </c>
      <c r="E187" s="199" t="s">
        <v>20172</v>
      </c>
      <c r="J187" s="222">
        <v>5.32</v>
      </c>
      <c r="K187" s="198">
        <v>59905.46</v>
      </c>
    </row>
    <row r="188" spans="3:11" x14ac:dyDescent="0.2">
      <c r="C188" s="201" t="s">
        <v>2371</v>
      </c>
      <c r="D188" s="200">
        <v>44202</v>
      </c>
      <c r="E188" s="199" t="s">
        <v>2370</v>
      </c>
      <c r="I188" s="198">
        <v>1.68</v>
      </c>
      <c r="K188" s="198">
        <v>59907.14</v>
      </c>
    </row>
    <row r="189" spans="3:11" x14ac:dyDescent="0.2">
      <c r="C189" s="201" t="s">
        <v>2369</v>
      </c>
      <c r="D189" s="200">
        <v>44202</v>
      </c>
      <c r="E189" s="199" t="s">
        <v>2368</v>
      </c>
      <c r="I189" s="198">
        <v>8.3800000000000008</v>
      </c>
      <c r="K189" s="198">
        <v>59915.519999999997</v>
      </c>
    </row>
    <row r="190" spans="3:11" x14ac:dyDescent="0.2">
      <c r="C190" s="201" t="s">
        <v>2367</v>
      </c>
      <c r="D190" s="200">
        <v>44202</v>
      </c>
      <c r="E190" s="199" t="s">
        <v>2366</v>
      </c>
      <c r="I190" s="198">
        <v>3.04</v>
      </c>
      <c r="K190" s="198">
        <v>59918.559999999998</v>
      </c>
    </row>
    <row r="191" spans="3:11" x14ac:dyDescent="0.2">
      <c r="C191" s="201" t="s">
        <v>413</v>
      </c>
      <c r="D191" s="200">
        <v>44202</v>
      </c>
      <c r="E191" s="199" t="s">
        <v>2365</v>
      </c>
      <c r="I191" s="198">
        <v>4.38</v>
      </c>
      <c r="K191" s="198">
        <v>59922.94</v>
      </c>
    </row>
    <row r="192" spans="3:11" x14ac:dyDescent="0.2">
      <c r="C192" s="201" t="s">
        <v>412</v>
      </c>
      <c r="D192" s="200">
        <v>44202</v>
      </c>
      <c r="E192" s="199" t="s">
        <v>2364</v>
      </c>
      <c r="I192" s="198">
        <v>9.6300000000000008</v>
      </c>
      <c r="K192" s="198">
        <v>59932.57</v>
      </c>
    </row>
    <row r="193" spans="3:11" x14ac:dyDescent="0.2">
      <c r="C193" s="201" t="s">
        <v>411</v>
      </c>
      <c r="D193" s="200">
        <v>44202</v>
      </c>
      <c r="E193" s="199" t="s">
        <v>2363</v>
      </c>
      <c r="I193" s="198">
        <v>123</v>
      </c>
      <c r="K193" s="198">
        <v>60055.57</v>
      </c>
    </row>
    <row r="194" spans="3:11" x14ac:dyDescent="0.2">
      <c r="C194" s="201" t="s">
        <v>410</v>
      </c>
      <c r="D194" s="200">
        <v>44202</v>
      </c>
      <c r="E194" s="199" t="s">
        <v>2362</v>
      </c>
      <c r="I194" s="198">
        <v>28.86</v>
      </c>
      <c r="K194" s="198">
        <v>60084.43</v>
      </c>
    </row>
    <row r="195" spans="3:11" x14ac:dyDescent="0.2">
      <c r="C195" s="201" t="s">
        <v>409</v>
      </c>
      <c r="D195" s="200">
        <v>44202</v>
      </c>
      <c r="E195" s="199" t="s">
        <v>2361</v>
      </c>
      <c r="I195" s="198">
        <v>9.9</v>
      </c>
      <c r="K195" s="198">
        <v>60094.33</v>
      </c>
    </row>
    <row r="196" spans="3:11" x14ac:dyDescent="0.2">
      <c r="C196" s="201" t="s">
        <v>2360</v>
      </c>
      <c r="D196" s="200">
        <v>44202</v>
      </c>
      <c r="E196" s="199" t="s">
        <v>2359</v>
      </c>
      <c r="I196" s="198">
        <v>17.87</v>
      </c>
      <c r="K196" s="198">
        <v>60112.2</v>
      </c>
    </row>
    <row r="197" spans="3:11" x14ac:dyDescent="0.2">
      <c r="C197" s="201" t="s">
        <v>2358</v>
      </c>
      <c r="D197" s="200">
        <v>44202</v>
      </c>
      <c r="E197" s="199" t="s">
        <v>2357</v>
      </c>
      <c r="I197" s="198">
        <v>6.12</v>
      </c>
      <c r="K197" s="198">
        <v>60118.32</v>
      </c>
    </row>
    <row r="198" spans="3:11" x14ac:dyDescent="0.2">
      <c r="C198" s="201" t="s">
        <v>2356</v>
      </c>
      <c r="D198" s="200">
        <v>44202</v>
      </c>
      <c r="E198" s="199" t="s">
        <v>2355</v>
      </c>
      <c r="I198" s="198">
        <v>3.75</v>
      </c>
      <c r="K198" s="198">
        <v>60122.07</v>
      </c>
    </row>
    <row r="199" spans="3:11" x14ac:dyDescent="0.2">
      <c r="C199" s="201" t="s">
        <v>408</v>
      </c>
      <c r="D199" s="200">
        <v>44202</v>
      </c>
      <c r="E199" s="199" t="s">
        <v>2354</v>
      </c>
      <c r="I199" s="198">
        <v>8.3800000000000008</v>
      </c>
      <c r="K199" s="198">
        <v>60130.45</v>
      </c>
    </row>
    <row r="200" spans="3:11" x14ac:dyDescent="0.2">
      <c r="C200" s="201" t="s">
        <v>407</v>
      </c>
      <c r="D200" s="200">
        <v>44202</v>
      </c>
      <c r="E200" s="199" t="s">
        <v>2353</v>
      </c>
      <c r="I200" s="198">
        <v>1.69</v>
      </c>
      <c r="K200" s="198">
        <v>60132.14</v>
      </c>
    </row>
    <row r="201" spans="3:11" x14ac:dyDescent="0.2">
      <c r="C201" s="201" t="s">
        <v>406</v>
      </c>
      <c r="D201" s="200">
        <v>44202</v>
      </c>
      <c r="E201" s="199" t="s">
        <v>2352</v>
      </c>
      <c r="I201" s="198">
        <v>3.81</v>
      </c>
      <c r="K201" s="198">
        <v>60135.95</v>
      </c>
    </row>
    <row r="202" spans="3:11" x14ac:dyDescent="0.2">
      <c r="C202" s="201" t="s">
        <v>405</v>
      </c>
      <c r="D202" s="200">
        <v>44202</v>
      </c>
      <c r="E202" s="199" t="s">
        <v>2351</v>
      </c>
      <c r="I202" s="198">
        <v>16.91</v>
      </c>
      <c r="K202" s="198">
        <v>60152.86</v>
      </c>
    </row>
    <row r="203" spans="3:11" x14ac:dyDescent="0.2">
      <c r="C203" s="201" t="s">
        <v>404</v>
      </c>
      <c r="D203" s="200">
        <v>44202</v>
      </c>
      <c r="E203" s="199" t="s">
        <v>2350</v>
      </c>
      <c r="I203" s="198">
        <v>8.68</v>
      </c>
      <c r="K203" s="198">
        <v>60161.54</v>
      </c>
    </row>
    <row r="204" spans="3:11" x14ac:dyDescent="0.2">
      <c r="C204" s="201" t="s">
        <v>403</v>
      </c>
      <c r="D204" s="200">
        <v>44202</v>
      </c>
      <c r="E204" s="199" t="s">
        <v>2349</v>
      </c>
      <c r="I204" s="198">
        <v>5.25</v>
      </c>
      <c r="K204" s="198">
        <v>60166.79</v>
      </c>
    </row>
    <row r="205" spans="3:11" x14ac:dyDescent="0.2">
      <c r="C205" s="201" t="s">
        <v>402</v>
      </c>
      <c r="D205" s="200">
        <v>44202</v>
      </c>
      <c r="E205" s="199" t="s">
        <v>2348</v>
      </c>
      <c r="I205" s="198">
        <v>2.48</v>
      </c>
      <c r="K205" s="198">
        <v>60169.27</v>
      </c>
    </row>
    <row r="206" spans="3:11" x14ac:dyDescent="0.2">
      <c r="C206" s="201" t="s">
        <v>375</v>
      </c>
      <c r="D206" s="200">
        <v>44202</v>
      </c>
      <c r="E206" s="199" t="s">
        <v>2347</v>
      </c>
      <c r="I206" s="198">
        <v>4.43</v>
      </c>
      <c r="K206" s="198">
        <v>60173.7</v>
      </c>
    </row>
    <row r="207" spans="3:11" x14ac:dyDescent="0.2">
      <c r="C207" s="201" t="s">
        <v>374</v>
      </c>
      <c r="D207" s="200">
        <v>44202</v>
      </c>
      <c r="E207" s="199" t="s">
        <v>2346</v>
      </c>
      <c r="I207" s="198">
        <v>5.36</v>
      </c>
      <c r="K207" s="198">
        <v>60179.06</v>
      </c>
    </row>
    <row r="208" spans="3:11" x14ac:dyDescent="0.2">
      <c r="C208" s="201" t="s">
        <v>401</v>
      </c>
      <c r="D208" s="200">
        <v>44202</v>
      </c>
      <c r="E208" s="199" t="s">
        <v>2345</v>
      </c>
      <c r="I208" s="198">
        <v>6.39</v>
      </c>
      <c r="K208" s="198">
        <v>60185.45</v>
      </c>
    </row>
    <row r="209" spans="3:11" x14ac:dyDescent="0.2">
      <c r="C209" s="201" t="s">
        <v>400</v>
      </c>
      <c r="D209" s="200">
        <v>44202</v>
      </c>
      <c r="E209" s="199" t="s">
        <v>2344</v>
      </c>
      <c r="I209" s="198">
        <v>12.59</v>
      </c>
      <c r="K209" s="198">
        <v>60198.04</v>
      </c>
    </row>
    <row r="210" spans="3:11" x14ac:dyDescent="0.2">
      <c r="C210" s="201" t="s">
        <v>399</v>
      </c>
      <c r="D210" s="200">
        <v>44202</v>
      </c>
      <c r="E210" s="199" t="s">
        <v>2343</v>
      </c>
      <c r="I210" s="198">
        <v>8.6199999999999992</v>
      </c>
      <c r="K210" s="198">
        <v>60206.66</v>
      </c>
    </row>
    <row r="211" spans="3:11" x14ac:dyDescent="0.2">
      <c r="C211" s="201" t="s">
        <v>398</v>
      </c>
      <c r="D211" s="200">
        <v>44202</v>
      </c>
      <c r="E211" s="199" t="s">
        <v>2342</v>
      </c>
      <c r="I211" s="198">
        <v>3.17</v>
      </c>
      <c r="K211" s="198">
        <v>60209.83</v>
      </c>
    </row>
    <row r="212" spans="3:11" x14ac:dyDescent="0.2">
      <c r="C212" s="201" t="s">
        <v>397</v>
      </c>
      <c r="D212" s="200">
        <v>44202</v>
      </c>
      <c r="E212" s="199" t="s">
        <v>2341</v>
      </c>
      <c r="I212" s="198">
        <v>4.49</v>
      </c>
      <c r="K212" s="198">
        <v>60214.32</v>
      </c>
    </row>
    <row r="213" spans="3:11" x14ac:dyDescent="0.2">
      <c r="C213" s="201" t="s">
        <v>396</v>
      </c>
      <c r="D213" s="200">
        <v>44202</v>
      </c>
      <c r="E213" s="199" t="s">
        <v>2340</v>
      </c>
      <c r="I213" s="198">
        <v>2.2000000000000002</v>
      </c>
      <c r="K213" s="198">
        <v>60216.52</v>
      </c>
    </row>
    <row r="214" spans="3:11" x14ac:dyDescent="0.2">
      <c r="C214" s="201" t="s">
        <v>395</v>
      </c>
      <c r="D214" s="200">
        <v>44202</v>
      </c>
      <c r="E214" s="199" t="s">
        <v>2339</v>
      </c>
      <c r="I214" s="198">
        <v>4.21</v>
      </c>
      <c r="K214" s="198">
        <v>60220.73</v>
      </c>
    </row>
    <row r="215" spans="3:11" x14ac:dyDescent="0.2">
      <c r="C215" s="201" t="s">
        <v>394</v>
      </c>
      <c r="D215" s="200">
        <v>44202</v>
      </c>
      <c r="E215" s="199" t="s">
        <v>2338</v>
      </c>
      <c r="I215" s="198">
        <v>4.2300000000000004</v>
      </c>
      <c r="K215" s="198">
        <v>60224.959999999999</v>
      </c>
    </row>
    <row r="216" spans="3:11" x14ac:dyDescent="0.2">
      <c r="C216" s="201" t="s">
        <v>393</v>
      </c>
      <c r="D216" s="200">
        <v>44202</v>
      </c>
      <c r="E216" s="199" t="s">
        <v>2337</v>
      </c>
      <c r="I216" s="198">
        <v>5.61</v>
      </c>
      <c r="K216" s="198">
        <v>60230.57</v>
      </c>
    </row>
    <row r="217" spans="3:11" x14ac:dyDescent="0.2">
      <c r="C217" s="201" t="s">
        <v>392</v>
      </c>
      <c r="D217" s="200">
        <v>44202</v>
      </c>
      <c r="E217" s="199" t="s">
        <v>2336</v>
      </c>
      <c r="I217" s="198">
        <v>4.3899999999999997</v>
      </c>
      <c r="K217" s="198">
        <v>60234.96</v>
      </c>
    </row>
    <row r="218" spans="3:11" x14ac:dyDescent="0.2">
      <c r="C218" s="201" t="s">
        <v>391</v>
      </c>
      <c r="D218" s="200">
        <v>44202</v>
      </c>
      <c r="E218" s="199" t="s">
        <v>2335</v>
      </c>
      <c r="I218" s="198">
        <v>32.32</v>
      </c>
      <c r="K218" s="198">
        <v>60267.28</v>
      </c>
    </row>
    <row r="219" spans="3:11" x14ac:dyDescent="0.2">
      <c r="C219" s="201" t="s">
        <v>390</v>
      </c>
      <c r="D219" s="200">
        <v>44202</v>
      </c>
      <c r="E219" s="199" t="s">
        <v>2334</v>
      </c>
      <c r="I219" s="198">
        <v>8.3800000000000008</v>
      </c>
      <c r="K219" s="198">
        <v>60275.66</v>
      </c>
    </row>
    <row r="220" spans="3:11" x14ac:dyDescent="0.2">
      <c r="C220" s="201" t="s">
        <v>389</v>
      </c>
      <c r="D220" s="200">
        <v>44202</v>
      </c>
      <c r="E220" s="199" t="s">
        <v>2333</v>
      </c>
      <c r="I220" s="198">
        <v>8.31</v>
      </c>
      <c r="K220" s="198">
        <v>60283.97</v>
      </c>
    </row>
    <row r="221" spans="3:11" x14ac:dyDescent="0.2">
      <c r="C221" s="201" t="s">
        <v>388</v>
      </c>
      <c r="D221" s="200">
        <v>44202</v>
      </c>
      <c r="E221" s="199" t="s">
        <v>2332</v>
      </c>
      <c r="I221" s="198">
        <v>3.23</v>
      </c>
      <c r="K221" s="198">
        <v>60287.199999999997</v>
      </c>
    </row>
    <row r="222" spans="3:11" x14ac:dyDescent="0.2">
      <c r="C222" s="201" t="s">
        <v>387</v>
      </c>
      <c r="D222" s="200">
        <v>44202</v>
      </c>
      <c r="E222" s="199" t="s">
        <v>2331</v>
      </c>
      <c r="I222" s="198">
        <v>13.8</v>
      </c>
      <c r="K222" s="198">
        <v>60301</v>
      </c>
    </row>
    <row r="223" spans="3:11" x14ac:dyDescent="0.2">
      <c r="C223" s="201" t="s">
        <v>386</v>
      </c>
      <c r="D223" s="200">
        <v>44202</v>
      </c>
      <c r="E223" s="199" t="s">
        <v>2330</v>
      </c>
      <c r="I223" s="198">
        <v>3.36</v>
      </c>
      <c r="K223" s="198">
        <v>60304.36</v>
      </c>
    </row>
    <row r="224" spans="3:11" x14ac:dyDescent="0.2">
      <c r="C224" s="201" t="s">
        <v>385</v>
      </c>
      <c r="D224" s="200">
        <v>44202</v>
      </c>
      <c r="E224" s="199" t="s">
        <v>2329</v>
      </c>
      <c r="I224" s="198">
        <v>6.02</v>
      </c>
      <c r="K224" s="198">
        <v>60310.38</v>
      </c>
    </row>
    <row r="225" spans="3:11" x14ac:dyDescent="0.2">
      <c r="C225" s="201" t="s">
        <v>384</v>
      </c>
      <c r="D225" s="200">
        <v>44202</v>
      </c>
      <c r="E225" s="199" t="s">
        <v>2328</v>
      </c>
      <c r="I225" s="198">
        <v>32.200000000000003</v>
      </c>
      <c r="K225" s="198">
        <v>60342.58</v>
      </c>
    </row>
    <row r="226" spans="3:11" x14ac:dyDescent="0.2">
      <c r="C226" s="201" t="s">
        <v>383</v>
      </c>
      <c r="D226" s="200">
        <v>44202</v>
      </c>
      <c r="E226" s="199" t="s">
        <v>2327</v>
      </c>
      <c r="I226" s="198">
        <v>8.3800000000000008</v>
      </c>
      <c r="K226" s="198">
        <v>60350.96</v>
      </c>
    </row>
    <row r="227" spans="3:11" x14ac:dyDescent="0.2">
      <c r="C227" s="201" t="s">
        <v>382</v>
      </c>
      <c r="D227" s="200">
        <v>44202</v>
      </c>
      <c r="E227" s="199" t="s">
        <v>2326</v>
      </c>
      <c r="I227" s="198">
        <v>10</v>
      </c>
      <c r="K227" s="198">
        <v>60360.959999999999</v>
      </c>
    </row>
    <row r="228" spans="3:11" x14ac:dyDescent="0.2">
      <c r="C228" s="201" t="s">
        <v>381</v>
      </c>
      <c r="D228" s="200">
        <v>44202</v>
      </c>
      <c r="E228" s="199" t="s">
        <v>2325</v>
      </c>
      <c r="I228" s="198">
        <v>249.28</v>
      </c>
      <c r="K228" s="198">
        <v>60610.239999999998</v>
      </c>
    </row>
    <row r="229" spans="3:11" x14ac:dyDescent="0.2">
      <c r="C229" s="201" t="s">
        <v>380</v>
      </c>
      <c r="D229" s="200">
        <v>44202</v>
      </c>
      <c r="E229" s="199" t="s">
        <v>2324</v>
      </c>
      <c r="I229" s="198">
        <v>12.53</v>
      </c>
      <c r="K229" s="198">
        <v>60622.77</v>
      </c>
    </row>
    <row r="230" spans="3:11" x14ac:dyDescent="0.2">
      <c r="C230" s="201" t="s">
        <v>379</v>
      </c>
      <c r="D230" s="200">
        <v>44202</v>
      </c>
      <c r="E230" s="199" t="s">
        <v>2323</v>
      </c>
      <c r="I230" s="198">
        <v>3.07</v>
      </c>
      <c r="K230" s="198">
        <v>60625.84</v>
      </c>
    </row>
    <row r="231" spans="3:11" x14ac:dyDescent="0.2">
      <c r="C231" s="201" t="s">
        <v>377</v>
      </c>
      <c r="D231" s="200">
        <v>44202</v>
      </c>
      <c r="E231" s="199" t="s">
        <v>2322</v>
      </c>
      <c r="I231" s="198">
        <v>2</v>
      </c>
      <c r="K231" s="198">
        <v>60627.839999999997</v>
      </c>
    </row>
    <row r="232" spans="3:11" x14ac:dyDescent="0.2">
      <c r="C232" s="201" t="s">
        <v>159</v>
      </c>
      <c r="D232" s="200">
        <v>44202</v>
      </c>
      <c r="E232" s="199" t="s">
        <v>2321</v>
      </c>
      <c r="I232" s="198">
        <v>25</v>
      </c>
      <c r="K232" s="198">
        <v>60652.84</v>
      </c>
    </row>
    <row r="233" spans="3:11" x14ac:dyDescent="0.2">
      <c r="C233" s="201" t="s">
        <v>378</v>
      </c>
      <c r="D233" s="200">
        <v>44203</v>
      </c>
      <c r="E233" s="199" t="s">
        <v>2320</v>
      </c>
      <c r="I233" s="198">
        <v>20</v>
      </c>
      <c r="K233" s="198">
        <v>60672.84</v>
      </c>
    </row>
    <row r="234" spans="3:11" x14ac:dyDescent="0.2">
      <c r="C234" s="201" t="s">
        <v>376</v>
      </c>
      <c r="D234" s="200">
        <v>44203</v>
      </c>
      <c r="E234" s="199" t="s">
        <v>2319</v>
      </c>
      <c r="I234" s="198">
        <v>4.21</v>
      </c>
      <c r="K234" s="198">
        <v>60677.05</v>
      </c>
    </row>
    <row r="235" spans="3:11" x14ac:dyDescent="0.2">
      <c r="C235" s="201" t="s">
        <v>373</v>
      </c>
      <c r="D235" s="200">
        <v>44203</v>
      </c>
      <c r="E235" s="199" t="s">
        <v>2318</v>
      </c>
      <c r="I235" s="198">
        <v>1.94</v>
      </c>
      <c r="K235" s="198">
        <v>60678.99</v>
      </c>
    </row>
    <row r="236" spans="3:11" x14ac:dyDescent="0.2">
      <c r="C236" s="201" t="s">
        <v>372</v>
      </c>
      <c r="D236" s="200">
        <v>44203</v>
      </c>
      <c r="E236" s="199" t="s">
        <v>2317</v>
      </c>
      <c r="I236" s="198">
        <v>6.21</v>
      </c>
      <c r="K236" s="198">
        <v>60685.2</v>
      </c>
    </row>
    <row r="237" spans="3:11" x14ac:dyDescent="0.2">
      <c r="C237" s="201" t="s">
        <v>371</v>
      </c>
      <c r="D237" s="200">
        <v>44203</v>
      </c>
      <c r="E237" s="199" t="s">
        <v>2316</v>
      </c>
      <c r="I237" s="198">
        <v>14.5</v>
      </c>
      <c r="K237" s="198">
        <v>60699.7</v>
      </c>
    </row>
    <row r="238" spans="3:11" x14ac:dyDescent="0.2">
      <c r="C238" s="201" t="s">
        <v>370</v>
      </c>
      <c r="D238" s="200">
        <v>44203</v>
      </c>
      <c r="E238" s="199" t="s">
        <v>2315</v>
      </c>
      <c r="I238" s="198">
        <v>17.899999999999999</v>
      </c>
      <c r="K238" s="198">
        <v>60717.599999999999</v>
      </c>
    </row>
    <row r="239" spans="3:11" x14ac:dyDescent="0.2">
      <c r="C239" s="201" t="s">
        <v>369</v>
      </c>
      <c r="D239" s="200">
        <v>44203</v>
      </c>
      <c r="E239" s="199" t="s">
        <v>2314</v>
      </c>
      <c r="I239" s="198">
        <v>11.04</v>
      </c>
      <c r="K239" s="198">
        <v>60728.639999999999</v>
      </c>
    </row>
    <row r="240" spans="3:11" x14ac:dyDescent="0.2">
      <c r="C240" s="201" t="s">
        <v>368</v>
      </c>
      <c r="D240" s="200">
        <v>44203</v>
      </c>
      <c r="E240" s="199" t="s">
        <v>2313</v>
      </c>
      <c r="I240" s="198">
        <v>4.38</v>
      </c>
      <c r="K240" s="198">
        <v>60733.02</v>
      </c>
    </row>
    <row r="241" spans="3:11" x14ac:dyDescent="0.2">
      <c r="C241" s="201" t="s">
        <v>367</v>
      </c>
      <c r="D241" s="200">
        <v>44203</v>
      </c>
      <c r="E241" s="199" t="s">
        <v>2312</v>
      </c>
      <c r="I241" s="198">
        <v>10.8</v>
      </c>
      <c r="K241" s="198">
        <v>60743.82</v>
      </c>
    </row>
    <row r="242" spans="3:11" x14ac:dyDescent="0.2">
      <c r="C242" s="201" t="s">
        <v>366</v>
      </c>
      <c r="D242" s="200">
        <v>44203</v>
      </c>
      <c r="E242" s="199" t="s">
        <v>2311</v>
      </c>
      <c r="I242" s="198">
        <v>3.51</v>
      </c>
      <c r="K242" s="198">
        <v>60747.33</v>
      </c>
    </row>
    <row r="243" spans="3:11" x14ac:dyDescent="0.2">
      <c r="C243" s="201" t="s">
        <v>365</v>
      </c>
      <c r="D243" s="200">
        <v>44203</v>
      </c>
      <c r="E243" s="199" t="s">
        <v>2310</v>
      </c>
      <c r="I243" s="198">
        <v>4.04</v>
      </c>
      <c r="K243" s="198">
        <v>60751.37</v>
      </c>
    </row>
    <row r="244" spans="3:11" x14ac:dyDescent="0.2">
      <c r="C244" s="201" t="s">
        <v>364</v>
      </c>
      <c r="D244" s="200">
        <v>44203</v>
      </c>
      <c r="E244" s="199" t="s">
        <v>2309</v>
      </c>
      <c r="I244" s="198">
        <v>3.49</v>
      </c>
      <c r="K244" s="198">
        <v>60754.86</v>
      </c>
    </row>
    <row r="245" spans="3:11" x14ac:dyDescent="0.2">
      <c r="C245" s="201" t="s">
        <v>363</v>
      </c>
      <c r="D245" s="200">
        <v>44203</v>
      </c>
      <c r="E245" s="199" t="s">
        <v>2308</v>
      </c>
      <c r="I245" s="198">
        <v>2.69</v>
      </c>
      <c r="K245" s="198">
        <v>60757.55</v>
      </c>
    </row>
    <row r="246" spans="3:11" x14ac:dyDescent="0.2">
      <c r="C246" s="201" t="s">
        <v>362</v>
      </c>
      <c r="D246" s="200">
        <v>44203</v>
      </c>
      <c r="E246" s="199" t="s">
        <v>2307</v>
      </c>
      <c r="I246" s="198">
        <v>2.1800000000000002</v>
      </c>
      <c r="K246" s="198">
        <v>60759.73</v>
      </c>
    </row>
    <row r="247" spans="3:11" x14ac:dyDescent="0.2">
      <c r="C247" s="201" t="s">
        <v>361</v>
      </c>
      <c r="D247" s="200">
        <v>44203</v>
      </c>
      <c r="E247" s="199" t="s">
        <v>2306</v>
      </c>
      <c r="I247" s="198">
        <v>7.44</v>
      </c>
      <c r="K247" s="198">
        <v>60767.17</v>
      </c>
    </row>
    <row r="248" spans="3:11" x14ac:dyDescent="0.2">
      <c r="C248" s="201" t="s">
        <v>360</v>
      </c>
      <c r="D248" s="200">
        <v>44203</v>
      </c>
      <c r="E248" s="199" t="s">
        <v>2305</v>
      </c>
      <c r="I248" s="198">
        <v>15.15</v>
      </c>
      <c r="K248" s="198">
        <v>60782.32</v>
      </c>
    </row>
    <row r="249" spans="3:11" x14ac:dyDescent="0.2">
      <c r="C249" s="201" t="s">
        <v>359</v>
      </c>
      <c r="D249" s="200">
        <v>44203</v>
      </c>
      <c r="E249" s="199" t="s">
        <v>2304</v>
      </c>
      <c r="I249" s="198">
        <v>13.44</v>
      </c>
      <c r="K249" s="198">
        <v>60795.76</v>
      </c>
    </row>
    <row r="250" spans="3:11" x14ac:dyDescent="0.2">
      <c r="C250" s="201" t="s">
        <v>358</v>
      </c>
      <c r="D250" s="200">
        <v>44203</v>
      </c>
      <c r="E250" s="199" t="s">
        <v>2303</v>
      </c>
      <c r="I250" s="198">
        <v>4.3600000000000003</v>
      </c>
      <c r="K250" s="198">
        <v>60800.12</v>
      </c>
    </row>
    <row r="251" spans="3:11" x14ac:dyDescent="0.2">
      <c r="C251" s="201" t="s">
        <v>357</v>
      </c>
      <c r="D251" s="200">
        <v>44203</v>
      </c>
      <c r="E251" s="199" t="s">
        <v>2302</v>
      </c>
      <c r="I251" s="198">
        <v>38.94</v>
      </c>
      <c r="K251" s="198">
        <v>60839.06</v>
      </c>
    </row>
    <row r="252" spans="3:11" x14ac:dyDescent="0.2">
      <c r="C252" s="201" t="s">
        <v>356</v>
      </c>
      <c r="D252" s="200">
        <v>44203</v>
      </c>
      <c r="E252" s="199" t="s">
        <v>2301</v>
      </c>
      <c r="I252" s="198">
        <v>4.47</v>
      </c>
      <c r="K252" s="198">
        <v>60843.53</v>
      </c>
    </row>
    <row r="253" spans="3:11" x14ac:dyDescent="0.2">
      <c r="C253" s="201" t="s">
        <v>355</v>
      </c>
      <c r="D253" s="200">
        <v>44203</v>
      </c>
      <c r="E253" s="199" t="s">
        <v>2300</v>
      </c>
      <c r="I253" s="198">
        <v>1.68</v>
      </c>
      <c r="K253" s="198">
        <v>60845.21</v>
      </c>
    </row>
    <row r="254" spans="3:11" x14ac:dyDescent="0.2">
      <c r="C254" s="201" t="s">
        <v>354</v>
      </c>
      <c r="D254" s="200">
        <v>44203</v>
      </c>
      <c r="E254" s="199" t="s">
        <v>2299</v>
      </c>
      <c r="I254" s="198">
        <v>8.5399999999999991</v>
      </c>
      <c r="K254" s="198">
        <v>60853.75</v>
      </c>
    </row>
    <row r="255" spans="3:11" x14ac:dyDescent="0.2">
      <c r="C255" s="201" t="s">
        <v>2298</v>
      </c>
      <c r="D255" s="200">
        <v>44203</v>
      </c>
      <c r="E255" s="199" t="s">
        <v>2297</v>
      </c>
      <c r="I255" s="198">
        <v>5.66</v>
      </c>
      <c r="K255" s="198">
        <v>60859.41</v>
      </c>
    </row>
    <row r="256" spans="3:11" x14ac:dyDescent="0.2">
      <c r="C256" s="201" t="s">
        <v>2296</v>
      </c>
      <c r="D256" s="200">
        <v>44203</v>
      </c>
      <c r="E256" s="199" t="s">
        <v>2295</v>
      </c>
      <c r="I256" s="198">
        <v>3.36</v>
      </c>
      <c r="K256" s="198">
        <v>60862.77</v>
      </c>
    </row>
    <row r="257" spans="3:11" x14ac:dyDescent="0.2">
      <c r="C257" s="201" t="s">
        <v>353</v>
      </c>
      <c r="D257" s="200">
        <v>44203</v>
      </c>
      <c r="E257" s="199" t="s">
        <v>2294</v>
      </c>
      <c r="I257" s="198">
        <v>9.5399999999999991</v>
      </c>
      <c r="K257" s="198">
        <v>60872.31</v>
      </c>
    </row>
    <row r="258" spans="3:11" x14ac:dyDescent="0.2">
      <c r="C258" s="201" t="s">
        <v>2293</v>
      </c>
      <c r="D258" s="200">
        <v>44203</v>
      </c>
      <c r="E258" s="199" t="s">
        <v>2292</v>
      </c>
      <c r="I258" s="198">
        <v>5.26</v>
      </c>
      <c r="K258" s="198">
        <v>60877.57</v>
      </c>
    </row>
    <row r="259" spans="3:11" x14ac:dyDescent="0.2">
      <c r="C259" s="201" t="s">
        <v>2291</v>
      </c>
      <c r="D259" s="200">
        <v>44203</v>
      </c>
      <c r="E259" s="199" t="s">
        <v>2290</v>
      </c>
      <c r="I259" s="198">
        <v>6.89</v>
      </c>
      <c r="K259" s="198">
        <v>60884.46</v>
      </c>
    </row>
    <row r="260" spans="3:11" x14ac:dyDescent="0.2">
      <c r="C260" s="201" t="s">
        <v>2289</v>
      </c>
      <c r="D260" s="200">
        <v>44203</v>
      </c>
      <c r="E260" s="199" t="s">
        <v>2288</v>
      </c>
      <c r="I260" s="198">
        <v>5.67</v>
      </c>
      <c r="K260" s="198">
        <v>60890.13</v>
      </c>
    </row>
    <row r="261" spans="3:11" x14ac:dyDescent="0.2">
      <c r="C261" s="201" t="s">
        <v>352</v>
      </c>
      <c r="D261" s="200">
        <v>44203</v>
      </c>
      <c r="E261" s="199" t="s">
        <v>2287</v>
      </c>
      <c r="I261" s="198">
        <v>6.23</v>
      </c>
      <c r="K261" s="198">
        <v>60896.36</v>
      </c>
    </row>
    <row r="262" spans="3:11" x14ac:dyDescent="0.2">
      <c r="C262" s="201" t="s">
        <v>351</v>
      </c>
      <c r="D262" s="200">
        <v>44203</v>
      </c>
      <c r="E262" s="199" t="s">
        <v>2286</v>
      </c>
      <c r="I262" s="198">
        <v>31.5</v>
      </c>
      <c r="K262" s="198">
        <v>60927.86</v>
      </c>
    </row>
    <row r="263" spans="3:11" x14ac:dyDescent="0.2">
      <c r="C263" s="201" t="s">
        <v>350</v>
      </c>
      <c r="D263" s="200">
        <v>44203</v>
      </c>
      <c r="E263" s="199" t="s">
        <v>2285</v>
      </c>
      <c r="I263" s="198">
        <v>6.52</v>
      </c>
      <c r="K263" s="198">
        <v>60934.38</v>
      </c>
    </row>
    <row r="264" spans="3:11" x14ac:dyDescent="0.2">
      <c r="C264" s="201" t="s">
        <v>349</v>
      </c>
      <c r="D264" s="200">
        <v>44203</v>
      </c>
      <c r="E264" s="199" t="s">
        <v>2284</v>
      </c>
      <c r="I264" s="198">
        <v>3.97</v>
      </c>
      <c r="K264" s="198">
        <v>60938.35</v>
      </c>
    </row>
    <row r="265" spans="3:11" x14ac:dyDescent="0.2">
      <c r="C265" s="201" t="s">
        <v>346</v>
      </c>
      <c r="D265" s="200">
        <v>44203</v>
      </c>
      <c r="E265" s="199" t="s">
        <v>2283</v>
      </c>
      <c r="I265" s="198">
        <v>4.3600000000000003</v>
      </c>
      <c r="K265" s="198">
        <v>60942.71</v>
      </c>
    </row>
    <row r="266" spans="3:11" x14ac:dyDescent="0.2">
      <c r="C266" s="201" t="s">
        <v>345</v>
      </c>
      <c r="D266" s="200">
        <v>44203</v>
      </c>
      <c r="E266" s="199" t="s">
        <v>2282</v>
      </c>
      <c r="I266" s="198">
        <v>36.369999999999997</v>
      </c>
      <c r="K266" s="198">
        <v>60979.08</v>
      </c>
    </row>
    <row r="267" spans="3:11" x14ac:dyDescent="0.2">
      <c r="C267" s="201" t="s">
        <v>348</v>
      </c>
      <c r="D267" s="200">
        <v>44203</v>
      </c>
      <c r="E267" s="199" t="s">
        <v>2281</v>
      </c>
      <c r="I267" s="198">
        <v>11.78</v>
      </c>
      <c r="K267" s="198">
        <v>60990.86</v>
      </c>
    </row>
    <row r="268" spans="3:11" x14ac:dyDescent="0.2">
      <c r="C268" s="201" t="s">
        <v>347</v>
      </c>
      <c r="D268" s="200">
        <v>44203</v>
      </c>
      <c r="E268" s="199" t="s">
        <v>2280</v>
      </c>
      <c r="I268" s="198">
        <v>6.87</v>
      </c>
      <c r="K268" s="198">
        <v>60997.73</v>
      </c>
    </row>
    <row r="269" spans="3:11" x14ac:dyDescent="0.2">
      <c r="C269" s="201" t="s">
        <v>2279</v>
      </c>
      <c r="D269" s="200">
        <v>44203</v>
      </c>
      <c r="E269" s="199" t="s">
        <v>2278</v>
      </c>
      <c r="I269" s="198">
        <v>30.6</v>
      </c>
      <c r="K269" s="198">
        <v>61028.33</v>
      </c>
    </row>
    <row r="270" spans="3:11" x14ac:dyDescent="0.2">
      <c r="C270" s="201" t="s">
        <v>166</v>
      </c>
      <c r="D270" s="200">
        <v>44203</v>
      </c>
      <c r="E270" s="199" t="s">
        <v>2277</v>
      </c>
      <c r="I270" s="198">
        <v>47.94</v>
      </c>
      <c r="K270" s="198">
        <v>61076.27</v>
      </c>
    </row>
    <row r="271" spans="3:11" x14ac:dyDescent="0.2">
      <c r="C271" s="201" t="s">
        <v>2276</v>
      </c>
      <c r="D271" s="200">
        <v>44203</v>
      </c>
      <c r="E271" s="199" t="s">
        <v>2275</v>
      </c>
      <c r="I271" s="198">
        <v>13.53</v>
      </c>
      <c r="K271" s="198">
        <v>61089.8</v>
      </c>
    </row>
    <row r="272" spans="3:11" x14ac:dyDescent="0.2">
      <c r="C272" s="201" t="s">
        <v>2274</v>
      </c>
      <c r="D272" s="200">
        <v>44204</v>
      </c>
      <c r="E272" s="199" t="s">
        <v>2273</v>
      </c>
      <c r="I272" s="198">
        <v>13.04</v>
      </c>
      <c r="K272" s="198">
        <v>61102.84</v>
      </c>
    </row>
    <row r="273" spans="3:11" x14ac:dyDescent="0.2">
      <c r="C273" s="201" t="s">
        <v>344</v>
      </c>
      <c r="D273" s="200">
        <v>44204</v>
      </c>
      <c r="E273" s="199" t="s">
        <v>2272</v>
      </c>
      <c r="I273" s="198">
        <v>1.69</v>
      </c>
      <c r="K273" s="198">
        <v>61104.53</v>
      </c>
    </row>
    <row r="274" spans="3:11" x14ac:dyDescent="0.2">
      <c r="C274" s="201" t="s">
        <v>343</v>
      </c>
      <c r="D274" s="200">
        <v>44204</v>
      </c>
      <c r="E274" s="199" t="s">
        <v>2271</v>
      </c>
      <c r="I274" s="198">
        <v>23.14</v>
      </c>
      <c r="K274" s="198">
        <v>61127.67</v>
      </c>
    </row>
    <row r="275" spans="3:11" x14ac:dyDescent="0.2">
      <c r="C275" s="201" t="s">
        <v>2270</v>
      </c>
      <c r="D275" s="200">
        <v>44204</v>
      </c>
      <c r="E275" s="199" t="s">
        <v>2269</v>
      </c>
      <c r="I275" s="198">
        <v>12.44</v>
      </c>
      <c r="K275" s="198">
        <v>61140.11</v>
      </c>
    </row>
    <row r="276" spans="3:11" x14ac:dyDescent="0.2">
      <c r="C276" s="201" t="s">
        <v>342</v>
      </c>
      <c r="D276" s="200">
        <v>44204</v>
      </c>
      <c r="E276" s="199" t="s">
        <v>2268</v>
      </c>
      <c r="I276" s="198">
        <v>6.72</v>
      </c>
      <c r="K276" s="198">
        <v>61146.83</v>
      </c>
    </row>
    <row r="277" spans="3:11" x14ac:dyDescent="0.2">
      <c r="C277" s="201" t="s">
        <v>2267</v>
      </c>
      <c r="D277" s="200">
        <v>44204</v>
      </c>
      <c r="E277" s="199" t="s">
        <v>2266</v>
      </c>
      <c r="I277" s="198">
        <v>15.08</v>
      </c>
      <c r="K277" s="198">
        <v>61161.91</v>
      </c>
    </row>
    <row r="278" spans="3:11" x14ac:dyDescent="0.2">
      <c r="C278" s="201" t="s">
        <v>2265</v>
      </c>
      <c r="D278" s="200">
        <v>44204</v>
      </c>
      <c r="E278" s="199" t="s">
        <v>2264</v>
      </c>
      <c r="I278" s="198">
        <v>3.37</v>
      </c>
      <c r="K278" s="198">
        <v>61165.279999999999</v>
      </c>
    </row>
    <row r="279" spans="3:11" x14ac:dyDescent="0.2">
      <c r="C279" s="201" t="s">
        <v>2263</v>
      </c>
      <c r="D279" s="200">
        <v>44204</v>
      </c>
      <c r="E279" s="199" t="s">
        <v>2262</v>
      </c>
      <c r="I279" s="198">
        <v>8.3800000000000008</v>
      </c>
      <c r="K279" s="198">
        <v>61173.66</v>
      </c>
    </row>
    <row r="280" spans="3:11" x14ac:dyDescent="0.2">
      <c r="C280" s="201" t="s">
        <v>2261</v>
      </c>
      <c r="D280" s="200">
        <v>44204</v>
      </c>
      <c r="E280" s="199" t="s">
        <v>2260</v>
      </c>
      <c r="I280" s="198">
        <v>12.3</v>
      </c>
      <c r="K280" s="198">
        <v>61185.96</v>
      </c>
    </row>
    <row r="281" spans="3:11" x14ac:dyDescent="0.2">
      <c r="C281" s="201" t="s">
        <v>2259</v>
      </c>
      <c r="D281" s="200">
        <v>44204</v>
      </c>
      <c r="E281" s="199" t="s">
        <v>2258</v>
      </c>
      <c r="I281" s="198">
        <v>2.39</v>
      </c>
      <c r="K281" s="198">
        <v>61188.35</v>
      </c>
    </row>
    <row r="282" spans="3:11" x14ac:dyDescent="0.2">
      <c r="C282" s="201" t="s">
        <v>2257</v>
      </c>
      <c r="D282" s="200">
        <v>44204</v>
      </c>
      <c r="E282" s="199" t="s">
        <v>2256</v>
      </c>
      <c r="I282" s="198">
        <v>5.14</v>
      </c>
      <c r="K282" s="198">
        <v>61193.49</v>
      </c>
    </row>
    <row r="283" spans="3:11" x14ac:dyDescent="0.2">
      <c r="C283" s="201" t="s">
        <v>2255</v>
      </c>
      <c r="D283" s="200">
        <v>44204</v>
      </c>
      <c r="E283" s="199" t="s">
        <v>2254</v>
      </c>
      <c r="I283" s="198">
        <v>4.8600000000000003</v>
      </c>
      <c r="K283" s="198">
        <v>61198.35</v>
      </c>
    </row>
    <row r="284" spans="3:11" x14ac:dyDescent="0.2">
      <c r="C284" s="201" t="s">
        <v>2253</v>
      </c>
      <c r="D284" s="200">
        <v>44204</v>
      </c>
      <c r="E284" s="199" t="s">
        <v>2252</v>
      </c>
      <c r="I284" s="198">
        <v>8.1999999999999993</v>
      </c>
      <c r="K284" s="198">
        <v>61206.55</v>
      </c>
    </row>
    <row r="285" spans="3:11" x14ac:dyDescent="0.2">
      <c r="C285" s="201" t="s">
        <v>2251</v>
      </c>
      <c r="D285" s="200">
        <v>44204</v>
      </c>
      <c r="E285" s="199" t="s">
        <v>2250</v>
      </c>
      <c r="I285" s="198">
        <v>8.24</v>
      </c>
      <c r="K285" s="198">
        <v>61214.79</v>
      </c>
    </row>
    <row r="286" spans="3:11" x14ac:dyDescent="0.2">
      <c r="C286" s="201" t="s">
        <v>2249</v>
      </c>
      <c r="D286" s="200">
        <v>44204</v>
      </c>
      <c r="E286" s="199" t="s">
        <v>2248</v>
      </c>
      <c r="I286" s="198">
        <v>20.63</v>
      </c>
      <c r="K286" s="198">
        <v>61235.42</v>
      </c>
    </row>
    <row r="287" spans="3:11" x14ac:dyDescent="0.2">
      <c r="C287" s="201" t="s">
        <v>2247</v>
      </c>
      <c r="D287" s="200">
        <v>44204</v>
      </c>
      <c r="E287" s="199" t="s">
        <v>2246</v>
      </c>
      <c r="I287" s="198">
        <v>11.41</v>
      </c>
      <c r="K287" s="198">
        <v>61246.83</v>
      </c>
    </row>
    <row r="288" spans="3:11" x14ac:dyDescent="0.2">
      <c r="C288" s="201" t="s">
        <v>2245</v>
      </c>
      <c r="D288" s="200">
        <v>44204</v>
      </c>
      <c r="E288" s="199" t="s">
        <v>2244</v>
      </c>
      <c r="I288" s="198">
        <v>20.260000000000002</v>
      </c>
      <c r="K288" s="198">
        <v>61267.09</v>
      </c>
    </row>
    <row r="289" spans="3:11" x14ac:dyDescent="0.2">
      <c r="C289" s="201" t="s">
        <v>2243</v>
      </c>
      <c r="D289" s="200">
        <v>44204</v>
      </c>
      <c r="E289" s="199" t="s">
        <v>2242</v>
      </c>
      <c r="I289" s="198">
        <v>1.68</v>
      </c>
      <c r="K289" s="198">
        <v>61268.77</v>
      </c>
    </row>
    <row r="290" spans="3:11" x14ac:dyDescent="0.2">
      <c r="C290" s="201" t="s">
        <v>2241</v>
      </c>
      <c r="D290" s="200">
        <v>44204</v>
      </c>
      <c r="E290" s="199" t="s">
        <v>2240</v>
      </c>
      <c r="I290" s="198">
        <v>4.1900000000000004</v>
      </c>
      <c r="K290" s="198">
        <v>61272.959999999999</v>
      </c>
    </row>
    <row r="291" spans="3:11" x14ac:dyDescent="0.2">
      <c r="C291" s="201" t="s">
        <v>2239</v>
      </c>
      <c r="D291" s="200">
        <v>44204</v>
      </c>
      <c r="E291" s="199" t="s">
        <v>2238</v>
      </c>
      <c r="I291" s="198">
        <v>5.24</v>
      </c>
      <c r="K291" s="198">
        <v>61278.2</v>
      </c>
    </row>
    <row r="292" spans="3:11" x14ac:dyDescent="0.2">
      <c r="C292" s="201" t="s">
        <v>2237</v>
      </c>
      <c r="D292" s="200">
        <v>44204</v>
      </c>
      <c r="E292" s="199" t="s">
        <v>2236</v>
      </c>
      <c r="I292" s="198">
        <v>10.99</v>
      </c>
      <c r="K292" s="198">
        <v>61289.19</v>
      </c>
    </row>
    <row r="293" spans="3:11" x14ac:dyDescent="0.2">
      <c r="C293" s="201" t="s">
        <v>2235</v>
      </c>
      <c r="D293" s="200">
        <v>44204</v>
      </c>
      <c r="E293" s="199" t="s">
        <v>2234</v>
      </c>
      <c r="I293" s="198">
        <v>25.14</v>
      </c>
      <c r="K293" s="198">
        <v>61314.33</v>
      </c>
    </row>
    <row r="294" spans="3:11" x14ac:dyDescent="0.2">
      <c r="C294" s="201" t="s">
        <v>2233</v>
      </c>
      <c r="D294" s="200">
        <v>44204</v>
      </c>
      <c r="E294" s="199" t="s">
        <v>2232</v>
      </c>
      <c r="I294" s="198">
        <v>6.45</v>
      </c>
      <c r="K294" s="198">
        <v>61320.78</v>
      </c>
    </row>
    <row r="295" spans="3:11" x14ac:dyDescent="0.2">
      <c r="C295" s="201" t="s">
        <v>2231</v>
      </c>
      <c r="D295" s="200">
        <v>44205</v>
      </c>
      <c r="E295" s="199" t="s">
        <v>2230</v>
      </c>
      <c r="I295" s="198">
        <v>2.9</v>
      </c>
      <c r="K295" s="198">
        <v>61323.68</v>
      </c>
    </row>
    <row r="296" spans="3:11" x14ac:dyDescent="0.2">
      <c r="C296" s="201" t="s">
        <v>2229</v>
      </c>
      <c r="D296" s="200">
        <v>44205</v>
      </c>
      <c r="E296" s="199" t="s">
        <v>2228</v>
      </c>
      <c r="I296" s="198">
        <v>1.76</v>
      </c>
      <c r="K296" s="198">
        <v>61325.440000000002</v>
      </c>
    </row>
    <row r="297" spans="3:11" x14ac:dyDescent="0.2">
      <c r="C297" s="201" t="s">
        <v>2227</v>
      </c>
      <c r="D297" s="200">
        <v>44205</v>
      </c>
      <c r="E297" s="199" t="s">
        <v>2226</v>
      </c>
      <c r="I297" s="198">
        <v>7.82</v>
      </c>
      <c r="K297" s="198">
        <v>61333.26</v>
      </c>
    </row>
    <row r="298" spans="3:11" x14ac:dyDescent="0.2">
      <c r="C298" s="201" t="s">
        <v>341</v>
      </c>
      <c r="D298" s="200">
        <v>44205</v>
      </c>
      <c r="E298" s="199" t="s">
        <v>2225</v>
      </c>
      <c r="I298" s="198">
        <v>49.24</v>
      </c>
      <c r="K298" s="198">
        <v>61382.5</v>
      </c>
    </row>
    <row r="299" spans="3:11" x14ac:dyDescent="0.2">
      <c r="C299" s="201" t="s">
        <v>340</v>
      </c>
      <c r="D299" s="200">
        <v>44205</v>
      </c>
      <c r="E299" s="199" t="s">
        <v>2224</v>
      </c>
      <c r="I299" s="198">
        <v>8.6199999999999992</v>
      </c>
      <c r="K299" s="198">
        <v>61391.12</v>
      </c>
    </row>
    <row r="300" spans="3:11" x14ac:dyDescent="0.2">
      <c r="C300" s="201" t="s">
        <v>339</v>
      </c>
      <c r="D300" s="200">
        <v>44205</v>
      </c>
      <c r="E300" s="199" t="s">
        <v>2223</v>
      </c>
      <c r="I300" s="198">
        <v>2.0299999999999998</v>
      </c>
      <c r="K300" s="198">
        <v>61393.15</v>
      </c>
    </row>
    <row r="301" spans="3:11" x14ac:dyDescent="0.2">
      <c r="C301" s="201" t="s">
        <v>338</v>
      </c>
      <c r="D301" s="200">
        <v>44205</v>
      </c>
      <c r="E301" s="199" t="s">
        <v>2222</v>
      </c>
      <c r="I301" s="198">
        <v>4.3</v>
      </c>
      <c r="K301" s="198">
        <v>61397.45</v>
      </c>
    </row>
    <row r="302" spans="3:11" x14ac:dyDescent="0.2">
      <c r="C302" s="201" t="s">
        <v>337</v>
      </c>
      <c r="D302" s="200">
        <v>44206</v>
      </c>
      <c r="E302" s="199" t="s">
        <v>2221</v>
      </c>
      <c r="I302" s="198">
        <v>25.59</v>
      </c>
      <c r="K302" s="198">
        <v>61423.040000000001</v>
      </c>
    </row>
    <row r="303" spans="3:11" x14ac:dyDescent="0.2">
      <c r="C303" s="201" t="s">
        <v>336</v>
      </c>
      <c r="D303" s="200">
        <v>44206</v>
      </c>
      <c r="E303" s="199" t="s">
        <v>2220</v>
      </c>
      <c r="I303" s="198">
        <v>5.56</v>
      </c>
      <c r="K303" s="198">
        <v>61428.6</v>
      </c>
    </row>
    <row r="304" spans="3:11" x14ac:dyDescent="0.2">
      <c r="C304" s="201" t="s">
        <v>335</v>
      </c>
      <c r="D304" s="200">
        <v>44206</v>
      </c>
      <c r="E304" s="199" t="s">
        <v>2219</v>
      </c>
      <c r="I304" s="198">
        <v>11.01</v>
      </c>
      <c r="K304" s="198">
        <v>61439.61</v>
      </c>
    </row>
    <row r="305" spans="3:11" x14ac:dyDescent="0.2">
      <c r="C305" s="201" t="s">
        <v>2218</v>
      </c>
      <c r="D305" s="200">
        <v>44207</v>
      </c>
      <c r="E305" s="199" t="s">
        <v>2217</v>
      </c>
      <c r="J305" s="222">
        <v>5728.54</v>
      </c>
      <c r="K305" s="198">
        <v>55711.07</v>
      </c>
    </row>
    <row r="306" spans="3:11" x14ac:dyDescent="0.2">
      <c r="C306" s="201" t="s">
        <v>334</v>
      </c>
      <c r="D306" s="200">
        <v>44207</v>
      </c>
      <c r="E306" s="199" t="s">
        <v>2216</v>
      </c>
      <c r="I306" s="198">
        <v>18.46</v>
      </c>
      <c r="K306" s="198">
        <v>55729.53</v>
      </c>
    </row>
    <row r="307" spans="3:11" x14ac:dyDescent="0.2">
      <c r="C307" s="201" t="s">
        <v>333</v>
      </c>
      <c r="D307" s="200">
        <v>44207</v>
      </c>
      <c r="E307" s="199" t="s">
        <v>2215</v>
      </c>
      <c r="I307" s="198">
        <v>4.6100000000000003</v>
      </c>
      <c r="K307" s="198">
        <v>55734.14</v>
      </c>
    </row>
    <row r="308" spans="3:11" x14ac:dyDescent="0.2">
      <c r="C308" s="201" t="s">
        <v>332</v>
      </c>
      <c r="D308" s="200">
        <v>44207</v>
      </c>
      <c r="E308" s="199" t="s">
        <v>2214</v>
      </c>
      <c r="I308" s="198">
        <v>4.28</v>
      </c>
      <c r="K308" s="198">
        <v>55738.42</v>
      </c>
    </row>
    <row r="309" spans="3:11" x14ac:dyDescent="0.2">
      <c r="C309" s="201" t="s">
        <v>329</v>
      </c>
      <c r="D309" s="200">
        <v>44207</v>
      </c>
      <c r="E309" s="199" t="s">
        <v>2213</v>
      </c>
      <c r="I309" s="198">
        <v>42.67</v>
      </c>
      <c r="K309" s="198">
        <v>55781.09</v>
      </c>
    </row>
    <row r="310" spans="3:11" x14ac:dyDescent="0.2">
      <c r="C310" s="201" t="s">
        <v>2212</v>
      </c>
      <c r="D310" s="200">
        <v>44207</v>
      </c>
      <c r="E310" s="199" t="s">
        <v>2211</v>
      </c>
      <c r="I310" s="198">
        <v>8.3800000000000008</v>
      </c>
      <c r="K310" s="198">
        <v>55789.47</v>
      </c>
    </row>
    <row r="311" spans="3:11" x14ac:dyDescent="0.2">
      <c r="C311" s="201" t="s">
        <v>2210</v>
      </c>
      <c r="D311" s="200">
        <v>44207</v>
      </c>
      <c r="E311" s="199" t="s">
        <v>2209</v>
      </c>
      <c r="I311" s="198">
        <v>1.76</v>
      </c>
      <c r="K311" s="198">
        <v>55791.23</v>
      </c>
    </row>
    <row r="312" spans="3:11" x14ac:dyDescent="0.2">
      <c r="C312" s="201" t="s">
        <v>2208</v>
      </c>
      <c r="D312" s="200">
        <v>44207</v>
      </c>
      <c r="E312" s="199" t="s">
        <v>2207</v>
      </c>
      <c r="I312" s="198">
        <v>1.71</v>
      </c>
      <c r="K312" s="198">
        <v>55792.94</v>
      </c>
    </row>
    <row r="313" spans="3:11" x14ac:dyDescent="0.2">
      <c r="C313" s="201" t="s">
        <v>2206</v>
      </c>
      <c r="D313" s="200">
        <v>44207</v>
      </c>
      <c r="E313" s="199" t="s">
        <v>2205</v>
      </c>
      <c r="I313" s="198">
        <v>9.57</v>
      </c>
      <c r="K313" s="198">
        <v>55802.51</v>
      </c>
    </row>
    <row r="314" spans="3:11" x14ac:dyDescent="0.2">
      <c r="C314" s="201" t="s">
        <v>2204</v>
      </c>
      <c r="D314" s="200">
        <v>44207</v>
      </c>
      <c r="E314" s="199" t="s">
        <v>2203</v>
      </c>
      <c r="I314" s="198">
        <v>32.4</v>
      </c>
      <c r="K314" s="198">
        <v>55834.91</v>
      </c>
    </row>
    <row r="315" spans="3:11" x14ac:dyDescent="0.2">
      <c r="C315" s="201" t="s">
        <v>2202</v>
      </c>
      <c r="D315" s="200">
        <v>44207</v>
      </c>
      <c r="E315" s="199" t="s">
        <v>2201</v>
      </c>
      <c r="I315" s="198">
        <v>1.76</v>
      </c>
      <c r="K315" s="198">
        <v>55836.67</v>
      </c>
    </row>
    <row r="316" spans="3:11" x14ac:dyDescent="0.2">
      <c r="C316" s="201" t="s">
        <v>2200</v>
      </c>
      <c r="D316" s="200">
        <v>44207</v>
      </c>
      <c r="E316" s="199" t="s">
        <v>2199</v>
      </c>
      <c r="I316" s="198">
        <v>7.62</v>
      </c>
      <c r="K316" s="198">
        <v>55844.29</v>
      </c>
    </row>
    <row r="317" spans="3:11" x14ac:dyDescent="0.2">
      <c r="C317" s="201" t="s">
        <v>2198</v>
      </c>
      <c r="D317" s="200">
        <v>44207</v>
      </c>
      <c r="E317" s="199" t="s">
        <v>2197</v>
      </c>
      <c r="I317" s="198">
        <v>2.9</v>
      </c>
      <c r="K317" s="198">
        <v>55847.19</v>
      </c>
    </row>
    <row r="318" spans="3:11" x14ac:dyDescent="0.2">
      <c r="C318" s="201" t="s">
        <v>2196</v>
      </c>
      <c r="D318" s="200">
        <v>44207</v>
      </c>
      <c r="E318" s="199" t="s">
        <v>2195</v>
      </c>
      <c r="I318" s="198">
        <v>5.8</v>
      </c>
      <c r="K318" s="198">
        <v>55852.99</v>
      </c>
    </row>
    <row r="319" spans="3:11" x14ac:dyDescent="0.2">
      <c r="C319" s="201" t="s">
        <v>2194</v>
      </c>
      <c r="D319" s="200">
        <v>44207</v>
      </c>
      <c r="E319" s="199" t="s">
        <v>2193</v>
      </c>
      <c r="I319" s="198">
        <v>7.5</v>
      </c>
      <c r="K319" s="198">
        <v>55860.49</v>
      </c>
    </row>
    <row r="320" spans="3:11" x14ac:dyDescent="0.2">
      <c r="C320" s="201" t="s">
        <v>2192</v>
      </c>
      <c r="D320" s="200">
        <v>44207</v>
      </c>
      <c r="E320" s="199" t="s">
        <v>2191</v>
      </c>
      <c r="I320" s="198">
        <v>7.16</v>
      </c>
      <c r="K320" s="198">
        <v>55867.65</v>
      </c>
    </row>
    <row r="321" spans="3:11" x14ac:dyDescent="0.2">
      <c r="C321" s="201" t="s">
        <v>2190</v>
      </c>
      <c r="D321" s="200">
        <v>44207</v>
      </c>
      <c r="E321" s="199" t="s">
        <v>2189</v>
      </c>
      <c r="I321" s="198">
        <v>14.19</v>
      </c>
      <c r="K321" s="198">
        <v>55881.84</v>
      </c>
    </row>
    <row r="322" spans="3:11" x14ac:dyDescent="0.2">
      <c r="C322" s="201" t="s">
        <v>2188</v>
      </c>
      <c r="D322" s="200">
        <v>44207</v>
      </c>
      <c r="E322" s="199" t="s">
        <v>2187</v>
      </c>
      <c r="I322" s="198">
        <v>5.03</v>
      </c>
      <c r="K322" s="198">
        <v>55886.87</v>
      </c>
    </row>
    <row r="323" spans="3:11" x14ac:dyDescent="0.2">
      <c r="C323" s="201" t="s">
        <v>2186</v>
      </c>
      <c r="D323" s="200">
        <v>44207</v>
      </c>
      <c r="E323" s="199" t="s">
        <v>2185</v>
      </c>
      <c r="I323" s="198">
        <v>10.34</v>
      </c>
      <c r="K323" s="198">
        <v>55897.21</v>
      </c>
    </row>
    <row r="324" spans="3:11" x14ac:dyDescent="0.2">
      <c r="C324" s="201" t="s">
        <v>2184</v>
      </c>
      <c r="D324" s="200">
        <v>44207</v>
      </c>
      <c r="E324" s="199" t="s">
        <v>2183</v>
      </c>
      <c r="I324" s="198">
        <v>2.7</v>
      </c>
      <c r="K324" s="198">
        <v>55899.91</v>
      </c>
    </row>
    <row r="325" spans="3:11" x14ac:dyDescent="0.2">
      <c r="C325" s="201" t="s">
        <v>2182</v>
      </c>
      <c r="D325" s="200">
        <v>44207</v>
      </c>
      <c r="E325" s="199" t="s">
        <v>2181</v>
      </c>
      <c r="I325" s="198">
        <v>4.6900000000000004</v>
      </c>
      <c r="K325" s="198">
        <v>55904.6</v>
      </c>
    </row>
    <row r="326" spans="3:11" x14ac:dyDescent="0.2">
      <c r="C326" s="201" t="s">
        <v>328</v>
      </c>
      <c r="D326" s="200">
        <v>44207</v>
      </c>
      <c r="E326" s="199" t="s">
        <v>2180</v>
      </c>
      <c r="I326" s="198">
        <v>7.17</v>
      </c>
      <c r="K326" s="198">
        <v>55911.77</v>
      </c>
    </row>
    <row r="327" spans="3:11" x14ac:dyDescent="0.2">
      <c r="C327" s="201" t="s">
        <v>327</v>
      </c>
      <c r="D327" s="200">
        <v>44207</v>
      </c>
      <c r="E327" s="199" t="s">
        <v>2179</v>
      </c>
      <c r="I327" s="198">
        <v>2.17</v>
      </c>
      <c r="K327" s="198">
        <v>55913.94</v>
      </c>
    </row>
    <row r="328" spans="3:11" x14ac:dyDescent="0.2">
      <c r="C328" s="201" t="s">
        <v>326</v>
      </c>
      <c r="D328" s="200">
        <v>44207</v>
      </c>
      <c r="E328" s="199" t="s">
        <v>2178</v>
      </c>
      <c r="I328" s="198">
        <v>20.56</v>
      </c>
      <c r="K328" s="198">
        <v>55934.5</v>
      </c>
    </row>
    <row r="329" spans="3:11" x14ac:dyDescent="0.2">
      <c r="C329" s="201" t="s">
        <v>325</v>
      </c>
      <c r="D329" s="200">
        <v>44207</v>
      </c>
      <c r="E329" s="199" t="s">
        <v>2177</v>
      </c>
      <c r="I329" s="198">
        <v>3.04</v>
      </c>
      <c r="K329" s="198">
        <v>55937.54</v>
      </c>
    </row>
    <row r="330" spans="3:11" x14ac:dyDescent="0.2">
      <c r="C330" s="201" t="s">
        <v>324</v>
      </c>
      <c r="D330" s="200">
        <v>44207</v>
      </c>
      <c r="E330" s="199" t="s">
        <v>2176</v>
      </c>
      <c r="I330" s="198">
        <v>33.94</v>
      </c>
      <c r="K330" s="198">
        <v>55971.48</v>
      </c>
    </row>
    <row r="331" spans="3:11" x14ac:dyDescent="0.2">
      <c r="C331" s="201" t="s">
        <v>323</v>
      </c>
      <c r="D331" s="200">
        <v>44207</v>
      </c>
      <c r="E331" s="199" t="s">
        <v>2175</v>
      </c>
      <c r="I331" s="198">
        <v>7.16</v>
      </c>
      <c r="K331" s="198">
        <v>55978.64</v>
      </c>
    </row>
    <row r="332" spans="3:11" x14ac:dyDescent="0.2">
      <c r="C332" s="201" t="s">
        <v>2174</v>
      </c>
      <c r="D332" s="200">
        <v>44207</v>
      </c>
      <c r="E332" s="199" t="s">
        <v>2173</v>
      </c>
      <c r="I332" s="198">
        <v>47.44</v>
      </c>
      <c r="K332" s="198">
        <v>56026.080000000002</v>
      </c>
    </row>
    <row r="333" spans="3:11" x14ac:dyDescent="0.2">
      <c r="C333" s="201" t="s">
        <v>2172</v>
      </c>
      <c r="D333" s="200">
        <v>44207</v>
      </c>
      <c r="E333" s="199" t="s">
        <v>2171</v>
      </c>
      <c r="I333" s="198">
        <v>8.7100000000000009</v>
      </c>
      <c r="K333" s="198">
        <v>56034.79</v>
      </c>
    </row>
    <row r="334" spans="3:11" x14ac:dyDescent="0.2">
      <c r="C334" s="201" t="s">
        <v>2170</v>
      </c>
      <c r="D334" s="200">
        <v>44207</v>
      </c>
      <c r="E334" s="199" t="s">
        <v>2169</v>
      </c>
      <c r="I334" s="198">
        <v>8.3800000000000008</v>
      </c>
      <c r="K334" s="198">
        <v>56043.17</v>
      </c>
    </row>
    <row r="335" spans="3:11" x14ac:dyDescent="0.2">
      <c r="C335" s="201" t="s">
        <v>322</v>
      </c>
      <c r="D335" s="200">
        <v>44207</v>
      </c>
      <c r="E335" s="199" t="s">
        <v>2168</v>
      </c>
      <c r="I335" s="198">
        <v>11.71</v>
      </c>
      <c r="K335" s="198">
        <v>56054.879999999997</v>
      </c>
    </row>
    <row r="336" spans="3:11" x14ac:dyDescent="0.2">
      <c r="C336" s="201" t="s">
        <v>2167</v>
      </c>
      <c r="D336" s="200">
        <v>44207</v>
      </c>
      <c r="E336" s="199" t="s">
        <v>2166</v>
      </c>
      <c r="I336" s="198">
        <v>5.36</v>
      </c>
      <c r="K336" s="198">
        <v>56060.24</v>
      </c>
    </row>
    <row r="337" spans="3:11" x14ac:dyDescent="0.2">
      <c r="C337" s="201" t="s">
        <v>2165</v>
      </c>
      <c r="D337" s="200">
        <v>44207</v>
      </c>
      <c r="E337" s="199" t="s">
        <v>2164</v>
      </c>
      <c r="I337" s="198">
        <v>4.54</v>
      </c>
      <c r="K337" s="198">
        <v>56064.78</v>
      </c>
    </row>
    <row r="338" spans="3:11" x14ac:dyDescent="0.2">
      <c r="C338" s="201" t="s">
        <v>2163</v>
      </c>
      <c r="D338" s="200">
        <v>44207</v>
      </c>
      <c r="E338" s="199" t="s">
        <v>2162</v>
      </c>
      <c r="I338" s="198">
        <v>3.07</v>
      </c>
      <c r="K338" s="198">
        <v>56067.85</v>
      </c>
    </row>
    <row r="339" spans="3:11" x14ac:dyDescent="0.2">
      <c r="C339" s="201" t="s">
        <v>2161</v>
      </c>
      <c r="D339" s="200">
        <v>44207</v>
      </c>
      <c r="E339" s="199" t="s">
        <v>2160</v>
      </c>
      <c r="I339" s="198">
        <v>9.2100000000000009</v>
      </c>
      <c r="K339" s="198">
        <v>56077.06</v>
      </c>
    </row>
    <row r="340" spans="3:11" x14ac:dyDescent="0.2">
      <c r="C340" s="201" t="s">
        <v>321</v>
      </c>
      <c r="D340" s="200">
        <v>44207</v>
      </c>
      <c r="E340" s="199" t="s">
        <v>2159</v>
      </c>
      <c r="I340" s="198">
        <v>1.94</v>
      </c>
      <c r="K340" s="198">
        <v>56079</v>
      </c>
    </row>
    <row r="341" spans="3:11" x14ac:dyDescent="0.2">
      <c r="C341" s="201" t="s">
        <v>2158</v>
      </c>
      <c r="D341" s="200">
        <v>44207</v>
      </c>
      <c r="E341" s="199" t="s">
        <v>2157</v>
      </c>
      <c r="I341" s="198">
        <v>8.3800000000000008</v>
      </c>
      <c r="K341" s="198">
        <v>56087.38</v>
      </c>
    </row>
    <row r="342" spans="3:11" x14ac:dyDescent="0.2">
      <c r="C342" s="201" t="s">
        <v>320</v>
      </c>
      <c r="D342" s="200">
        <v>44207</v>
      </c>
      <c r="E342" s="199" t="s">
        <v>2156</v>
      </c>
      <c r="I342" s="198">
        <v>4.05</v>
      </c>
      <c r="K342" s="198">
        <v>56091.43</v>
      </c>
    </row>
    <row r="343" spans="3:11" x14ac:dyDescent="0.2">
      <c r="C343" s="201" t="s">
        <v>215</v>
      </c>
      <c r="D343" s="200">
        <v>44207</v>
      </c>
      <c r="E343" s="199" t="s">
        <v>2155</v>
      </c>
      <c r="J343" s="222">
        <v>4054.99</v>
      </c>
      <c r="K343" s="198">
        <v>52036.44</v>
      </c>
    </row>
    <row r="344" spans="3:11" x14ac:dyDescent="0.2">
      <c r="C344" s="201" t="s">
        <v>1552</v>
      </c>
      <c r="D344" s="200">
        <v>44207</v>
      </c>
      <c r="E344" s="199" t="s">
        <v>2154</v>
      </c>
      <c r="J344" s="222">
        <v>15.46</v>
      </c>
      <c r="K344" s="198">
        <v>52020.98</v>
      </c>
    </row>
    <row r="345" spans="3:11" x14ac:dyDescent="0.2">
      <c r="C345" s="201" t="s">
        <v>1547</v>
      </c>
      <c r="D345" s="200">
        <v>44207</v>
      </c>
      <c r="E345" s="199" t="s">
        <v>2153</v>
      </c>
      <c r="J345" s="222">
        <v>12.37</v>
      </c>
      <c r="K345" s="198">
        <v>52008.61</v>
      </c>
    </row>
    <row r="346" spans="3:11" x14ac:dyDescent="0.2">
      <c r="C346" s="201" t="s">
        <v>1546</v>
      </c>
      <c r="D346" s="200">
        <v>44207</v>
      </c>
      <c r="E346" s="199" t="s">
        <v>2152</v>
      </c>
      <c r="J346" s="222">
        <v>13.52</v>
      </c>
      <c r="K346" s="198">
        <v>51995.09</v>
      </c>
    </row>
    <row r="347" spans="3:11" x14ac:dyDescent="0.2">
      <c r="C347" s="201" t="s">
        <v>331</v>
      </c>
      <c r="D347" s="200">
        <v>44208</v>
      </c>
      <c r="E347" s="199" t="s">
        <v>2151</v>
      </c>
      <c r="I347" s="198">
        <v>20</v>
      </c>
      <c r="K347" s="198">
        <v>52015.09</v>
      </c>
    </row>
    <row r="348" spans="3:11" x14ac:dyDescent="0.2">
      <c r="C348" s="201" t="s">
        <v>330</v>
      </c>
      <c r="D348" s="200">
        <v>44208</v>
      </c>
      <c r="E348" s="199" t="s">
        <v>2150</v>
      </c>
      <c r="I348" s="198">
        <v>3.56</v>
      </c>
      <c r="K348" s="198">
        <v>52018.65</v>
      </c>
    </row>
    <row r="349" spans="3:11" x14ac:dyDescent="0.2">
      <c r="C349" s="201" t="s">
        <v>319</v>
      </c>
      <c r="D349" s="200">
        <v>44208</v>
      </c>
      <c r="E349" s="199" t="s">
        <v>2149</v>
      </c>
      <c r="I349" s="198">
        <v>3.36</v>
      </c>
      <c r="K349" s="198">
        <v>52022.01</v>
      </c>
    </row>
    <row r="350" spans="3:11" x14ac:dyDescent="0.2">
      <c r="C350" s="201" t="s">
        <v>318</v>
      </c>
      <c r="D350" s="200">
        <v>44208</v>
      </c>
      <c r="E350" s="199" t="s">
        <v>2148</v>
      </c>
      <c r="I350" s="198">
        <v>7.64</v>
      </c>
      <c r="K350" s="198">
        <v>52029.65</v>
      </c>
    </row>
    <row r="351" spans="3:11" x14ac:dyDescent="0.2">
      <c r="C351" s="201" t="s">
        <v>317</v>
      </c>
      <c r="D351" s="200">
        <v>44208</v>
      </c>
      <c r="E351" s="199" t="s">
        <v>2147</v>
      </c>
      <c r="I351" s="198">
        <v>7.17</v>
      </c>
      <c r="K351" s="198">
        <v>52036.82</v>
      </c>
    </row>
    <row r="352" spans="3:11" x14ac:dyDescent="0.2">
      <c r="C352" s="201" t="s">
        <v>316</v>
      </c>
      <c r="D352" s="200">
        <v>44208</v>
      </c>
      <c r="E352" s="199" t="s">
        <v>2146</v>
      </c>
      <c r="I352" s="198">
        <v>16.649999999999999</v>
      </c>
      <c r="K352" s="198">
        <v>52053.47</v>
      </c>
    </row>
    <row r="353" spans="3:11" x14ac:dyDescent="0.2">
      <c r="C353" s="201" t="s">
        <v>315</v>
      </c>
      <c r="D353" s="200">
        <v>44208</v>
      </c>
      <c r="E353" s="199" t="s">
        <v>2145</v>
      </c>
      <c r="I353" s="198">
        <v>16.97</v>
      </c>
      <c r="K353" s="198">
        <v>52070.44</v>
      </c>
    </row>
    <row r="354" spans="3:11" x14ac:dyDescent="0.2">
      <c r="C354" s="201" t="s">
        <v>314</v>
      </c>
      <c r="D354" s="200">
        <v>44208</v>
      </c>
      <c r="E354" s="199" t="s">
        <v>2144</v>
      </c>
      <c r="I354" s="198">
        <v>8.14</v>
      </c>
      <c r="K354" s="198">
        <v>52078.58</v>
      </c>
    </row>
    <row r="355" spans="3:11" x14ac:dyDescent="0.2">
      <c r="C355" s="201" t="s">
        <v>313</v>
      </c>
      <c r="D355" s="200">
        <v>44208</v>
      </c>
      <c r="E355" s="199" t="s">
        <v>2143</v>
      </c>
      <c r="I355" s="198">
        <v>8.8699999999999992</v>
      </c>
      <c r="K355" s="198">
        <v>52087.45</v>
      </c>
    </row>
    <row r="356" spans="3:11" x14ac:dyDescent="0.2">
      <c r="C356" s="201" t="s">
        <v>312</v>
      </c>
      <c r="D356" s="200">
        <v>44208</v>
      </c>
      <c r="E356" s="199" t="s">
        <v>2142</v>
      </c>
      <c r="I356" s="198">
        <v>3.36</v>
      </c>
      <c r="K356" s="198">
        <v>52090.81</v>
      </c>
    </row>
    <row r="357" spans="3:11" x14ac:dyDescent="0.2">
      <c r="C357" s="201" t="s">
        <v>299</v>
      </c>
      <c r="D357" s="200">
        <v>44208</v>
      </c>
      <c r="E357" s="199" t="s">
        <v>2141</v>
      </c>
      <c r="I357" s="198">
        <v>1.68</v>
      </c>
      <c r="K357" s="198">
        <v>52092.49</v>
      </c>
    </row>
    <row r="358" spans="3:11" x14ac:dyDescent="0.2">
      <c r="C358" s="201" t="s">
        <v>298</v>
      </c>
      <c r="D358" s="200">
        <v>44208</v>
      </c>
      <c r="E358" s="199" t="s">
        <v>2140</v>
      </c>
      <c r="I358" s="198">
        <v>9.0299999999999994</v>
      </c>
      <c r="K358" s="198">
        <v>52101.52</v>
      </c>
    </row>
    <row r="359" spans="3:11" x14ac:dyDescent="0.2">
      <c r="C359" s="201" t="s">
        <v>297</v>
      </c>
      <c r="D359" s="200">
        <v>44208</v>
      </c>
      <c r="E359" s="199" t="s">
        <v>2139</v>
      </c>
      <c r="I359" s="198">
        <v>5.87</v>
      </c>
      <c r="K359" s="198">
        <v>52107.39</v>
      </c>
    </row>
    <row r="360" spans="3:11" x14ac:dyDescent="0.2">
      <c r="C360" s="201" t="s">
        <v>296</v>
      </c>
      <c r="D360" s="200">
        <v>44208</v>
      </c>
      <c r="E360" s="199" t="s">
        <v>2138</v>
      </c>
      <c r="I360" s="198">
        <v>12.57</v>
      </c>
      <c r="K360" s="198">
        <v>52119.96</v>
      </c>
    </row>
    <row r="361" spans="3:11" x14ac:dyDescent="0.2">
      <c r="C361" s="201" t="s">
        <v>295</v>
      </c>
      <c r="D361" s="200">
        <v>44208</v>
      </c>
      <c r="E361" s="199" t="s">
        <v>2137</v>
      </c>
      <c r="I361" s="198">
        <v>3.36</v>
      </c>
      <c r="K361" s="198">
        <v>52123.32</v>
      </c>
    </row>
    <row r="362" spans="3:11" x14ac:dyDescent="0.2">
      <c r="C362" s="201" t="s">
        <v>294</v>
      </c>
      <c r="D362" s="200">
        <v>44208</v>
      </c>
      <c r="E362" s="199" t="s">
        <v>2136</v>
      </c>
      <c r="I362" s="198">
        <v>2.27</v>
      </c>
      <c r="K362" s="198">
        <v>52125.59</v>
      </c>
    </row>
    <row r="363" spans="3:11" x14ac:dyDescent="0.2">
      <c r="C363" s="201" t="s">
        <v>293</v>
      </c>
      <c r="D363" s="200">
        <v>44208</v>
      </c>
      <c r="E363" s="199" t="s">
        <v>2135</v>
      </c>
      <c r="I363" s="198">
        <v>39.299999999999997</v>
      </c>
      <c r="K363" s="198">
        <v>52164.89</v>
      </c>
    </row>
    <row r="364" spans="3:11" x14ac:dyDescent="0.2">
      <c r="C364" s="201" t="s">
        <v>292</v>
      </c>
      <c r="D364" s="200">
        <v>44208</v>
      </c>
      <c r="E364" s="199" t="s">
        <v>2134</v>
      </c>
      <c r="I364" s="198">
        <v>3.55</v>
      </c>
      <c r="K364" s="198">
        <v>52168.44</v>
      </c>
    </row>
    <row r="365" spans="3:11" x14ac:dyDescent="0.2">
      <c r="C365" s="201" t="s">
        <v>291</v>
      </c>
      <c r="D365" s="200">
        <v>44208</v>
      </c>
      <c r="E365" s="199" t="s">
        <v>2133</v>
      </c>
      <c r="I365" s="198">
        <v>18.690000000000001</v>
      </c>
      <c r="K365" s="198">
        <v>52187.13</v>
      </c>
    </row>
    <row r="366" spans="3:11" x14ac:dyDescent="0.2">
      <c r="C366" s="201" t="s">
        <v>2132</v>
      </c>
      <c r="D366" s="200">
        <v>44208</v>
      </c>
      <c r="E366" s="199" t="s">
        <v>2131</v>
      </c>
      <c r="I366" s="198">
        <v>5.23</v>
      </c>
      <c r="K366" s="198">
        <v>52192.36</v>
      </c>
    </row>
    <row r="367" spans="3:11" x14ac:dyDescent="0.2">
      <c r="C367" s="201" t="s">
        <v>2130</v>
      </c>
      <c r="D367" s="200">
        <v>44208</v>
      </c>
      <c r="E367" s="199" t="s">
        <v>2129</v>
      </c>
      <c r="I367" s="198">
        <v>3.68</v>
      </c>
      <c r="K367" s="198">
        <v>52196.04</v>
      </c>
    </row>
    <row r="368" spans="3:11" x14ac:dyDescent="0.2">
      <c r="C368" s="201" t="s">
        <v>311</v>
      </c>
      <c r="D368" s="200">
        <v>44208</v>
      </c>
      <c r="E368" s="199" t="s">
        <v>2128</v>
      </c>
      <c r="I368" s="198">
        <v>8.3800000000000008</v>
      </c>
      <c r="K368" s="198">
        <v>52204.42</v>
      </c>
    </row>
    <row r="369" spans="3:11" x14ac:dyDescent="0.2">
      <c r="C369" s="201" t="s">
        <v>310</v>
      </c>
      <c r="D369" s="200">
        <v>44208</v>
      </c>
      <c r="E369" s="199" t="s">
        <v>2127</v>
      </c>
      <c r="I369" s="198">
        <v>4.8899999999999997</v>
      </c>
      <c r="K369" s="198">
        <v>52209.31</v>
      </c>
    </row>
    <row r="370" spans="3:11" x14ac:dyDescent="0.2">
      <c r="C370" s="201" t="s">
        <v>309</v>
      </c>
      <c r="D370" s="200">
        <v>44208</v>
      </c>
      <c r="E370" s="199" t="s">
        <v>2126</v>
      </c>
      <c r="I370" s="198">
        <v>2.5</v>
      </c>
      <c r="K370" s="198">
        <v>52211.81</v>
      </c>
    </row>
    <row r="371" spans="3:11" x14ac:dyDescent="0.2">
      <c r="C371" s="201" t="s">
        <v>308</v>
      </c>
      <c r="D371" s="200">
        <v>44208</v>
      </c>
      <c r="E371" s="199" t="s">
        <v>2125</v>
      </c>
      <c r="I371" s="198">
        <v>0.84</v>
      </c>
      <c r="K371" s="198">
        <v>52212.65</v>
      </c>
    </row>
    <row r="372" spans="3:11" x14ac:dyDescent="0.2">
      <c r="C372" s="201" t="s">
        <v>307</v>
      </c>
      <c r="D372" s="200">
        <v>44208</v>
      </c>
      <c r="E372" s="199" t="s">
        <v>2124</v>
      </c>
      <c r="I372" s="198">
        <v>1.96</v>
      </c>
      <c r="K372" s="198">
        <v>52214.61</v>
      </c>
    </row>
    <row r="373" spans="3:11" x14ac:dyDescent="0.2">
      <c r="C373" s="201" t="s">
        <v>306</v>
      </c>
      <c r="D373" s="200">
        <v>44208</v>
      </c>
      <c r="E373" s="199" t="s">
        <v>2123</v>
      </c>
      <c r="I373" s="198">
        <v>6.94</v>
      </c>
      <c r="K373" s="198">
        <v>52221.55</v>
      </c>
    </row>
    <row r="374" spans="3:11" x14ac:dyDescent="0.2">
      <c r="C374" s="201" t="s">
        <v>305</v>
      </c>
      <c r="D374" s="200">
        <v>44208</v>
      </c>
      <c r="E374" s="199" t="s">
        <v>2122</v>
      </c>
      <c r="I374" s="198">
        <v>15.81</v>
      </c>
      <c r="K374" s="198">
        <v>52237.36</v>
      </c>
    </row>
    <row r="375" spans="3:11" x14ac:dyDescent="0.2">
      <c r="C375" s="201" t="s">
        <v>303</v>
      </c>
      <c r="D375" s="200">
        <v>44208</v>
      </c>
      <c r="E375" s="199" t="s">
        <v>2121</v>
      </c>
      <c r="I375" s="198">
        <v>1.68</v>
      </c>
      <c r="K375" s="198">
        <v>52239.040000000001</v>
      </c>
    </row>
    <row r="376" spans="3:11" x14ac:dyDescent="0.2">
      <c r="C376" s="201" t="s">
        <v>302</v>
      </c>
      <c r="D376" s="200">
        <v>44208</v>
      </c>
      <c r="E376" s="199" t="s">
        <v>2120</v>
      </c>
      <c r="I376" s="198">
        <v>1.68</v>
      </c>
      <c r="K376" s="198">
        <v>52240.72</v>
      </c>
    </row>
    <row r="377" spans="3:11" x14ac:dyDescent="0.2">
      <c r="C377" s="201" t="s">
        <v>301</v>
      </c>
      <c r="D377" s="200">
        <v>44208</v>
      </c>
      <c r="E377" s="199" t="s">
        <v>2119</v>
      </c>
      <c r="I377" s="198">
        <v>1.68</v>
      </c>
      <c r="K377" s="198">
        <v>52242.400000000001</v>
      </c>
    </row>
    <row r="378" spans="3:11" x14ac:dyDescent="0.2">
      <c r="C378" s="201" t="s">
        <v>2118</v>
      </c>
      <c r="D378" s="200">
        <v>44208</v>
      </c>
      <c r="E378" s="199" t="s">
        <v>2117</v>
      </c>
      <c r="I378" s="198">
        <v>20</v>
      </c>
      <c r="K378" s="198">
        <v>52262.400000000001</v>
      </c>
    </row>
    <row r="379" spans="3:11" x14ac:dyDescent="0.2">
      <c r="C379" s="201" t="s">
        <v>1540</v>
      </c>
      <c r="D379" s="200">
        <v>44208</v>
      </c>
      <c r="E379" s="199" t="s">
        <v>2116</v>
      </c>
      <c r="I379" s="198">
        <v>8</v>
      </c>
      <c r="K379" s="198">
        <v>52270.400000000001</v>
      </c>
    </row>
    <row r="380" spans="3:11" x14ac:dyDescent="0.2">
      <c r="C380" s="201" t="s">
        <v>1532</v>
      </c>
      <c r="D380" s="200">
        <v>44208</v>
      </c>
      <c r="E380" s="199" t="s">
        <v>2115</v>
      </c>
      <c r="I380" s="198">
        <v>80.08</v>
      </c>
      <c r="K380" s="198">
        <v>52350.48</v>
      </c>
    </row>
    <row r="381" spans="3:11" x14ac:dyDescent="0.2">
      <c r="C381" s="201" t="s">
        <v>304</v>
      </c>
      <c r="D381" s="200">
        <v>44209</v>
      </c>
      <c r="E381" s="199" t="s">
        <v>2114</v>
      </c>
      <c r="I381" s="198">
        <v>6.3</v>
      </c>
      <c r="K381" s="198">
        <v>52356.78</v>
      </c>
    </row>
    <row r="382" spans="3:11" x14ac:dyDescent="0.2">
      <c r="C382" s="201" t="s">
        <v>289</v>
      </c>
      <c r="D382" s="200">
        <v>44209</v>
      </c>
      <c r="E382" s="199" t="s">
        <v>2113</v>
      </c>
      <c r="I382" s="198">
        <v>6.18</v>
      </c>
      <c r="K382" s="198">
        <v>52362.96</v>
      </c>
    </row>
    <row r="383" spans="3:11" x14ac:dyDescent="0.2">
      <c r="C383" s="201" t="s">
        <v>288</v>
      </c>
      <c r="D383" s="200">
        <v>44209</v>
      </c>
      <c r="E383" s="199" t="s">
        <v>2112</v>
      </c>
      <c r="I383" s="198">
        <v>3.09</v>
      </c>
      <c r="K383" s="198">
        <v>52366.05</v>
      </c>
    </row>
    <row r="384" spans="3:11" x14ac:dyDescent="0.2">
      <c r="C384" s="201" t="s">
        <v>2111</v>
      </c>
      <c r="D384" s="200">
        <v>44209</v>
      </c>
      <c r="E384" s="199" t="s">
        <v>2110</v>
      </c>
      <c r="I384" s="198">
        <v>5.33</v>
      </c>
      <c r="K384" s="198">
        <v>52371.38</v>
      </c>
    </row>
    <row r="385" spans="3:11" x14ac:dyDescent="0.2">
      <c r="C385" s="201" t="s">
        <v>2109</v>
      </c>
      <c r="D385" s="200">
        <v>44209</v>
      </c>
      <c r="E385" s="199" t="s">
        <v>2108</v>
      </c>
      <c r="I385" s="198">
        <v>3.25</v>
      </c>
      <c r="K385" s="198">
        <v>52374.63</v>
      </c>
    </row>
    <row r="386" spans="3:11" x14ac:dyDescent="0.2">
      <c r="C386" s="201" t="s">
        <v>2107</v>
      </c>
      <c r="D386" s="200">
        <v>44209</v>
      </c>
      <c r="E386" s="199" t="s">
        <v>2106</v>
      </c>
      <c r="I386" s="198">
        <v>3.81</v>
      </c>
      <c r="K386" s="198">
        <v>52378.44</v>
      </c>
    </row>
    <row r="387" spans="3:11" x14ac:dyDescent="0.2">
      <c r="C387" s="201" t="s">
        <v>287</v>
      </c>
      <c r="D387" s="200">
        <v>44209</v>
      </c>
      <c r="E387" s="199" t="s">
        <v>2105</v>
      </c>
      <c r="I387" s="198">
        <v>4.16</v>
      </c>
      <c r="K387" s="198">
        <v>52382.6</v>
      </c>
    </row>
    <row r="388" spans="3:11" x14ac:dyDescent="0.2">
      <c r="C388" s="201" t="s">
        <v>2104</v>
      </c>
      <c r="D388" s="200">
        <v>44209</v>
      </c>
      <c r="E388" s="199" t="s">
        <v>2103</v>
      </c>
      <c r="I388" s="198">
        <v>4.71</v>
      </c>
      <c r="K388" s="198">
        <v>52387.31</v>
      </c>
    </row>
    <row r="389" spans="3:11" x14ac:dyDescent="0.2">
      <c r="C389" s="201" t="s">
        <v>2102</v>
      </c>
      <c r="D389" s="200">
        <v>44209</v>
      </c>
      <c r="E389" s="199" t="s">
        <v>2101</v>
      </c>
      <c r="I389" s="198">
        <v>8.4</v>
      </c>
      <c r="K389" s="198">
        <v>52395.71</v>
      </c>
    </row>
    <row r="390" spans="3:11" x14ac:dyDescent="0.2">
      <c r="C390" s="201" t="s">
        <v>2100</v>
      </c>
      <c r="D390" s="200">
        <v>44209</v>
      </c>
      <c r="E390" s="199" t="s">
        <v>2099</v>
      </c>
      <c r="I390" s="198">
        <v>10.64</v>
      </c>
      <c r="K390" s="198">
        <v>52406.35</v>
      </c>
    </row>
    <row r="391" spans="3:11" x14ac:dyDescent="0.2">
      <c r="C391" s="201" t="s">
        <v>2098</v>
      </c>
      <c r="D391" s="200">
        <v>44209</v>
      </c>
      <c r="E391" s="199" t="s">
        <v>2097</v>
      </c>
      <c r="I391" s="198">
        <v>8.42</v>
      </c>
      <c r="K391" s="198">
        <v>52414.77</v>
      </c>
    </row>
    <row r="392" spans="3:11" x14ac:dyDescent="0.2">
      <c r="C392" s="201" t="s">
        <v>2096</v>
      </c>
      <c r="D392" s="200">
        <v>44209</v>
      </c>
      <c r="E392" s="199" t="s">
        <v>2095</v>
      </c>
      <c r="I392" s="198">
        <v>10.8</v>
      </c>
      <c r="K392" s="198">
        <v>52425.57</v>
      </c>
    </row>
    <row r="393" spans="3:11" x14ac:dyDescent="0.2">
      <c r="C393" s="201" t="s">
        <v>2094</v>
      </c>
      <c r="D393" s="200">
        <v>44209</v>
      </c>
      <c r="E393" s="199" t="s">
        <v>2093</v>
      </c>
      <c r="I393" s="198">
        <v>2.34</v>
      </c>
      <c r="K393" s="198">
        <v>52427.91</v>
      </c>
    </row>
    <row r="394" spans="3:11" x14ac:dyDescent="0.2">
      <c r="C394" s="201" t="s">
        <v>2092</v>
      </c>
      <c r="D394" s="200">
        <v>44209</v>
      </c>
      <c r="E394" s="199" t="s">
        <v>2091</v>
      </c>
      <c r="I394" s="198">
        <v>1.88</v>
      </c>
      <c r="K394" s="198">
        <v>52429.79</v>
      </c>
    </row>
    <row r="395" spans="3:11" x14ac:dyDescent="0.2">
      <c r="C395" s="201" t="s">
        <v>2090</v>
      </c>
      <c r="D395" s="200">
        <v>44209</v>
      </c>
      <c r="E395" s="199" t="s">
        <v>2089</v>
      </c>
      <c r="I395" s="198">
        <v>4.63</v>
      </c>
      <c r="K395" s="198">
        <v>52434.42</v>
      </c>
    </row>
    <row r="396" spans="3:11" x14ac:dyDescent="0.2">
      <c r="C396" s="201" t="s">
        <v>2088</v>
      </c>
      <c r="D396" s="200">
        <v>44209</v>
      </c>
      <c r="E396" s="199" t="s">
        <v>2087</v>
      </c>
      <c r="I396" s="198">
        <v>2.15</v>
      </c>
      <c r="K396" s="198">
        <v>52436.57</v>
      </c>
    </row>
    <row r="397" spans="3:11" x14ac:dyDescent="0.2">
      <c r="C397" s="201" t="s">
        <v>2086</v>
      </c>
      <c r="D397" s="200">
        <v>44209</v>
      </c>
      <c r="E397" s="199" t="s">
        <v>2085</v>
      </c>
      <c r="I397" s="198">
        <v>8.3800000000000008</v>
      </c>
      <c r="K397" s="198">
        <v>52444.95</v>
      </c>
    </row>
    <row r="398" spans="3:11" x14ac:dyDescent="0.2">
      <c r="C398" s="201" t="s">
        <v>2084</v>
      </c>
      <c r="D398" s="200">
        <v>44209</v>
      </c>
      <c r="E398" s="199" t="s">
        <v>2083</v>
      </c>
      <c r="I398" s="198">
        <v>1.68</v>
      </c>
      <c r="K398" s="198">
        <v>52446.63</v>
      </c>
    </row>
    <row r="399" spans="3:11" x14ac:dyDescent="0.2">
      <c r="C399" s="201" t="s">
        <v>2082</v>
      </c>
      <c r="D399" s="200">
        <v>44209</v>
      </c>
      <c r="E399" s="199" t="s">
        <v>2081</v>
      </c>
      <c r="I399" s="198">
        <v>6.94</v>
      </c>
      <c r="K399" s="198">
        <v>52453.57</v>
      </c>
    </row>
    <row r="400" spans="3:11" x14ac:dyDescent="0.2">
      <c r="C400" s="201" t="s">
        <v>2080</v>
      </c>
      <c r="D400" s="200">
        <v>44209</v>
      </c>
      <c r="E400" s="199" t="s">
        <v>2079</v>
      </c>
      <c r="I400" s="198">
        <v>1.77</v>
      </c>
      <c r="K400" s="198">
        <v>52455.34</v>
      </c>
    </row>
    <row r="401" spans="3:11" x14ac:dyDescent="0.2">
      <c r="C401" s="201" t="s">
        <v>2078</v>
      </c>
      <c r="D401" s="200">
        <v>44209</v>
      </c>
      <c r="E401" s="199" t="s">
        <v>2077</v>
      </c>
      <c r="I401" s="198">
        <v>17.899999999999999</v>
      </c>
      <c r="K401" s="198">
        <v>52473.24</v>
      </c>
    </row>
    <row r="402" spans="3:11" x14ac:dyDescent="0.2">
      <c r="C402" s="201" t="s">
        <v>2076</v>
      </c>
      <c r="D402" s="200">
        <v>44209</v>
      </c>
      <c r="E402" s="199" t="s">
        <v>2075</v>
      </c>
      <c r="I402" s="198">
        <v>1.74</v>
      </c>
      <c r="K402" s="198">
        <v>52474.98</v>
      </c>
    </row>
    <row r="403" spans="3:11" x14ac:dyDescent="0.2">
      <c r="C403" s="201" t="s">
        <v>2074</v>
      </c>
      <c r="D403" s="200">
        <v>44209</v>
      </c>
      <c r="E403" s="199" t="s">
        <v>2073</v>
      </c>
      <c r="I403" s="198">
        <v>3</v>
      </c>
      <c r="K403" s="198">
        <v>52477.98</v>
      </c>
    </row>
    <row r="404" spans="3:11" x14ac:dyDescent="0.2">
      <c r="C404" s="201" t="s">
        <v>214</v>
      </c>
      <c r="D404" s="200">
        <v>44209</v>
      </c>
      <c r="E404" s="199" t="s">
        <v>2072</v>
      </c>
      <c r="J404" s="222">
        <v>665.76</v>
      </c>
      <c r="K404" s="198">
        <v>51812.22</v>
      </c>
    </row>
    <row r="405" spans="3:11" x14ac:dyDescent="0.2">
      <c r="C405" s="201" t="s">
        <v>2071</v>
      </c>
      <c r="D405" s="200">
        <v>44210</v>
      </c>
      <c r="E405" s="199" t="s">
        <v>2070</v>
      </c>
      <c r="I405" s="198">
        <v>20</v>
      </c>
      <c r="K405" s="198">
        <v>51832.22</v>
      </c>
    </row>
    <row r="406" spans="3:11" x14ac:dyDescent="0.2">
      <c r="C406" s="201" t="s">
        <v>2069</v>
      </c>
      <c r="D406" s="200">
        <v>44210</v>
      </c>
      <c r="E406" s="199" t="s">
        <v>2068</v>
      </c>
      <c r="I406" s="198">
        <v>42.4</v>
      </c>
      <c r="K406" s="198">
        <v>51874.62</v>
      </c>
    </row>
    <row r="407" spans="3:11" x14ac:dyDescent="0.2">
      <c r="C407" s="201" t="s">
        <v>286</v>
      </c>
      <c r="D407" s="200">
        <v>44210</v>
      </c>
      <c r="E407" s="199" t="s">
        <v>2067</v>
      </c>
      <c r="I407" s="198">
        <v>2.1800000000000002</v>
      </c>
      <c r="K407" s="198">
        <v>51876.800000000003</v>
      </c>
    </row>
    <row r="408" spans="3:11" x14ac:dyDescent="0.2">
      <c r="C408" s="201" t="s">
        <v>285</v>
      </c>
      <c r="D408" s="200">
        <v>44210</v>
      </c>
      <c r="E408" s="199" t="s">
        <v>2066</v>
      </c>
      <c r="I408" s="198">
        <v>3.49</v>
      </c>
      <c r="K408" s="198">
        <v>51880.29</v>
      </c>
    </row>
    <row r="409" spans="3:11" x14ac:dyDescent="0.2">
      <c r="C409" s="201" t="s">
        <v>284</v>
      </c>
      <c r="D409" s="200">
        <v>44210</v>
      </c>
      <c r="E409" s="199" t="s">
        <v>2065</v>
      </c>
      <c r="I409" s="198">
        <v>5.26</v>
      </c>
      <c r="K409" s="198">
        <v>51885.55</v>
      </c>
    </row>
    <row r="410" spans="3:11" x14ac:dyDescent="0.2">
      <c r="C410" s="201" t="s">
        <v>283</v>
      </c>
      <c r="D410" s="200">
        <v>44210</v>
      </c>
      <c r="E410" s="199" t="s">
        <v>2064</v>
      </c>
      <c r="I410" s="198">
        <v>8.3800000000000008</v>
      </c>
      <c r="K410" s="198">
        <v>51893.93</v>
      </c>
    </row>
    <row r="411" spans="3:11" x14ac:dyDescent="0.2">
      <c r="C411" s="201" t="s">
        <v>282</v>
      </c>
      <c r="D411" s="200">
        <v>44210</v>
      </c>
      <c r="E411" s="199" t="s">
        <v>2063</v>
      </c>
      <c r="I411" s="198">
        <v>4.1900000000000004</v>
      </c>
      <c r="K411" s="198">
        <v>51898.12</v>
      </c>
    </row>
    <row r="412" spans="3:11" x14ac:dyDescent="0.2">
      <c r="C412" s="201" t="s">
        <v>281</v>
      </c>
      <c r="D412" s="200">
        <v>44210</v>
      </c>
      <c r="E412" s="199" t="s">
        <v>2062</v>
      </c>
      <c r="I412" s="198">
        <v>15.13</v>
      </c>
      <c r="K412" s="198">
        <v>51913.25</v>
      </c>
    </row>
    <row r="413" spans="3:11" x14ac:dyDescent="0.2">
      <c r="C413" s="201" t="s">
        <v>280</v>
      </c>
      <c r="D413" s="200">
        <v>44210</v>
      </c>
      <c r="E413" s="199" t="s">
        <v>2061</v>
      </c>
      <c r="I413" s="198">
        <v>0.87</v>
      </c>
      <c r="K413" s="198">
        <v>51914.12</v>
      </c>
    </row>
    <row r="414" spans="3:11" x14ac:dyDescent="0.2">
      <c r="C414" s="201" t="s">
        <v>279</v>
      </c>
      <c r="D414" s="200">
        <v>44210</v>
      </c>
      <c r="E414" s="199" t="s">
        <v>2060</v>
      </c>
      <c r="I414" s="198">
        <v>6.12</v>
      </c>
      <c r="K414" s="198">
        <v>51920.24</v>
      </c>
    </row>
    <row r="415" spans="3:11" x14ac:dyDescent="0.2">
      <c r="C415" s="201" t="s">
        <v>278</v>
      </c>
      <c r="D415" s="200">
        <v>44210</v>
      </c>
      <c r="E415" s="199" t="s">
        <v>2059</v>
      </c>
      <c r="I415" s="198">
        <v>8.42</v>
      </c>
      <c r="K415" s="198">
        <v>51928.66</v>
      </c>
    </row>
    <row r="416" spans="3:11" x14ac:dyDescent="0.2">
      <c r="C416" s="201" t="s">
        <v>277</v>
      </c>
      <c r="D416" s="200">
        <v>44210</v>
      </c>
      <c r="E416" s="199" t="s">
        <v>2058</v>
      </c>
      <c r="I416" s="198">
        <v>21.74</v>
      </c>
      <c r="K416" s="198">
        <v>51950.400000000001</v>
      </c>
    </row>
    <row r="417" spans="3:11" x14ac:dyDescent="0.2">
      <c r="C417" s="201" t="s">
        <v>276</v>
      </c>
      <c r="D417" s="200">
        <v>44210</v>
      </c>
      <c r="E417" s="199" t="s">
        <v>2057</v>
      </c>
      <c r="I417" s="198">
        <v>15.18</v>
      </c>
      <c r="K417" s="198">
        <v>51965.58</v>
      </c>
    </row>
    <row r="418" spans="3:11" x14ac:dyDescent="0.2">
      <c r="C418" s="201" t="s">
        <v>275</v>
      </c>
      <c r="D418" s="200">
        <v>44210</v>
      </c>
      <c r="E418" s="199" t="s">
        <v>2056</v>
      </c>
      <c r="I418" s="198">
        <v>6.29</v>
      </c>
      <c r="K418" s="198">
        <v>51971.87</v>
      </c>
    </row>
    <row r="419" spans="3:11" x14ac:dyDescent="0.2">
      <c r="C419" s="201" t="s">
        <v>274</v>
      </c>
      <c r="D419" s="200">
        <v>44210</v>
      </c>
      <c r="E419" s="199" t="s">
        <v>2055</v>
      </c>
      <c r="I419" s="198">
        <v>20.85</v>
      </c>
      <c r="K419" s="198">
        <v>51992.72</v>
      </c>
    </row>
    <row r="420" spans="3:11" x14ac:dyDescent="0.2">
      <c r="C420" s="201" t="s">
        <v>273</v>
      </c>
      <c r="D420" s="200">
        <v>44210</v>
      </c>
      <c r="E420" s="199" t="s">
        <v>2054</v>
      </c>
      <c r="I420" s="198">
        <v>2.02</v>
      </c>
      <c r="K420" s="198">
        <v>51994.74</v>
      </c>
    </row>
    <row r="421" spans="3:11" x14ac:dyDescent="0.2">
      <c r="C421" s="201" t="s">
        <v>272</v>
      </c>
      <c r="D421" s="200">
        <v>44210</v>
      </c>
      <c r="E421" s="199" t="s">
        <v>2053</v>
      </c>
      <c r="I421" s="198">
        <v>36.119999999999997</v>
      </c>
      <c r="K421" s="198">
        <v>52030.86</v>
      </c>
    </row>
    <row r="422" spans="3:11" x14ac:dyDescent="0.2">
      <c r="C422" s="201" t="s">
        <v>271</v>
      </c>
      <c r="D422" s="200">
        <v>44210</v>
      </c>
      <c r="E422" s="199" t="s">
        <v>2052</v>
      </c>
      <c r="I422" s="198">
        <v>17.45</v>
      </c>
      <c r="K422" s="198">
        <v>52048.31</v>
      </c>
    </row>
    <row r="423" spans="3:11" x14ac:dyDescent="0.2">
      <c r="C423" s="201" t="s">
        <v>270</v>
      </c>
      <c r="D423" s="200">
        <v>44210</v>
      </c>
      <c r="E423" s="199" t="s">
        <v>2051</v>
      </c>
      <c r="I423" s="198">
        <v>9.1300000000000008</v>
      </c>
      <c r="K423" s="198">
        <v>52057.440000000002</v>
      </c>
    </row>
    <row r="424" spans="3:11" x14ac:dyDescent="0.2">
      <c r="C424" s="201" t="s">
        <v>269</v>
      </c>
      <c r="D424" s="200">
        <v>44210</v>
      </c>
      <c r="E424" s="199" t="s">
        <v>2050</v>
      </c>
      <c r="I424" s="198">
        <v>1.69</v>
      </c>
      <c r="K424" s="198">
        <v>52059.13</v>
      </c>
    </row>
    <row r="425" spans="3:11" x14ac:dyDescent="0.2">
      <c r="C425" s="201" t="s">
        <v>268</v>
      </c>
      <c r="D425" s="200">
        <v>44210</v>
      </c>
      <c r="E425" s="199" t="s">
        <v>2049</v>
      </c>
      <c r="I425" s="198">
        <v>8.3800000000000008</v>
      </c>
      <c r="K425" s="198">
        <v>52067.51</v>
      </c>
    </row>
    <row r="426" spans="3:11" x14ac:dyDescent="0.2">
      <c r="C426" s="201" t="s">
        <v>267</v>
      </c>
      <c r="D426" s="200">
        <v>44210</v>
      </c>
      <c r="E426" s="199" t="s">
        <v>2048</v>
      </c>
      <c r="I426" s="198">
        <v>6.56</v>
      </c>
      <c r="K426" s="198">
        <v>52074.07</v>
      </c>
    </row>
    <row r="427" spans="3:11" x14ac:dyDescent="0.2">
      <c r="C427" s="201" t="s">
        <v>266</v>
      </c>
      <c r="D427" s="200">
        <v>44210</v>
      </c>
      <c r="E427" s="199" t="s">
        <v>2047</v>
      </c>
      <c r="I427" s="198">
        <v>5.95</v>
      </c>
      <c r="K427" s="198">
        <v>52080.02</v>
      </c>
    </row>
    <row r="428" spans="3:11" x14ac:dyDescent="0.2">
      <c r="C428" s="201" t="s">
        <v>265</v>
      </c>
      <c r="D428" s="200">
        <v>44210</v>
      </c>
      <c r="E428" s="199" t="s">
        <v>2046</v>
      </c>
      <c r="I428" s="198">
        <v>0.2</v>
      </c>
      <c r="K428" s="198">
        <v>52080.22</v>
      </c>
    </row>
    <row r="429" spans="3:11" x14ac:dyDescent="0.2">
      <c r="C429" s="201" t="s">
        <v>168</v>
      </c>
      <c r="D429" s="200">
        <v>44210</v>
      </c>
      <c r="E429" s="199" t="s">
        <v>2045</v>
      </c>
      <c r="I429" s="198">
        <v>13.15</v>
      </c>
      <c r="K429" s="198">
        <v>52093.37</v>
      </c>
    </row>
    <row r="430" spans="3:11" x14ac:dyDescent="0.2">
      <c r="C430" s="201" t="s">
        <v>213</v>
      </c>
      <c r="D430" s="200">
        <v>44210</v>
      </c>
      <c r="E430" s="199" t="s">
        <v>2044</v>
      </c>
      <c r="J430" s="222">
        <v>311.05</v>
      </c>
      <c r="K430" s="198">
        <v>51782.32</v>
      </c>
    </row>
    <row r="431" spans="3:11" x14ac:dyDescent="0.2">
      <c r="C431" s="201" t="s">
        <v>1531</v>
      </c>
      <c r="D431" s="200">
        <v>44210</v>
      </c>
      <c r="E431" s="199" t="s">
        <v>2043</v>
      </c>
      <c r="J431" s="222">
        <v>594.77</v>
      </c>
      <c r="K431" s="198">
        <v>51187.55</v>
      </c>
    </row>
    <row r="432" spans="3:11" x14ac:dyDescent="0.2">
      <c r="C432" s="201" t="s">
        <v>1549</v>
      </c>
      <c r="D432" s="200">
        <v>44210</v>
      </c>
      <c r="E432" s="199" t="s">
        <v>2042</v>
      </c>
      <c r="J432" s="222">
        <v>9.8699999999999992</v>
      </c>
      <c r="K432" s="198">
        <v>51177.68</v>
      </c>
    </row>
    <row r="433" spans="3:11" x14ac:dyDescent="0.2">
      <c r="C433" s="201" t="s">
        <v>1551</v>
      </c>
      <c r="D433" s="200">
        <v>44210</v>
      </c>
      <c r="E433" s="199" t="s">
        <v>2041</v>
      </c>
      <c r="J433" s="222">
        <v>15.9</v>
      </c>
      <c r="K433" s="198">
        <v>51161.78</v>
      </c>
    </row>
    <row r="434" spans="3:11" x14ac:dyDescent="0.2">
      <c r="C434" s="201" t="s">
        <v>1559</v>
      </c>
      <c r="D434" s="200">
        <v>44210</v>
      </c>
      <c r="E434" s="199" t="s">
        <v>2040</v>
      </c>
      <c r="J434" s="222">
        <v>11.01</v>
      </c>
      <c r="K434" s="198">
        <v>51150.77</v>
      </c>
    </row>
    <row r="435" spans="3:11" x14ac:dyDescent="0.2">
      <c r="C435" s="201" t="s">
        <v>1543</v>
      </c>
      <c r="D435" s="200">
        <v>44210</v>
      </c>
      <c r="E435" s="199" t="s">
        <v>2039</v>
      </c>
      <c r="J435" s="222">
        <v>12.13</v>
      </c>
      <c r="K435" s="198">
        <v>51138.64</v>
      </c>
    </row>
    <row r="436" spans="3:11" x14ac:dyDescent="0.2">
      <c r="C436" s="201" t="s">
        <v>1545</v>
      </c>
      <c r="D436" s="200">
        <v>44210</v>
      </c>
      <c r="E436" s="199" t="s">
        <v>2038</v>
      </c>
      <c r="J436" s="222">
        <v>20.09</v>
      </c>
      <c r="K436" s="198">
        <v>51118.55</v>
      </c>
    </row>
    <row r="437" spans="3:11" x14ac:dyDescent="0.2">
      <c r="C437" s="201" t="s">
        <v>1548</v>
      </c>
      <c r="D437" s="200">
        <v>44210</v>
      </c>
      <c r="E437" s="199" t="s">
        <v>2037</v>
      </c>
      <c r="J437" s="222">
        <v>7.49</v>
      </c>
      <c r="K437" s="198">
        <v>51111.06</v>
      </c>
    </row>
    <row r="438" spans="3:11" x14ac:dyDescent="0.2">
      <c r="C438" s="201" t="s">
        <v>11</v>
      </c>
      <c r="D438" s="200">
        <v>44210</v>
      </c>
      <c r="E438" s="199" t="s">
        <v>2036</v>
      </c>
      <c r="J438" s="222">
        <v>116.99</v>
      </c>
      <c r="K438" s="198">
        <v>50994.07</v>
      </c>
    </row>
    <row r="439" spans="3:11" x14ac:dyDescent="0.2">
      <c r="C439" s="201" t="s">
        <v>1550</v>
      </c>
      <c r="D439" s="200">
        <v>44210</v>
      </c>
      <c r="E439" s="199" t="s">
        <v>2035</v>
      </c>
      <c r="J439" s="222">
        <v>21.9</v>
      </c>
      <c r="K439" s="198">
        <v>50972.17</v>
      </c>
    </row>
    <row r="440" spans="3:11" x14ac:dyDescent="0.2">
      <c r="C440" s="201" t="s">
        <v>1554</v>
      </c>
      <c r="D440" s="200">
        <v>44210</v>
      </c>
      <c r="E440" s="199" t="s">
        <v>2034</v>
      </c>
      <c r="J440" s="222">
        <v>1634.38</v>
      </c>
      <c r="K440" s="198">
        <v>49337.79</v>
      </c>
    </row>
    <row r="441" spans="3:11" x14ac:dyDescent="0.2">
      <c r="C441" s="201" t="s">
        <v>2033</v>
      </c>
      <c r="D441" s="200">
        <v>44211</v>
      </c>
      <c r="E441" s="199" t="s">
        <v>2032</v>
      </c>
      <c r="I441" s="198">
        <v>3.38</v>
      </c>
      <c r="K441" s="198">
        <v>49341.17</v>
      </c>
    </row>
    <row r="442" spans="3:11" x14ac:dyDescent="0.2">
      <c r="C442" s="201" t="s">
        <v>264</v>
      </c>
      <c r="D442" s="200">
        <v>44211</v>
      </c>
      <c r="E442" s="199" t="s">
        <v>2031</v>
      </c>
      <c r="I442" s="198">
        <v>76.77</v>
      </c>
      <c r="K442" s="198">
        <v>49417.94</v>
      </c>
    </row>
    <row r="443" spans="3:11" x14ac:dyDescent="0.2">
      <c r="C443" s="201" t="s">
        <v>263</v>
      </c>
      <c r="D443" s="200">
        <v>44211</v>
      </c>
      <c r="E443" s="199" t="s">
        <v>2030</v>
      </c>
      <c r="I443" s="198">
        <v>72.989999999999995</v>
      </c>
      <c r="K443" s="198">
        <v>49490.93</v>
      </c>
    </row>
    <row r="444" spans="3:11" x14ac:dyDescent="0.2">
      <c r="C444" s="201" t="s">
        <v>262</v>
      </c>
      <c r="D444" s="200">
        <v>44211</v>
      </c>
      <c r="E444" s="199" t="s">
        <v>2029</v>
      </c>
      <c r="I444" s="198">
        <v>153.12</v>
      </c>
      <c r="K444" s="198">
        <v>49644.05</v>
      </c>
    </row>
    <row r="445" spans="3:11" x14ac:dyDescent="0.2">
      <c r="C445" s="201" t="s">
        <v>261</v>
      </c>
      <c r="D445" s="200">
        <v>44211</v>
      </c>
      <c r="E445" s="199" t="s">
        <v>2028</v>
      </c>
      <c r="I445" s="198">
        <v>4.0999999999999996</v>
      </c>
      <c r="K445" s="198">
        <v>49648.15</v>
      </c>
    </row>
    <row r="446" spans="3:11" x14ac:dyDescent="0.2">
      <c r="C446" s="201" t="s">
        <v>260</v>
      </c>
      <c r="D446" s="200">
        <v>44211</v>
      </c>
      <c r="E446" s="199" t="s">
        <v>2027</v>
      </c>
      <c r="I446" s="198">
        <v>1</v>
      </c>
      <c r="K446" s="198">
        <v>49649.15</v>
      </c>
    </row>
    <row r="447" spans="3:11" x14ac:dyDescent="0.2">
      <c r="C447" s="201" t="s">
        <v>2026</v>
      </c>
      <c r="D447" s="200">
        <v>44211</v>
      </c>
      <c r="E447" s="199" t="s">
        <v>2025</v>
      </c>
      <c r="I447" s="198">
        <v>3.36</v>
      </c>
      <c r="K447" s="198">
        <v>49652.51</v>
      </c>
    </row>
    <row r="448" spans="3:11" x14ac:dyDescent="0.2">
      <c r="C448" s="201" t="s">
        <v>259</v>
      </c>
      <c r="D448" s="200">
        <v>44211</v>
      </c>
      <c r="E448" s="199" t="s">
        <v>2024</v>
      </c>
      <c r="I448" s="198">
        <v>3.7</v>
      </c>
      <c r="K448" s="198">
        <v>49656.21</v>
      </c>
    </row>
    <row r="449" spans="3:11" x14ac:dyDescent="0.2">
      <c r="C449" s="201" t="s">
        <v>258</v>
      </c>
      <c r="D449" s="200">
        <v>44211</v>
      </c>
      <c r="E449" s="199" t="s">
        <v>2023</v>
      </c>
      <c r="I449" s="198">
        <v>8.3800000000000008</v>
      </c>
      <c r="K449" s="198">
        <v>49664.59</v>
      </c>
    </row>
    <row r="450" spans="3:11" x14ac:dyDescent="0.2">
      <c r="C450" s="201" t="s">
        <v>257</v>
      </c>
      <c r="D450" s="200">
        <v>44211</v>
      </c>
      <c r="E450" s="199" t="s">
        <v>2022</v>
      </c>
      <c r="I450" s="198">
        <v>7.46</v>
      </c>
      <c r="K450" s="198">
        <v>49672.05</v>
      </c>
    </row>
    <row r="451" spans="3:11" x14ac:dyDescent="0.2">
      <c r="C451" s="201" t="s">
        <v>256</v>
      </c>
      <c r="D451" s="200">
        <v>44211</v>
      </c>
      <c r="E451" s="199" t="s">
        <v>2021</v>
      </c>
      <c r="I451" s="198">
        <v>15.3</v>
      </c>
      <c r="K451" s="198">
        <v>49687.35</v>
      </c>
    </row>
    <row r="452" spans="3:11" x14ac:dyDescent="0.2">
      <c r="C452" s="201" t="s">
        <v>255</v>
      </c>
      <c r="D452" s="200">
        <v>44211</v>
      </c>
      <c r="E452" s="199" t="s">
        <v>2020</v>
      </c>
      <c r="I452" s="198">
        <v>1.68</v>
      </c>
      <c r="K452" s="198">
        <v>49689.03</v>
      </c>
    </row>
    <row r="453" spans="3:11" x14ac:dyDescent="0.2">
      <c r="C453" s="201" t="s">
        <v>254</v>
      </c>
      <c r="D453" s="200">
        <v>44211</v>
      </c>
      <c r="E453" s="199" t="s">
        <v>2019</v>
      </c>
      <c r="I453" s="198">
        <v>8.81</v>
      </c>
      <c r="K453" s="198">
        <v>49697.84</v>
      </c>
    </row>
    <row r="454" spans="3:11" x14ac:dyDescent="0.2">
      <c r="C454" s="201" t="s">
        <v>2018</v>
      </c>
      <c r="D454" s="200">
        <v>44211</v>
      </c>
      <c r="E454" s="199" t="s">
        <v>2017</v>
      </c>
      <c r="I454" s="198">
        <v>5.04</v>
      </c>
      <c r="K454" s="198">
        <v>49702.879999999997</v>
      </c>
    </row>
    <row r="455" spans="3:11" x14ac:dyDescent="0.2">
      <c r="C455" s="201" t="s">
        <v>2016</v>
      </c>
      <c r="D455" s="200">
        <v>44211</v>
      </c>
      <c r="E455" s="199" t="s">
        <v>2015</v>
      </c>
      <c r="I455" s="198">
        <v>3.12</v>
      </c>
      <c r="K455" s="198">
        <v>49706</v>
      </c>
    </row>
    <row r="456" spans="3:11" x14ac:dyDescent="0.2">
      <c r="C456" s="201" t="s">
        <v>2014</v>
      </c>
      <c r="D456" s="200">
        <v>44211</v>
      </c>
      <c r="E456" s="199" t="s">
        <v>2013</v>
      </c>
      <c r="I456" s="198">
        <v>2.2200000000000002</v>
      </c>
      <c r="K456" s="198">
        <v>49708.22</v>
      </c>
    </row>
    <row r="457" spans="3:11" x14ac:dyDescent="0.2">
      <c r="C457" s="201" t="s">
        <v>2012</v>
      </c>
      <c r="D457" s="200">
        <v>44211</v>
      </c>
      <c r="E457" s="199" t="s">
        <v>2011</v>
      </c>
      <c r="I457" s="198">
        <v>8.3800000000000008</v>
      </c>
      <c r="K457" s="198">
        <v>49716.6</v>
      </c>
    </row>
    <row r="458" spans="3:11" x14ac:dyDescent="0.2">
      <c r="C458" s="201" t="s">
        <v>232</v>
      </c>
      <c r="D458" s="200">
        <v>44211</v>
      </c>
      <c r="E458" s="199" t="s">
        <v>2010</v>
      </c>
      <c r="I458" s="198">
        <v>7.64</v>
      </c>
      <c r="K458" s="198">
        <v>49724.24</v>
      </c>
    </row>
    <row r="459" spans="3:11" x14ac:dyDescent="0.2">
      <c r="C459" s="201" t="s">
        <v>231</v>
      </c>
      <c r="D459" s="200">
        <v>44211</v>
      </c>
      <c r="E459" s="199" t="s">
        <v>2009</v>
      </c>
      <c r="I459" s="198">
        <v>1.83</v>
      </c>
      <c r="K459" s="198">
        <v>49726.07</v>
      </c>
    </row>
    <row r="460" spans="3:11" x14ac:dyDescent="0.2">
      <c r="C460" s="201" t="s">
        <v>230</v>
      </c>
      <c r="D460" s="200">
        <v>44211</v>
      </c>
      <c r="E460" s="199" t="s">
        <v>2008</v>
      </c>
      <c r="I460" s="198">
        <v>2.56</v>
      </c>
      <c r="K460" s="198">
        <v>49728.63</v>
      </c>
    </row>
    <row r="461" spans="3:11" x14ac:dyDescent="0.2">
      <c r="C461" s="201" t="s">
        <v>2007</v>
      </c>
      <c r="D461" s="200">
        <v>44211</v>
      </c>
      <c r="E461" s="199" t="s">
        <v>2006</v>
      </c>
      <c r="I461" s="198">
        <v>2.84</v>
      </c>
      <c r="K461" s="198">
        <v>49731.47</v>
      </c>
    </row>
    <row r="462" spans="3:11" x14ac:dyDescent="0.2">
      <c r="C462" s="201" t="s">
        <v>2005</v>
      </c>
      <c r="D462" s="200">
        <v>44211</v>
      </c>
      <c r="E462" s="199" t="s">
        <v>2004</v>
      </c>
      <c r="I462" s="198">
        <v>6.74</v>
      </c>
      <c r="K462" s="198">
        <v>49738.21</v>
      </c>
    </row>
    <row r="463" spans="3:11" x14ac:dyDescent="0.2">
      <c r="C463" s="201" t="s">
        <v>2003</v>
      </c>
      <c r="D463" s="200">
        <v>44211</v>
      </c>
      <c r="E463" s="199" t="s">
        <v>2002</v>
      </c>
      <c r="I463" s="198">
        <v>9</v>
      </c>
      <c r="K463" s="198">
        <v>49747.21</v>
      </c>
    </row>
    <row r="464" spans="3:11" x14ac:dyDescent="0.2">
      <c r="C464" s="201" t="s">
        <v>2001</v>
      </c>
      <c r="D464" s="200">
        <v>44211</v>
      </c>
      <c r="E464" s="199" t="s">
        <v>2000</v>
      </c>
      <c r="I464" s="198">
        <v>1.95</v>
      </c>
      <c r="K464" s="198">
        <v>49749.16</v>
      </c>
    </row>
    <row r="465" spans="3:11" x14ac:dyDescent="0.2">
      <c r="C465" s="201" t="s">
        <v>1999</v>
      </c>
      <c r="D465" s="200">
        <v>44211</v>
      </c>
      <c r="E465" s="199" t="s">
        <v>1998</v>
      </c>
      <c r="I465" s="198">
        <v>3.98</v>
      </c>
      <c r="K465" s="198">
        <v>49753.14</v>
      </c>
    </row>
    <row r="466" spans="3:11" x14ac:dyDescent="0.2">
      <c r="C466" s="201" t="s">
        <v>1997</v>
      </c>
      <c r="D466" s="200">
        <v>44211</v>
      </c>
      <c r="E466" s="199" t="s">
        <v>1996</v>
      </c>
      <c r="I466" s="198">
        <v>6.32</v>
      </c>
      <c r="K466" s="198">
        <v>49759.46</v>
      </c>
    </row>
    <row r="467" spans="3:11" x14ac:dyDescent="0.2">
      <c r="C467" s="201" t="s">
        <v>253</v>
      </c>
      <c r="D467" s="200">
        <v>44211</v>
      </c>
      <c r="E467" s="199" t="s">
        <v>1995</v>
      </c>
      <c r="I467" s="198">
        <v>7.01</v>
      </c>
      <c r="K467" s="198">
        <v>49766.47</v>
      </c>
    </row>
    <row r="468" spans="3:11" x14ac:dyDescent="0.2">
      <c r="C468" s="201" t="s">
        <v>252</v>
      </c>
      <c r="D468" s="200">
        <v>44211</v>
      </c>
      <c r="E468" s="199" t="s">
        <v>1994</v>
      </c>
      <c r="I468" s="198">
        <v>1.71</v>
      </c>
      <c r="K468" s="198">
        <v>49768.18</v>
      </c>
    </row>
    <row r="469" spans="3:11" x14ac:dyDescent="0.2">
      <c r="C469" s="201" t="s">
        <v>229</v>
      </c>
      <c r="D469" s="200">
        <v>44211</v>
      </c>
      <c r="E469" s="199" t="s">
        <v>1993</v>
      </c>
      <c r="I469" s="198">
        <v>67.2</v>
      </c>
      <c r="K469" s="198">
        <v>49835.38</v>
      </c>
    </row>
    <row r="470" spans="3:11" x14ac:dyDescent="0.2">
      <c r="C470" s="201" t="s">
        <v>1992</v>
      </c>
      <c r="D470" s="200">
        <v>44211</v>
      </c>
      <c r="E470" s="199" t="s">
        <v>1991</v>
      </c>
      <c r="I470" s="198">
        <v>12.3</v>
      </c>
      <c r="K470" s="198">
        <v>49847.68</v>
      </c>
    </row>
    <row r="471" spans="3:11" x14ac:dyDescent="0.2">
      <c r="C471" s="201" t="s">
        <v>300</v>
      </c>
      <c r="D471" s="200">
        <v>44211</v>
      </c>
      <c r="E471" s="199" t="s">
        <v>1990</v>
      </c>
      <c r="J471" s="222">
        <v>82.15</v>
      </c>
      <c r="K471" s="198">
        <v>49765.53</v>
      </c>
    </row>
    <row r="472" spans="3:11" x14ac:dyDescent="0.2">
      <c r="C472" s="201" t="s">
        <v>1989</v>
      </c>
      <c r="D472" s="200">
        <v>44212</v>
      </c>
      <c r="E472" s="199" t="s">
        <v>1988</v>
      </c>
      <c r="I472" s="198">
        <v>6.18</v>
      </c>
      <c r="K472" s="198">
        <v>49771.71</v>
      </c>
    </row>
    <row r="473" spans="3:11" x14ac:dyDescent="0.2">
      <c r="C473" s="201" t="s">
        <v>251</v>
      </c>
      <c r="D473" s="200">
        <v>44212</v>
      </c>
      <c r="E473" s="199" t="s">
        <v>1987</v>
      </c>
      <c r="I473" s="198">
        <v>1.75</v>
      </c>
      <c r="K473" s="198">
        <v>49773.46</v>
      </c>
    </row>
    <row r="474" spans="3:11" x14ac:dyDescent="0.2">
      <c r="C474" s="201" t="s">
        <v>250</v>
      </c>
      <c r="D474" s="200">
        <v>44212</v>
      </c>
      <c r="E474" s="199" t="s">
        <v>1986</v>
      </c>
      <c r="I474" s="198">
        <v>60.31</v>
      </c>
      <c r="K474" s="198">
        <v>49833.77</v>
      </c>
    </row>
    <row r="475" spans="3:11" x14ac:dyDescent="0.2">
      <c r="C475" s="201" t="s">
        <v>249</v>
      </c>
      <c r="D475" s="200">
        <v>44212</v>
      </c>
      <c r="E475" s="199" t="s">
        <v>1985</v>
      </c>
      <c r="I475" s="198">
        <v>1.68</v>
      </c>
      <c r="K475" s="198">
        <v>49835.45</v>
      </c>
    </row>
    <row r="476" spans="3:11" x14ac:dyDescent="0.2">
      <c r="C476" s="201" t="s">
        <v>248</v>
      </c>
      <c r="D476" s="200">
        <v>44212</v>
      </c>
      <c r="E476" s="199" t="s">
        <v>1984</v>
      </c>
      <c r="I476" s="198">
        <v>6.38</v>
      </c>
      <c r="K476" s="198">
        <v>49841.83</v>
      </c>
    </row>
    <row r="477" spans="3:11" x14ac:dyDescent="0.2">
      <c r="C477" s="201" t="s">
        <v>247</v>
      </c>
      <c r="D477" s="200">
        <v>44212</v>
      </c>
      <c r="E477" s="199" t="s">
        <v>1983</v>
      </c>
      <c r="I477" s="198">
        <v>26.39</v>
      </c>
      <c r="K477" s="198">
        <v>49868.22</v>
      </c>
    </row>
    <row r="478" spans="3:11" x14ac:dyDescent="0.2">
      <c r="C478" s="201" t="s">
        <v>246</v>
      </c>
      <c r="D478" s="200">
        <v>44212</v>
      </c>
      <c r="E478" s="199" t="s">
        <v>1982</v>
      </c>
      <c r="I478" s="198">
        <v>2.2200000000000002</v>
      </c>
      <c r="K478" s="198">
        <v>49870.44</v>
      </c>
    </row>
    <row r="479" spans="3:11" x14ac:dyDescent="0.2">
      <c r="C479" s="201" t="s">
        <v>245</v>
      </c>
      <c r="D479" s="200">
        <v>44212</v>
      </c>
      <c r="E479" s="199" t="s">
        <v>1981</v>
      </c>
      <c r="I479" s="198">
        <v>11.09</v>
      </c>
      <c r="K479" s="198">
        <v>49881.53</v>
      </c>
    </row>
    <row r="480" spans="3:11" x14ac:dyDescent="0.2">
      <c r="C480" s="201" t="s">
        <v>244</v>
      </c>
      <c r="D480" s="200">
        <v>44212</v>
      </c>
      <c r="E480" s="199" t="s">
        <v>1980</v>
      </c>
      <c r="I480" s="198">
        <v>2.2400000000000002</v>
      </c>
      <c r="K480" s="198">
        <v>49883.77</v>
      </c>
    </row>
    <row r="481" spans="3:11" x14ac:dyDescent="0.2">
      <c r="C481" s="201" t="s">
        <v>243</v>
      </c>
      <c r="D481" s="200">
        <v>44212</v>
      </c>
      <c r="E481" s="199" t="s">
        <v>1979</v>
      </c>
      <c r="I481" s="198">
        <v>8.3800000000000008</v>
      </c>
      <c r="K481" s="198">
        <v>49892.15</v>
      </c>
    </row>
    <row r="482" spans="3:11" x14ac:dyDescent="0.2">
      <c r="C482" s="201" t="s">
        <v>242</v>
      </c>
      <c r="D482" s="200">
        <v>44212</v>
      </c>
      <c r="E482" s="199" t="s">
        <v>1978</v>
      </c>
      <c r="I482" s="198">
        <v>8.3800000000000008</v>
      </c>
      <c r="K482" s="198">
        <v>49900.53</v>
      </c>
    </row>
    <row r="483" spans="3:11" x14ac:dyDescent="0.2">
      <c r="C483" s="201" t="s">
        <v>241</v>
      </c>
      <c r="D483" s="200">
        <v>44212</v>
      </c>
      <c r="E483" s="199" t="s">
        <v>1977</v>
      </c>
      <c r="I483" s="198">
        <v>4.8</v>
      </c>
      <c r="K483" s="198">
        <v>49905.33</v>
      </c>
    </row>
    <row r="484" spans="3:11" x14ac:dyDescent="0.2">
      <c r="C484" s="201" t="s">
        <v>240</v>
      </c>
      <c r="D484" s="200">
        <v>44212</v>
      </c>
      <c r="E484" s="199" t="s">
        <v>1976</v>
      </c>
      <c r="I484" s="198">
        <v>5.78</v>
      </c>
      <c r="K484" s="198">
        <v>49911.11</v>
      </c>
    </row>
    <row r="485" spans="3:11" x14ac:dyDescent="0.2">
      <c r="C485" s="201" t="s">
        <v>239</v>
      </c>
      <c r="D485" s="200">
        <v>44212</v>
      </c>
      <c r="E485" s="199" t="s">
        <v>1975</v>
      </c>
      <c r="I485" s="198">
        <v>1.76</v>
      </c>
      <c r="K485" s="198">
        <v>49912.87</v>
      </c>
    </row>
    <row r="486" spans="3:11" x14ac:dyDescent="0.2">
      <c r="C486" s="201" t="s">
        <v>238</v>
      </c>
      <c r="D486" s="200">
        <v>44212</v>
      </c>
      <c r="E486" s="199" t="s">
        <v>1974</v>
      </c>
      <c r="I486" s="198">
        <v>3.28</v>
      </c>
      <c r="K486" s="198">
        <v>49916.15</v>
      </c>
    </row>
    <row r="487" spans="3:11" x14ac:dyDescent="0.2">
      <c r="C487" s="201" t="s">
        <v>1533</v>
      </c>
      <c r="D487" s="200">
        <v>44212</v>
      </c>
      <c r="E487" s="199" t="s">
        <v>1973</v>
      </c>
      <c r="J487" s="222">
        <v>1174.8800000000001</v>
      </c>
      <c r="K487" s="198">
        <v>48741.27</v>
      </c>
    </row>
    <row r="488" spans="3:11" x14ac:dyDescent="0.2">
      <c r="C488" s="201" t="s">
        <v>237</v>
      </c>
      <c r="D488" s="200">
        <v>44213</v>
      </c>
      <c r="E488" s="199" t="s">
        <v>1972</v>
      </c>
      <c r="I488" s="198">
        <v>7.65</v>
      </c>
      <c r="K488" s="198">
        <v>48748.92</v>
      </c>
    </row>
    <row r="489" spans="3:11" x14ac:dyDescent="0.2">
      <c r="C489" s="201" t="s">
        <v>236</v>
      </c>
      <c r="D489" s="200">
        <v>44213</v>
      </c>
      <c r="E489" s="199" t="s">
        <v>1971</v>
      </c>
      <c r="I489" s="198">
        <v>11.25</v>
      </c>
      <c r="K489" s="198">
        <v>48760.17</v>
      </c>
    </row>
    <row r="490" spans="3:11" x14ac:dyDescent="0.2">
      <c r="C490" s="201" t="s">
        <v>235</v>
      </c>
      <c r="D490" s="200">
        <v>44213</v>
      </c>
      <c r="E490" s="199" t="s">
        <v>1970</v>
      </c>
      <c r="I490" s="198">
        <v>7.55</v>
      </c>
      <c r="K490" s="198">
        <v>48767.72</v>
      </c>
    </row>
    <row r="491" spans="3:11" x14ac:dyDescent="0.2">
      <c r="C491" s="201" t="s">
        <v>234</v>
      </c>
      <c r="D491" s="200">
        <v>44214</v>
      </c>
      <c r="E491" s="199" t="s">
        <v>1969</v>
      </c>
      <c r="I491" s="198">
        <v>55.11</v>
      </c>
      <c r="K491" s="198">
        <v>48822.83</v>
      </c>
    </row>
    <row r="492" spans="3:11" x14ac:dyDescent="0.2">
      <c r="C492" s="201" t="s">
        <v>233</v>
      </c>
      <c r="D492" s="200">
        <v>44214</v>
      </c>
      <c r="E492" s="199" t="s">
        <v>1968</v>
      </c>
      <c r="I492" s="198">
        <v>2.37</v>
      </c>
      <c r="K492" s="198">
        <v>48825.2</v>
      </c>
    </row>
    <row r="493" spans="3:11" x14ac:dyDescent="0.2">
      <c r="C493" s="201" t="s">
        <v>228</v>
      </c>
      <c r="D493" s="200">
        <v>44214</v>
      </c>
      <c r="E493" s="199" t="s">
        <v>1967</v>
      </c>
      <c r="I493" s="198">
        <v>15.66</v>
      </c>
      <c r="K493" s="198">
        <v>48840.86</v>
      </c>
    </row>
    <row r="494" spans="3:11" x14ac:dyDescent="0.2">
      <c r="C494" s="201" t="s">
        <v>227</v>
      </c>
      <c r="D494" s="200">
        <v>44214</v>
      </c>
      <c r="E494" s="199" t="s">
        <v>1966</v>
      </c>
      <c r="I494" s="198">
        <v>23.45</v>
      </c>
      <c r="K494" s="198">
        <v>48864.31</v>
      </c>
    </row>
    <row r="495" spans="3:11" x14ac:dyDescent="0.2">
      <c r="C495" s="201" t="s">
        <v>226</v>
      </c>
      <c r="D495" s="200">
        <v>44214</v>
      </c>
      <c r="E495" s="199" t="s">
        <v>1965</v>
      </c>
      <c r="I495" s="198">
        <v>3.36</v>
      </c>
      <c r="K495" s="198">
        <v>48867.67</v>
      </c>
    </row>
    <row r="496" spans="3:11" x14ac:dyDescent="0.2">
      <c r="C496" s="201" t="s">
        <v>225</v>
      </c>
      <c r="D496" s="200">
        <v>44214</v>
      </c>
      <c r="E496" s="199" t="s">
        <v>1964</v>
      </c>
      <c r="I496" s="198">
        <v>36.69</v>
      </c>
      <c r="K496" s="198">
        <v>48904.36</v>
      </c>
    </row>
    <row r="497" spans="3:11" x14ac:dyDescent="0.2">
      <c r="C497" s="201" t="s">
        <v>224</v>
      </c>
      <c r="D497" s="200">
        <v>44214</v>
      </c>
      <c r="E497" s="199" t="s">
        <v>1963</v>
      </c>
      <c r="I497" s="198">
        <v>1.95</v>
      </c>
      <c r="K497" s="198">
        <v>48906.31</v>
      </c>
    </row>
    <row r="498" spans="3:11" x14ac:dyDescent="0.2">
      <c r="C498" s="201" t="s">
        <v>223</v>
      </c>
      <c r="D498" s="200">
        <v>44214</v>
      </c>
      <c r="E498" s="199" t="s">
        <v>1962</v>
      </c>
      <c r="I498" s="198">
        <v>11.01</v>
      </c>
      <c r="K498" s="198">
        <v>48917.32</v>
      </c>
    </row>
    <row r="499" spans="3:11" x14ac:dyDescent="0.2">
      <c r="C499" s="201" t="s">
        <v>1961</v>
      </c>
      <c r="D499" s="200">
        <v>44214</v>
      </c>
      <c r="E499" s="199" t="s">
        <v>1960</v>
      </c>
      <c r="I499" s="198">
        <v>3.49</v>
      </c>
      <c r="K499" s="198">
        <v>48920.81</v>
      </c>
    </row>
    <row r="500" spans="3:11" x14ac:dyDescent="0.2">
      <c r="C500" s="201" t="s">
        <v>1959</v>
      </c>
      <c r="D500" s="200">
        <v>44214</v>
      </c>
      <c r="E500" s="199" t="s">
        <v>1958</v>
      </c>
      <c r="I500" s="198">
        <v>1.94</v>
      </c>
      <c r="K500" s="198">
        <v>48922.75</v>
      </c>
    </row>
    <row r="501" spans="3:11" x14ac:dyDescent="0.2">
      <c r="C501" s="201" t="s">
        <v>1957</v>
      </c>
      <c r="D501" s="200">
        <v>44214</v>
      </c>
      <c r="E501" s="199" t="s">
        <v>1956</v>
      </c>
      <c r="I501" s="198">
        <v>1.68</v>
      </c>
      <c r="K501" s="198">
        <v>48924.43</v>
      </c>
    </row>
    <row r="502" spans="3:11" x14ac:dyDescent="0.2">
      <c r="C502" s="201" t="s">
        <v>1955</v>
      </c>
      <c r="D502" s="200">
        <v>44214</v>
      </c>
      <c r="E502" s="199" t="s">
        <v>1954</v>
      </c>
      <c r="I502" s="198">
        <v>3.36</v>
      </c>
      <c r="K502" s="198">
        <v>48927.79</v>
      </c>
    </row>
    <row r="503" spans="3:11" x14ac:dyDescent="0.2">
      <c r="C503" s="201" t="s">
        <v>222</v>
      </c>
      <c r="D503" s="200">
        <v>44214</v>
      </c>
      <c r="E503" s="199" t="s">
        <v>1953</v>
      </c>
      <c r="I503" s="198">
        <v>1.78</v>
      </c>
      <c r="K503" s="198">
        <v>48929.57</v>
      </c>
    </row>
    <row r="504" spans="3:11" x14ac:dyDescent="0.2">
      <c r="C504" s="201" t="s">
        <v>1952</v>
      </c>
      <c r="D504" s="200">
        <v>44214</v>
      </c>
      <c r="E504" s="199" t="s">
        <v>1951</v>
      </c>
      <c r="I504" s="198">
        <v>6.94</v>
      </c>
      <c r="K504" s="198">
        <v>48936.51</v>
      </c>
    </row>
    <row r="505" spans="3:11" x14ac:dyDescent="0.2">
      <c r="C505" s="201" t="s">
        <v>1950</v>
      </c>
      <c r="D505" s="200">
        <v>44214</v>
      </c>
      <c r="E505" s="199" t="s">
        <v>1949</v>
      </c>
      <c r="I505" s="198">
        <v>0.13</v>
      </c>
      <c r="K505" s="198">
        <v>48936.639999999999</v>
      </c>
    </row>
    <row r="506" spans="3:11" x14ac:dyDescent="0.2">
      <c r="C506" s="201" t="s">
        <v>1948</v>
      </c>
      <c r="D506" s="200">
        <v>44214</v>
      </c>
      <c r="E506" s="199" t="s">
        <v>1947</v>
      </c>
      <c r="I506" s="198">
        <v>1.72</v>
      </c>
      <c r="K506" s="198">
        <v>48938.36</v>
      </c>
    </row>
    <row r="507" spans="3:11" x14ac:dyDescent="0.2">
      <c r="C507" s="201" t="s">
        <v>1946</v>
      </c>
      <c r="D507" s="200">
        <v>44214</v>
      </c>
      <c r="E507" s="199" t="s">
        <v>1945</v>
      </c>
      <c r="I507" s="198">
        <v>15.3</v>
      </c>
      <c r="K507" s="198">
        <v>48953.66</v>
      </c>
    </row>
    <row r="508" spans="3:11" x14ac:dyDescent="0.2">
      <c r="C508" s="201" t="s">
        <v>1944</v>
      </c>
      <c r="D508" s="200">
        <v>44214</v>
      </c>
      <c r="E508" s="199" t="s">
        <v>1943</v>
      </c>
      <c r="I508" s="198">
        <v>15.76</v>
      </c>
      <c r="K508" s="198">
        <v>48969.42</v>
      </c>
    </row>
    <row r="509" spans="3:11" x14ac:dyDescent="0.2">
      <c r="C509" s="201" t="s">
        <v>1561</v>
      </c>
      <c r="D509" s="200">
        <v>44214</v>
      </c>
      <c r="E509" s="199" t="s">
        <v>1942</v>
      </c>
      <c r="J509" s="222">
        <v>1800</v>
      </c>
      <c r="K509" s="198">
        <v>47169.42</v>
      </c>
    </row>
    <row r="510" spans="3:11" x14ac:dyDescent="0.2">
      <c r="C510" s="201" t="s">
        <v>1557</v>
      </c>
      <c r="D510" s="200">
        <v>44214</v>
      </c>
      <c r="E510" s="199" t="s">
        <v>1941</v>
      </c>
      <c r="J510" s="222">
        <v>521.77</v>
      </c>
      <c r="K510" s="198">
        <v>46647.65</v>
      </c>
    </row>
    <row r="511" spans="3:11" x14ac:dyDescent="0.2">
      <c r="C511" s="201" t="s">
        <v>1556</v>
      </c>
      <c r="D511" s="200">
        <v>44214</v>
      </c>
      <c r="E511" s="199" t="s">
        <v>1940</v>
      </c>
      <c r="J511" s="222">
        <v>2800</v>
      </c>
      <c r="K511" s="198">
        <v>43847.65</v>
      </c>
    </row>
    <row r="512" spans="3:11" x14ac:dyDescent="0.2">
      <c r="C512" s="201" t="s">
        <v>221</v>
      </c>
      <c r="D512" s="200">
        <v>44215</v>
      </c>
      <c r="E512" s="199" t="s">
        <v>1939</v>
      </c>
      <c r="I512" s="198">
        <v>1.68</v>
      </c>
      <c r="K512" s="198">
        <v>43849.33</v>
      </c>
    </row>
    <row r="513" spans="3:11" x14ac:dyDescent="0.2">
      <c r="C513" s="201" t="s">
        <v>220</v>
      </c>
      <c r="D513" s="200">
        <v>44215</v>
      </c>
      <c r="E513" s="199" t="s">
        <v>1938</v>
      </c>
      <c r="I513" s="198">
        <v>3.36</v>
      </c>
      <c r="K513" s="198">
        <v>43852.69</v>
      </c>
    </row>
    <row r="514" spans="3:11" x14ac:dyDescent="0.2">
      <c r="C514" s="201" t="s">
        <v>219</v>
      </c>
      <c r="D514" s="200">
        <v>44215</v>
      </c>
      <c r="E514" s="199" t="s">
        <v>1937</v>
      </c>
      <c r="I514" s="198">
        <v>5.84</v>
      </c>
      <c r="K514" s="198">
        <v>43858.53</v>
      </c>
    </row>
    <row r="515" spans="3:11" x14ac:dyDescent="0.2">
      <c r="C515" s="201" t="s">
        <v>218</v>
      </c>
      <c r="D515" s="200">
        <v>44215</v>
      </c>
      <c r="E515" s="199" t="s">
        <v>1936</v>
      </c>
      <c r="I515" s="198">
        <v>2.02</v>
      </c>
      <c r="K515" s="198">
        <v>43860.55</v>
      </c>
    </row>
    <row r="516" spans="3:11" x14ac:dyDescent="0.2">
      <c r="C516" s="201" t="s">
        <v>212</v>
      </c>
      <c r="D516" s="200">
        <v>44215</v>
      </c>
      <c r="E516" s="199" t="s">
        <v>1935</v>
      </c>
      <c r="I516" s="198">
        <v>2</v>
      </c>
      <c r="K516" s="198">
        <v>43862.55</v>
      </c>
    </row>
    <row r="517" spans="3:11" x14ac:dyDescent="0.2">
      <c r="C517" s="201" t="s">
        <v>211</v>
      </c>
      <c r="D517" s="200">
        <v>44215</v>
      </c>
      <c r="E517" s="199" t="s">
        <v>1934</v>
      </c>
      <c r="I517" s="198">
        <v>9.76</v>
      </c>
      <c r="K517" s="198">
        <v>43872.31</v>
      </c>
    </row>
    <row r="518" spans="3:11" x14ac:dyDescent="0.2">
      <c r="C518" s="201" t="s">
        <v>210</v>
      </c>
      <c r="D518" s="200">
        <v>44215</v>
      </c>
      <c r="E518" s="199" t="s">
        <v>1933</v>
      </c>
      <c r="I518" s="198">
        <v>11.09</v>
      </c>
      <c r="K518" s="198">
        <v>43883.4</v>
      </c>
    </row>
    <row r="519" spans="3:11" x14ac:dyDescent="0.2">
      <c r="C519" s="201" t="s">
        <v>209</v>
      </c>
      <c r="D519" s="200">
        <v>44215</v>
      </c>
      <c r="E519" s="199" t="s">
        <v>1932</v>
      </c>
      <c r="I519" s="198">
        <v>1.8</v>
      </c>
      <c r="K519" s="198">
        <v>43885.2</v>
      </c>
    </row>
    <row r="520" spans="3:11" x14ac:dyDescent="0.2">
      <c r="C520" s="201" t="s">
        <v>208</v>
      </c>
      <c r="D520" s="200">
        <v>44215</v>
      </c>
      <c r="E520" s="199" t="s">
        <v>1931</v>
      </c>
      <c r="I520" s="198">
        <v>5.04</v>
      </c>
      <c r="K520" s="198">
        <v>43890.239999999998</v>
      </c>
    </row>
    <row r="521" spans="3:11" x14ac:dyDescent="0.2">
      <c r="C521" s="201" t="s">
        <v>217</v>
      </c>
      <c r="D521" s="200">
        <v>44215</v>
      </c>
      <c r="E521" s="199" t="s">
        <v>1930</v>
      </c>
      <c r="I521" s="198">
        <v>11.14</v>
      </c>
      <c r="K521" s="198">
        <v>43901.38</v>
      </c>
    </row>
    <row r="522" spans="3:11" x14ac:dyDescent="0.2">
      <c r="C522" s="201" t="s">
        <v>207</v>
      </c>
      <c r="D522" s="200">
        <v>44215</v>
      </c>
      <c r="E522" s="199" t="s">
        <v>1929</v>
      </c>
      <c r="I522" s="198">
        <v>0.09</v>
      </c>
      <c r="K522" s="198">
        <v>43901.47</v>
      </c>
    </row>
    <row r="523" spans="3:11" x14ac:dyDescent="0.2">
      <c r="C523" s="201" t="s">
        <v>216</v>
      </c>
      <c r="D523" s="200">
        <v>44215</v>
      </c>
      <c r="E523" s="199" t="s">
        <v>1928</v>
      </c>
      <c r="I523" s="198">
        <v>4.33</v>
      </c>
      <c r="K523" s="198">
        <v>43905.8</v>
      </c>
    </row>
    <row r="524" spans="3:11" x14ac:dyDescent="0.2">
      <c r="C524" s="201" t="s">
        <v>1927</v>
      </c>
      <c r="D524" s="200">
        <v>44215</v>
      </c>
      <c r="E524" s="199" t="s">
        <v>1926</v>
      </c>
      <c r="I524" s="198">
        <v>4.2</v>
      </c>
      <c r="K524" s="198">
        <v>43910</v>
      </c>
    </row>
    <row r="525" spans="3:11" x14ac:dyDescent="0.2">
      <c r="C525" s="201" t="s">
        <v>1925</v>
      </c>
      <c r="D525" s="200">
        <v>44215</v>
      </c>
      <c r="E525" s="199" t="s">
        <v>1924</v>
      </c>
      <c r="I525" s="198">
        <v>5.63</v>
      </c>
      <c r="K525" s="198">
        <v>43915.63</v>
      </c>
    </row>
    <row r="526" spans="3:11" x14ac:dyDescent="0.2">
      <c r="C526" s="201" t="s">
        <v>1923</v>
      </c>
      <c r="D526" s="200">
        <v>44215</v>
      </c>
      <c r="E526" s="199" t="s">
        <v>1922</v>
      </c>
      <c r="I526" s="198">
        <v>8.6199999999999992</v>
      </c>
      <c r="K526" s="198">
        <v>43924.25</v>
      </c>
    </row>
    <row r="527" spans="3:11" x14ac:dyDescent="0.2">
      <c r="C527" s="201" t="s">
        <v>1921</v>
      </c>
      <c r="D527" s="200">
        <v>44215</v>
      </c>
      <c r="E527" s="199" t="s">
        <v>1920</v>
      </c>
      <c r="I527" s="198">
        <v>15.3</v>
      </c>
      <c r="K527" s="198">
        <v>43939.55</v>
      </c>
    </row>
    <row r="528" spans="3:11" x14ac:dyDescent="0.2">
      <c r="C528" s="201" t="s">
        <v>1919</v>
      </c>
      <c r="D528" s="200">
        <v>44215</v>
      </c>
      <c r="E528" s="199" t="s">
        <v>1918</v>
      </c>
      <c r="I528" s="198">
        <v>3.65</v>
      </c>
      <c r="K528" s="198">
        <v>43943.199999999997</v>
      </c>
    </row>
    <row r="529" spans="3:11" x14ac:dyDescent="0.2">
      <c r="C529" s="201" t="s">
        <v>1917</v>
      </c>
      <c r="D529" s="200">
        <v>44215</v>
      </c>
      <c r="E529" s="199" t="s">
        <v>1916</v>
      </c>
      <c r="I529" s="198">
        <v>3.36</v>
      </c>
      <c r="K529" s="198">
        <v>43946.559999999998</v>
      </c>
    </row>
    <row r="530" spans="3:11" x14ac:dyDescent="0.2">
      <c r="C530" s="201" t="s">
        <v>206</v>
      </c>
      <c r="D530" s="200">
        <v>44215</v>
      </c>
      <c r="E530" s="199" t="s">
        <v>1915</v>
      </c>
      <c r="I530" s="198">
        <v>7.15</v>
      </c>
      <c r="K530" s="198">
        <v>43953.71</v>
      </c>
    </row>
    <row r="531" spans="3:11" x14ac:dyDescent="0.2">
      <c r="C531" s="201" t="s">
        <v>205</v>
      </c>
      <c r="D531" s="200">
        <v>44215</v>
      </c>
      <c r="E531" s="199" t="s">
        <v>1914</v>
      </c>
      <c r="I531" s="198">
        <v>14.38</v>
      </c>
      <c r="K531" s="198">
        <v>43968.09</v>
      </c>
    </row>
    <row r="532" spans="3:11" x14ac:dyDescent="0.2">
      <c r="C532" s="201" t="s">
        <v>204</v>
      </c>
      <c r="D532" s="200">
        <v>44216</v>
      </c>
      <c r="E532" s="199" t="s">
        <v>1913</v>
      </c>
      <c r="I532" s="198">
        <v>17.989999999999998</v>
      </c>
      <c r="K532" s="198">
        <v>43986.080000000002</v>
      </c>
    </row>
    <row r="533" spans="3:11" x14ac:dyDescent="0.2">
      <c r="C533" s="201" t="s">
        <v>1912</v>
      </c>
      <c r="D533" s="200">
        <v>44216</v>
      </c>
      <c r="E533" s="199" t="s">
        <v>1911</v>
      </c>
      <c r="I533" s="198">
        <v>8.61</v>
      </c>
      <c r="K533" s="198">
        <v>43994.69</v>
      </c>
    </row>
    <row r="534" spans="3:11" x14ac:dyDescent="0.2">
      <c r="C534" s="201" t="s">
        <v>203</v>
      </c>
      <c r="D534" s="200">
        <v>44216</v>
      </c>
      <c r="E534" s="199" t="s">
        <v>1910</v>
      </c>
      <c r="I534" s="198">
        <v>6.92</v>
      </c>
      <c r="K534" s="198">
        <v>44001.61</v>
      </c>
    </row>
    <row r="535" spans="3:11" x14ac:dyDescent="0.2">
      <c r="C535" s="201" t="s">
        <v>202</v>
      </c>
      <c r="D535" s="200">
        <v>44216</v>
      </c>
      <c r="E535" s="199" t="s">
        <v>1909</v>
      </c>
      <c r="I535" s="198">
        <v>1.94</v>
      </c>
      <c r="K535" s="198">
        <v>44003.55</v>
      </c>
    </row>
    <row r="536" spans="3:11" x14ac:dyDescent="0.2">
      <c r="C536" s="201" t="s">
        <v>1908</v>
      </c>
      <c r="D536" s="200">
        <v>44216</v>
      </c>
      <c r="E536" s="199" t="s">
        <v>1907</v>
      </c>
      <c r="I536" s="198">
        <v>5.73</v>
      </c>
      <c r="K536" s="198">
        <v>44009.279999999999</v>
      </c>
    </row>
    <row r="537" spans="3:11" x14ac:dyDescent="0.2">
      <c r="C537" s="201" t="s">
        <v>1906</v>
      </c>
      <c r="D537" s="200">
        <v>44216</v>
      </c>
      <c r="E537" s="199" t="s">
        <v>1905</v>
      </c>
      <c r="I537" s="198">
        <v>7.68</v>
      </c>
      <c r="K537" s="198">
        <v>44016.959999999999</v>
      </c>
    </row>
    <row r="538" spans="3:11" x14ac:dyDescent="0.2">
      <c r="C538" s="201" t="s">
        <v>201</v>
      </c>
      <c r="D538" s="200">
        <v>44216</v>
      </c>
      <c r="E538" s="199" t="s">
        <v>1904</v>
      </c>
      <c r="I538" s="198">
        <v>3.17</v>
      </c>
      <c r="K538" s="198">
        <v>44020.13</v>
      </c>
    </row>
    <row r="539" spans="3:11" x14ac:dyDescent="0.2">
      <c r="C539" s="201" t="s">
        <v>200</v>
      </c>
      <c r="D539" s="200">
        <v>44216</v>
      </c>
      <c r="E539" s="199" t="s">
        <v>1903</v>
      </c>
      <c r="I539" s="198">
        <v>4.92</v>
      </c>
      <c r="K539" s="198">
        <v>44025.05</v>
      </c>
    </row>
    <row r="540" spans="3:11" x14ac:dyDescent="0.2">
      <c r="C540" s="201" t="s">
        <v>1902</v>
      </c>
      <c r="D540" s="200">
        <v>44216</v>
      </c>
      <c r="E540" s="199" t="s">
        <v>1901</v>
      </c>
      <c r="I540" s="198">
        <v>25.14</v>
      </c>
      <c r="K540" s="198">
        <v>44050.19</v>
      </c>
    </row>
    <row r="541" spans="3:11" x14ac:dyDescent="0.2">
      <c r="C541" s="201" t="s">
        <v>1900</v>
      </c>
      <c r="D541" s="200">
        <v>44216</v>
      </c>
      <c r="E541" s="199" t="s">
        <v>1899</v>
      </c>
      <c r="I541" s="198">
        <v>22.3</v>
      </c>
      <c r="K541" s="198">
        <v>44072.49</v>
      </c>
    </row>
    <row r="542" spans="3:11" x14ac:dyDescent="0.2">
      <c r="C542" s="201" t="s">
        <v>1898</v>
      </c>
      <c r="D542" s="200">
        <v>44216</v>
      </c>
      <c r="E542" s="199" t="s">
        <v>1897</v>
      </c>
      <c r="I542" s="198">
        <v>6.35</v>
      </c>
      <c r="K542" s="198">
        <v>44078.84</v>
      </c>
    </row>
    <row r="543" spans="3:11" x14ac:dyDescent="0.2">
      <c r="C543" s="201" t="s">
        <v>1896</v>
      </c>
      <c r="D543" s="200">
        <v>44216</v>
      </c>
      <c r="E543" s="199" t="s">
        <v>1895</v>
      </c>
      <c r="I543" s="198">
        <v>8.67</v>
      </c>
      <c r="K543" s="198">
        <v>44087.51</v>
      </c>
    </row>
    <row r="544" spans="3:11" x14ac:dyDescent="0.2">
      <c r="C544" s="201" t="s">
        <v>1894</v>
      </c>
      <c r="D544" s="200">
        <v>44216</v>
      </c>
      <c r="E544" s="199" t="s">
        <v>1893</v>
      </c>
      <c r="I544" s="198">
        <v>3.91</v>
      </c>
      <c r="K544" s="198">
        <v>44091.42</v>
      </c>
    </row>
    <row r="545" spans="3:11" x14ac:dyDescent="0.2">
      <c r="C545" s="201" t="s">
        <v>1892</v>
      </c>
      <c r="D545" s="200">
        <v>44216</v>
      </c>
      <c r="E545" s="199" t="s">
        <v>1891</v>
      </c>
      <c r="I545" s="198">
        <v>2.83</v>
      </c>
      <c r="K545" s="198">
        <v>44094.25</v>
      </c>
    </row>
    <row r="546" spans="3:11" x14ac:dyDescent="0.2">
      <c r="C546" s="201" t="s">
        <v>1890</v>
      </c>
      <c r="D546" s="200">
        <v>44216</v>
      </c>
      <c r="E546" s="199" t="s">
        <v>1889</v>
      </c>
      <c r="I546" s="198">
        <v>3.71</v>
      </c>
      <c r="K546" s="198">
        <v>44097.96</v>
      </c>
    </row>
    <row r="547" spans="3:11" x14ac:dyDescent="0.2">
      <c r="C547" s="201" t="s">
        <v>199</v>
      </c>
      <c r="D547" s="200">
        <v>44217</v>
      </c>
      <c r="E547" s="199" t="s">
        <v>1888</v>
      </c>
      <c r="I547" s="198">
        <v>9</v>
      </c>
      <c r="K547" s="198">
        <v>44106.96</v>
      </c>
    </row>
    <row r="548" spans="3:11" x14ac:dyDescent="0.2">
      <c r="C548" s="201" t="s">
        <v>198</v>
      </c>
      <c r="D548" s="200">
        <v>44217</v>
      </c>
      <c r="E548" s="199" t="s">
        <v>1887</v>
      </c>
      <c r="I548" s="198">
        <v>1.88</v>
      </c>
      <c r="K548" s="198">
        <v>44108.84</v>
      </c>
    </row>
    <row r="549" spans="3:11" x14ac:dyDescent="0.2">
      <c r="C549" s="201" t="s">
        <v>197</v>
      </c>
      <c r="D549" s="200">
        <v>44217</v>
      </c>
      <c r="E549" s="199" t="s">
        <v>1886</v>
      </c>
      <c r="I549" s="198">
        <v>7.79</v>
      </c>
      <c r="K549" s="198">
        <v>44116.63</v>
      </c>
    </row>
    <row r="550" spans="3:11" x14ac:dyDescent="0.2">
      <c r="C550" s="201" t="s">
        <v>196</v>
      </c>
      <c r="D550" s="200">
        <v>44217</v>
      </c>
      <c r="E550" s="199" t="s">
        <v>1885</v>
      </c>
      <c r="I550" s="198">
        <v>7.6</v>
      </c>
      <c r="K550" s="198">
        <v>44124.23</v>
      </c>
    </row>
    <row r="551" spans="3:11" x14ac:dyDescent="0.2">
      <c r="C551" s="201" t="s">
        <v>195</v>
      </c>
      <c r="D551" s="200">
        <v>44217</v>
      </c>
      <c r="E551" s="199" t="s">
        <v>1884</v>
      </c>
      <c r="I551" s="198">
        <v>9.7899999999999991</v>
      </c>
      <c r="K551" s="198">
        <v>44134.02</v>
      </c>
    </row>
    <row r="552" spans="3:11" x14ac:dyDescent="0.2">
      <c r="C552" s="201" t="s">
        <v>194</v>
      </c>
      <c r="D552" s="200">
        <v>44217</v>
      </c>
      <c r="E552" s="199" t="s">
        <v>1883</v>
      </c>
      <c r="I552" s="198">
        <v>98.45</v>
      </c>
      <c r="K552" s="198">
        <v>44232.47</v>
      </c>
    </row>
    <row r="553" spans="3:11" x14ac:dyDescent="0.2">
      <c r="C553" s="201" t="s">
        <v>193</v>
      </c>
      <c r="D553" s="200">
        <v>44217</v>
      </c>
      <c r="E553" s="199" t="s">
        <v>1882</v>
      </c>
      <c r="I553" s="198">
        <v>13.48</v>
      </c>
      <c r="K553" s="198">
        <v>44245.95</v>
      </c>
    </row>
    <row r="554" spans="3:11" x14ac:dyDescent="0.2">
      <c r="C554" s="201" t="s">
        <v>192</v>
      </c>
      <c r="D554" s="200">
        <v>44217</v>
      </c>
      <c r="E554" s="199" t="s">
        <v>1881</v>
      </c>
      <c r="I554" s="198">
        <v>5.28</v>
      </c>
      <c r="K554" s="198">
        <v>44251.23</v>
      </c>
    </row>
    <row r="555" spans="3:11" x14ac:dyDescent="0.2">
      <c r="C555" s="201" t="s">
        <v>191</v>
      </c>
      <c r="D555" s="200">
        <v>44217</v>
      </c>
      <c r="E555" s="199" t="s">
        <v>1880</v>
      </c>
      <c r="I555" s="198">
        <v>2.52</v>
      </c>
      <c r="K555" s="198">
        <v>44253.75</v>
      </c>
    </row>
    <row r="556" spans="3:11" x14ac:dyDescent="0.2">
      <c r="C556" s="201" t="s">
        <v>190</v>
      </c>
      <c r="D556" s="200">
        <v>44217</v>
      </c>
      <c r="E556" s="199" t="s">
        <v>1879</v>
      </c>
      <c r="I556" s="198">
        <v>2.64</v>
      </c>
      <c r="K556" s="198">
        <v>44256.39</v>
      </c>
    </row>
    <row r="557" spans="3:11" x14ac:dyDescent="0.2">
      <c r="C557" s="201" t="s">
        <v>189</v>
      </c>
      <c r="D557" s="200">
        <v>44217</v>
      </c>
      <c r="E557" s="199" t="s">
        <v>1878</v>
      </c>
      <c r="I557" s="198">
        <v>38.39</v>
      </c>
      <c r="K557" s="198">
        <v>44294.78</v>
      </c>
    </row>
    <row r="558" spans="3:11" x14ac:dyDescent="0.2">
      <c r="C558" s="201" t="s">
        <v>188</v>
      </c>
      <c r="D558" s="200">
        <v>44217</v>
      </c>
      <c r="E558" s="199" t="s">
        <v>1877</v>
      </c>
      <c r="I558" s="198">
        <v>6</v>
      </c>
      <c r="K558" s="198">
        <v>44300.78</v>
      </c>
    </row>
    <row r="559" spans="3:11" x14ac:dyDescent="0.2">
      <c r="C559" s="201" t="s">
        <v>187</v>
      </c>
      <c r="D559" s="200">
        <v>44217</v>
      </c>
      <c r="E559" s="199" t="s">
        <v>1876</v>
      </c>
      <c r="I559" s="198">
        <v>9.26</v>
      </c>
      <c r="K559" s="198">
        <v>44310.04</v>
      </c>
    </row>
    <row r="560" spans="3:11" x14ac:dyDescent="0.2">
      <c r="C560" s="201" t="s">
        <v>186</v>
      </c>
      <c r="D560" s="200">
        <v>44217</v>
      </c>
      <c r="E560" s="199" t="s">
        <v>1875</v>
      </c>
      <c r="I560" s="198">
        <v>3.27</v>
      </c>
      <c r="K560" s="198">
        <v>44313.31</v>
      </c>
    </row>
    <row r="561" spans="3:11" x14ac:dyDescent="0.2">
      <c r="C561" s="201" t="s">
        <v>176</v>
      </c>
      <c r="D561" s="200">
        <v>44217</v>
      </c>
      <c r="E561" s="199" t="s">
        <v>1874</v>
      </c>
      <c r="I561" s="198">
        <v>20.96</v>
      </c>
      <c r="K561" s="198">
        <v>44334.27</v>
      </c>
    </row>
    <row r="562" spans="3:11" x14ac:dyDescent="0.2">
      <c r="C562" s="201" t="s">
        <v>175</v>
      </c>
      <c r="D562" s="200">
        <v>44217</v>
      </c>
      <c r="E562" s="199" t="s">
        <v>1873</v>
      </c>
      <c r="I562" s="198">
        <v>8.16</v>
      </c>
      <c r="K562" s="198">
        <v>44342.43</v>
      </c>
    </row>
    <row r="563" spans="3:11" x14ac:dyDescent="0.2">
      <c r="C563" s="201" t="s">
        <v>174</v>
      </c>
      <c r="D563" s="200">
        <v>44217</v>
      </c>
      <c r="E563" s="199" t="s">
        <v>1872</v>
      </c>
      <c r="I563" s="198">
        <v>2.17</v>
      </c>
      <c r="K563" s="198">
        <v>44344.6</v>
      </c>
    </row>
    <row r="564" spans="3:11" x14ac:dyDescent="0.2">
      <c r="C564" s="201" t="s">
        <v>173</v>
      </c>
      <c r="D564" s="200">
        <v>44217</v>
      </c>
      <c r="E564" s="199" t="s">
        <v>1871</v>
      </c>
      <c r="I564" s="198">
        <v>1.98</v>
      </c>
      <c r="K564" s="198">
        <v>44346.58</v>
      </c>
    </row>
    <row r="565" spans="3:11" x14ac:dyDescent="0.2">
      <c r="C565" s="201" t="s">
        <v>172</v>
      </c>
      <c r="D565" s="200">
        <v>44217</v>
      </c>
      <c r="E565" s="199" t="s">
        <v>1870</v>
      </c>
      <c r="I565" s="198">
        <v>6.62</v>
      </c>
      <c r="K565" s="198">
        <v>44353.2</v>
      </c>
    </row>
    <row r="566" spans="3:11" x14ac:dyDescent="0.2">
      <c r="C566" s="201" t="s">
        <v>171</v>
      </c>
      <c r="D566" s="200">
        <v>44217</v>
      </c>
      <c r="E566" s="199" t="s">
        <v>1869</v>
      </c>
      <c r="I566" s="198">
        <v>1.72</v>
      </c>
      <c r="K566" s="198">
        <v>44354.92</v>
      </c>
    </row>
    <row r="567" spans="3:11" x14ac:dyDescent="0.2">
      <c r="C567" s="201" t="s">
        <v>170</v>
      </c>
      <c r="D567" s="200">
        <v>44217</v>
      </c>
      <c r="E567" s="199" t="s">
        <v>1868</v>
      </c>
      <c r="I567" s="198">
        <v>60.36</v>
      </c>
      <c r="K567" s="198">
        <v>44415.28</v>
      </c>
    </row>
    <row r="568" spans="3:11" x14ac:dyDescent="0.2">
      <c r="C568" s="201" t="s">
        <v>169</v>
      </c>
      <c r="D568" s="200">
        <v>44217</v>
      </c>
      <c r="E568" s="199" t="s">
        <v>1867</v>
      </c>
      <c r="I568" s="198">
        <v>10</v>
      </c>
      <c r="K568" s="198">
        <v>44425.279999999999</v>
      </c>
    </row>
    <row r="569" spans="3:11" x14ac:dyDescent="0.2">
      <c r="C569" s="201" t="s">
        <v>165</v>
      </c>
      <c r="D569" s="200">
        <v>44217</v>
      </c>
      <c r="E569" s="199" t="s">
        <v>1866</v>
      </c>
      <c r="I569" s="198">
        <v>3.64</v>
      </c>
      <c r="K569" s="198">
        <v>44428.92</v>
      </c>
    </row>
    <row r="570" spans="3:11" x14ac:dyDescent="0.2">
      <c r="C570" s="201" t="s">
        <v>167</v>
      </c>
      <c r="D570" s="200">
        <v>44217</v>
      </c>
      <c r="E570" s="199" t="s">
        <v>1865</v>
      </c>
      <c r="I570" s="198">
        <v>4.67</v>
      </c>
      <c r="K570" s="198">
        <v>44433.59</v>
      </c>
    </row>
    <row r="571" spans="3:11" x14ac:dyDescent="0.2">
      <c r="C571" s="201" t="s">
        <v>1864</v>
      </c>
      <c r="D571" s="200">
        <v>44218</v>
      </c>
      <c r="E571" s="199" t="s">
        <v>1863</v>
      </c>
      <c r="I571" s="198">
        <v>12</v>
      </c>
      <c r="K571" s="198">
        <v>44445.59</v>
      </c>
    </row>
    <row r="572" spans="3:11" x14ac:dyDescent="0.2">
      <c r="C572" s="201" t="s">
        <v>1862</v>
      </c>
      <c r="D572" s="200">
        <v>44218</v>
      </c>
      <c r="E572" s="199" t="s">
        <v>1861</v>
      </c>
      <c r="I572" s="198">
        <v>12.23</v>
      </c>
      <c r="K572" s="198">
        <v>44457.82</v>
      </c>
    </row>
    <row r="573" spans="3:11" x14ac:dyDescent="0.2">
      <c r="C573" s="201" t="s">
        <v>1860</v>
      </c>
      <c r="D573" s="200">
        <v>44218</v>
      </c>
      <c r="E573" s="199" t="s">
        <v>1859</v>
      </c>
      <c r="I573" s="198">
        <v>28.98</v>
      </c>
      <c r="K573" s="198">
        <v>44486.8</v>
      </c>
    </row>
    <row r="574" spans="3:11" x14ac:dyDescent="0.2">
      <c r="C574" s="201" t="s">
        <v>1858</v>
      </c>
      <c r="D574" s="200">
        <v>44218</v>
      </c>
      <c r="E574" s="199" t="s">
        <v>1857</v>
      </c>
      <c r="I574" s="198">
        <v>5.04</v>
      </c>
      <c r="K574" s="198">
        <v>44491.839999999997</v>
      </c>
    </row>
    <row r="575" spans="3:11" x14ac:dyDescent="0.2">
      <c r="C575" s="201" t="s">
        <v>1856</v>
      </c>
      <c r="D575" s="200">
        <v>44218</v>
      </c>
      <c r="E575" s="199" t="s">
        <v>1855</v>
      </c>
      <c r="I575" s="198">
        <v>5.31</v>
      </c>
      <c r="K575" s="198">
        <v>44497.15</v>
      </c>
    </row>
    <row r="576" spans="3:11" x14ac:dyDescent="0.2">
      <c r="C576" s="201" t="s">
        <v>164</v>
      </c>
      <c r="D576" s="200">
        <v>44218</v>
      </c>
      <c r="E576" s="199" t="s">
        <v>1854</v>
      </c>
      <c r="I576" s="198">
        <v>5.04</v>
      </c>
      <c r="K576" s="198">
        <v>44502.19</v>
      </c>
    </row>
    <row r="577" spans="3:11" x14ac:dyDescent="0.2">
      <c r="C577" s="201" t="s">
        <v>185</v>
      </c>
      <c r="D577" s="200">
        <v>44219</v>
      </c>
      <c r="E577" s="199" t="s">
        <v>1853</v>
      </c>
      <c r="I577" s="198">
        <v>5.04</v>
      </c>
      <c r="K577" s="198">
        <v>44507.23</v>
      </c>
    </row>
    <row r="578" spans="3:11" x14ac:dyDescent="0.2">
      <c r="C578" s="201" t="s">
        <v>184</v>
      </c>
      <c r="D578" s="200">
        <v>44219</v>
      </c>
      <c r="E578" s="199" t="s">
        <v>1852</v>
      </c>
      <c r="I578" s="198">
        <v>4.6500000000000004</v>
      </c>
      <c r="K578" s="198">
        <v>44511.88</v>
      </c>
    </row>
    <row r="579" spans="3:11" x14ac:dyDescent="0.2">
      <c r="C579" s="201" t="s">
        <v>183</v>
      </c>
      <c r="D579" s="200">
        <v>44219</v>
      </c>
      <c r="E579" s="199" t="s">
        <v>1851</v>
      </c>
      <c r="I579" s="198">
        <v>19.43</v>
      </c>
      <c r="K579" s="198">
        <v>44531.31</v>
      </c>
    </row>
    <row r="580" spans="3:11" x14ac:dyDescent="0.2">
      <c r="C580" s="201" t="s">
        <v>182</v>
      </c>
      <c r="D580" s="200">
        <v>44219</v>
      </c>
      <c r="E580" s="199" t="s">
        <v>1850</v>
      </c>
      <c r="I580" s="198">
        <v>6.32</v>
      </c>
      <c r="K580" s="198">
        <v>44537.63</v>
      </c>
    </row>
    <row r="581" spans="3:11" x14ac:dyDescent="0.2">
      <c r="C581" s="201" t="s">
        <v>181</v>
      </c>
      <c r="D581" s="200">
        <v>44219</v>
      </c>
      <c r="E581" s="199" t="s">
        <v>1849</v>
      </c>
      <c r="I581" s="198">
        <v>1.68</v>
      </c>
      <c r="K581" s="198">
        <v>44539.31</v>
      </c>
    </row>
    <row r="582" spans="3:11" x14ac:dyDescent="0.2">
      <c r="C582" s="201" t="s">
        <v>180</v>
      </c>
      <c r="D582" s="200">
        <v>44219</v>
      </c>
      <c r="E582" s="199" t="s">
        <v>1848</v>
      </c>
      <c r="I582" s="198">
        <v>5.05</v>
      </c>
      <c r="K582" s="198">
        <v>44544.36</v>
      </c>
    </row>
    <row r="583" spans="3:11" x14ac:dyDescent="0.2">
      <c r="C583" s="201" t="s">
        <v>1847</v>
      </c>
      <c r="D583" s="200">
        <v>44219</v>
      </c>
      <c r="E583" s="199" t="s">
        <v>1846</v>
      </c>
      <c r="I583" s="198">
        <v>17.73</v>
      </c>
      <c r="K583" s="198">
        <v>44562.09</v>
      </c>
    </row>
    <row r="584" spans="3:11" x14ac:dyDescent="0.2">
      <c r="C584" s="201" t="s">
        <v>1845</v>
      </c>
      <c r="D584" s="200">
        <v>44219</v>
      </c>
      <c r="E584" s="199" t="s">
        <v>1844</v>
      </c>
      <c r="I584" s="198">
        <v>1.68</v>
      </c>
      <c r="K584" s="198">
        <v>44563.77</v>
      </c>
    </row>
    <row r="585" spans="3:11" x14ac:dyDescent="0.2">
      <c r="C585" s="201" t="s">
        <v>1843</v>
      </c>
      <c r="D585" s="200">
        <v>44220</v>
      </c>
      <c r="E585" s="199" t="s">
        <v>1842</v>
      </c>
      <c r="I585" s="198">
        <v>5.16</v>
      </c>
      <c r="K585" s="198">
        <v>44568.93</v>
      </c>
    </row>
    <row r="586" spans="3:11" x14ac:dyDescent="0.2">
      <c r="C586" s="201" t="s">
        <v>1841</v>
      </c>
      <c r="D586" s="200">
        <v>44220</v>
      </c>
      <c r="E586" s="199" t="s">
        <v>1840</v>
      </c>
      <c r="I586" s="198">
        <v>3.56</v>
      </c>
      <c r="K586" s="198">
        <v>44572.49</v>
      </c>
    </row>
    <row r="587" spans="3:11" x14ac:dyDescent="0.2">
      <c r="C587" s="201" t="s">
        <v>1839</v>
      </c>
      <c r="D587" s="200">
        <v>44220</v>
      </c>
      <c r="E587" s="199" t="s">
        <v>1838</v>
      </c>
      <c r="I587" s="198">
        <v>4.07</v>
      </c>
      <c r="K587" s="198">
        <v>44576.56</v>
      </c>
    </row>
    <row r="588" spans="3:11" x14ac:dyDescent="0.2">
      <c r="C588" s="201" t="s">
        <v>163</v>
      </c>
      <c r="D588" s="200">
        <v>44220</v>
      </c>
      <c r="E588" s="199" t="s">
        <v>1837</v>
      </c>
      <c r="I588" s="198">
        <v>48.82</v>
      </c>
      <c r="K588" s="198">
        <v>44625.38</v>
      </c>
    </row>
    <row r="589" spans="3:11" x14ac:dyDescent="0.2">
      <c r="C589" s="201" t="s">
        <v>179</v>
      </c>
      <c r="D589" s="200">
        <v>44220</v>
      </c>
      <c r="E589" s="199" t="s">
        <v>1836</v>
      </c>
      <c r="I589" s="198">
        <v>5.12</v>
      </c>
      <c r="K589" s="198">
        <v>44630.5</v>
      </c>
    </row>
    <row r="590" spans="3:11" x14ac:dyDescent="0.2">
      <c r="C590" s="201" t="s">
        <v>178</v>
      </c>
      <c r="D590" s="200">
        <v>44220</v>
      </c>
      <c r="E590" s="199" t="s">
        <v>1835</v>
      </c>
      <c r="I590" s="198">
        <v>16.059999999999999</v>
      </c>
      <c r="K590" s="198">
        <v>44646.559999999998</v>
      </c>
    </row>
    <row r="591" spans="3:11" x14ac:dyDescent="0.2">
      <c r="C591" s="201" t="s">
        <v>177</v>
      </c>
      <c r="D591" s="200">
        <v>44220</v>
      </c>
      <c r="E591" s="199" t="s">
        <v>1834</v>
      </c>
      <c r="I591" s="198">
        <v>1.68</v>
      </c>
      <c r="K591" s="198">
        <v>44648.24</v>
      </c>
    </row>
    <row r="592" spans="3:11" x14ac:dyDescent="0.2">
      <c r="C592" s="201" t="s">
        <v>162</v>
      </c>
      <c r="D592" s="200">
        <v>44220</v>
      </c>
      <c r="E592" s="199" t="s">
        <v>1833</v>
      </c>
      <c r="I592" s="198">
        <v>5.34</v>
      </c>
      <c r="K592" s="198">
        <v>44653.58</v>
      </c>
    </row>
    <row r="593" spans="3:11" x14ac:dyDescent="0.2">
      <c r="C593" s="201" t="s">
        <v>1832</v>
      </c>
      <c r="D593" s="200">
        <v>44220</v>
      </c>
      <c r="E593" s="199" t="s">
        <v>1831</v>
      </c>
      <c r="I593" s="198">
        <v>6.11</v>
      </c>
      <c r="K593" s="198">
        <v>44659.69</v>
      </c>
    </row>
    <row r="594" spans="3:11" x14ac:dyDescent="0.2">
      <c r="C594" s="201" t="s">
        <v>1830</v>
      </c>
      <c r="D594" s="200">
        <v>44220</v>
      </c>
      <c r="E594" s="199" t="s">
        <v>1829</v>
      </c>
      <c r="I594" s="198">
        <v>5.43</v>
      </c>
      <c r="K594" s="198">
        <v>44665.120000000003</v>
      </c>
    </row>
    <row r="595" spans="3:11" x14ac:dyDescent="0.2">
      <c r="C595" s="201" t="s">
        <v>1828</v>
      </c>
      <c r="D595" s="200">
        <v>44220</v>
      </c>
      <c r="E595" s="199" t="s">
        <v>1827</v>
      </c>
      <c r="I595" s="198">
        <v>6.29</v>
      </c>
      <c r="K595" s="198">
        <v>44671.41</v>
      </c>
    </row>
    <row r="596" spans="3:11" x14ac:dyDescent="0.2">
      <c r="C596" s="201" t="s">
        <v>161</v>
      </c>
      <c r="D596" s="200">
        <v>44220</v>
      </c>
      <c r="E596" s="199" t="s">
        <v>1826</v>
      </c>
      <c r="I596" s="198">
        <v>7.9</v>
      </c>
      <c r="K596" s="198">
        <v>44679.31</v>
      </c>
    </row>
    <row r="597" spans="3:11" x14ac:dyDescent="0.2">
      <c r="C597" s="201" t="s">
        <v>1825</v>
      </c>
      <c r="D597" s="200">
        <v>44221</v>
      </c>
      <c r="E597" s="199" t="s">
        <v>1824</v>
      </c>
      <c r="I597" s="198">
        <v>9203.6</v>
      </c>
      <c r="K597" s="198">
        <v>53882.91</v>
      </c>
    </row>
    <row r="598" spans="3:11" x14ac:dyDescent="0.2">
      <c r="C598" s="201" t="s">
        <v>160</v>
      </c>
      <c r="D598" s="200">
        <v>44221</v>
      </c>
      <c r="E598" s="199" t="s">
        <v>1823</v>
      </c>
      <c r="I598" s="198">
        <v>6</v>
      </c>
      <c r="K598" s="198">
        <v>53888.91</v>
      </c>
    </row>
    <row r="599" spans="3:11" x14ac:dyDescent="0.2">
      <c r="C599" s="201" t="s">
        <v>1822</v>
      </c>
      <c r="D599" s="200">
        <v>44221</v>
      </c>
      <c r="E599" s="199" t="s">
        <v>1821</v>
      </c>
      <c r="I599" s="198">
        <v>5.97</v>
      </c>
      <c r="K599" s="198">
        <v>53894.879999999997</v>
      </c>
    </row>
    <row r="600" spans="3:11" x14ac:dyDescent="0.2">
      <c r="C600" s="201" t="s">
        <v>1820</v>
      </c>
      <c r="D600" s="200">
        <v>44221</v>
      </c>
      <c r="E600" s="199" t="s">
        <v>1819</v>
      </c>
      <c r="I600" s="198">
        <v>1.71</v>
      </c>
      <c r="K600" s="198">
        <v>53896.59</v>
      </c>
    </row>
    <row r="601" spans="3:11" x14ac:dyDescent="0.2">
      <c r="C601" s="201" t="s">
        <v>1818</v>
      </c>
      <c r="D601" s="200">
        <v>44221</v>
      </c>
      <c r="E601" s="199" t="s">
        <v>1817</v>
      </c>
      <c r="I601" s="198">
        <v>5.45</v>
      </c>
      <c r="K601" s="198">
        <v>53902.04</v>
      </c>
    </row>
    <row r="602" spans="3:11" x14ac:dyDescent="0.2">
      <c r="C602" s="201" t="s">
        <v>1816</v>
      </c>
      <c r="D602" s="200">
        <v>44221</v>
      </c>
      <c r="E602" s="199" t="s">
        <v>1815</v>
      </c>
      <c r="I602" s="198">
        <v>6.73</v>
      </c>
      <c r="K602" s="198">
        <v>53908.77</v>
      </c>
    </row>
    <row r="603" spans="3:11" x14ac:dyDescent="0.2">
      <c r="C603" s="201" t="s">
        <v>1814</v>
      </c>
      <c r="D603" s="200">
        <v>44221</v>
      </c>
      <c r="E603" s="199" t="s">
        <v>1813</v>
      </c>
      <c r="I603" s="198">
        <v>44.03</v>
      </c>
      <c r="K603" s="198">
        <v>53952.800000000003</v>
      </c>
    </row>
    <row r="604" spans="3:11" x14ac:dyDescent="0.2">
      <c r="C604" s="201" t="s">
        <v>1812</v>
      </c>
      <c r="D604" s="200">
        <v>44221</v>
      </c>
      <c r="E604" s="199" t="s">
        <v>1811</v>
      </c>
      <c r="I604" s="198">
        <v>0.19</v>
      </c>
      <c r="K604" s="198">
        <v>53952.99</v>
      </c>
    </row>
    <row r="605" spans="3:11" x14ac:dyDescent="0.2">
      <c r="C605" s="201" t="s">
        <v>1810</v>
      </c>
      <c r="D605" s="200">
        <v>44221</v>
      </c>
      <c r="E605" s="199" t="s">
        <v>1809</v>
      </c>
      <c r="I605" s="198">
        <v>2.71</v>
      </c>
      <c r="K605" s="198">
        <v>53955.7</v>
      </c>
    </row>
    <row r="606" spans="3:11" x14ac:dyDescent="0.2">
      <c r="C606" s="201" t="s">
        <v>1808</v>
      </c>
      <c r="D606" s="200">
        <v>44221</v>
      </c>
      <c r="E606" s="199" t="s">
        <v>1807</v>
      </c>
      <c r="I606" s="198">
        <v>1.68</v>
      </c>
      <c r="K606" s="198">
        <v>53957.38</v>
      </c>
    </row>
    <row r="607" spans="3:11" x14ac:dyDescent="0.2">
      <c r="C607" s="201" t="s">
        <v>1806</v>
      </c>
      <c r="D607" s="200">
        <v>44221</v>
      </c>
      <c r="E607" s="199" t="s">
        <v>1805</v>
      </c>
      <c r="I607" s="198">
        <v>4.28</v>
      </c>
      <c r="K607" s="198">
        <v>53961.66</v>
      </c>
    </row>
    <row r="608" spans="3:11" x14ac:dyDescent="0.2">
      <c r="C608" s="201" t="s">
        <v>1804</v>
      </c>
      <c r="D608" s="200">
        <v>44221</v>
      </c>
      <c r="E608" s="199" t="s">
        <v>1803</v>
      </c>
      <c r="I608" s="198">
        <v>16.760000000000002</v>
      </c>
      <c r="K608" s="198">
        <v>53978.42</v>
      </c>
    </row>
    <row r="609" spans="3:11" x14ac:dyDescent="0.2">
      <c r="C609" s="201" t="s">
        <v>1802</v>
      </c>
      <c r="D609" s="200">
        <v>44221</v>
      </c>
      <c r="E609" s="199" t="s">
        <v>1801</v>
      </c>
      <c r="I609" s="198">
        <v>7.33</v>
      </c>
      <c r="K609" s="198">
        <v>53985.75</v>
      </c>
    </row>
    <row r="610" spans="3:11" x14ac:dyDescent="0.2">
      <c r="C610" s="201" t="s">
        <v>1800</v>
      </c>
      <c r="D610" s="200">
        <v>44221</v>
      </c>
      <c r="E610" s="199" t="s">
        <v>1799</v>
      </c>
      <c r="I610" s="198">
        <v>25.15</v>
      </c>
      <c r="K610" s="198">
        <v>54010.9</v>
      </c>
    </row>
    <row r="611" spans="3:11" x14ac:dyDescent="0.2">
      <c r="C611" s="201" t="s">
        <v>1798</v>
      </c>
      <c r="D611" s="200">
        <v>44221</v>
      </c>
      <c r="E611" s="199" t="s">
        <v>1797</v>
      </c>
      <c r="I611" s="198">
        <v>1.68</v>
      </c>
      <c r="K611" s="198">
        <v>54012.58</v>
      </c>
    </row>
    <row r="612" spans="3:11" x14ac:dyDescent="0.2">
      <c r="C612" s="201" t="s">
        <v>1796</v>
      </c>
      <c r="D612" s="200">
        <v>44221</v>
      </c>
      <c r="E612" s="199" t="s">
        <v>1795</v>
      </c>
      <c r="I612" s="198">
        <v>17.34</v>
      </c>
      <c r="K612" s="198">
        <v>54029.919999999998</v>
      </c>
    </row>
    <row r="613" spans="3:11" x14ac:dyDescent="0.2">
      <c r="C613" s="201" t="s">
        <v>1794</v>
      </c>
      <c r="D613" s="200">
        <v>44221</v>
      </c>
      <c r="E613" s="199" t="s">
        <v>1793</v>
      </c>
      <c r="I613" s="198">
        <v>20.440000000000001</v>
      </c>
      <c r="K613" s="198">
        <v>54050.36</v>
      </c>
    </row>
    <row r="614" spans="3:11" x14ac:dyDescent="0.2">
      <c r="C614" s="201" t="s">
        <v>1792</v>
      </c>
      <c r="D614" s="200">
        <v>44221</v>
      </c>
      <c r="E614" s="199" t="s">
        <v>1791</v>
      </c>
      <c r="I614" s="198">
        <v>54.38</v>
      </c>
      <c r="K614" s="198">
        <v>54104.74</v>
      </c>
    </row>
    <row r="615" spans="3:11" x14ac:dyDescent="0.2">
      <c r="C615" s="201" t="s">
        <v>1790</v>
      </c>
      <c r="D615" s="200">
        <v>44221</v>
      </c>
      <c r="E615" s="199" t="s">
        <v>1789</v>
      </c>
      <c r="I615" s="198">
        <v>1.77</v>
      </c>
      <c r="K615" s="198">
        <v>54106.51</v>
      </c>
    </row>
    <row r="616" spans="3:11" x14ac:dyDescent="0.2">
      <c r="C616" s="201" t="s">
        <v>1788</v>
      </c>
      <c r="D616" s="200">
        <v>44221</v>
      </c>
      <c r="E616" s="199" t="s">
        <v>1787</v>
      </c>
      <c r="I616" s="198">
        <v>2.13</v>
      </c>
      <c r="K616" s="198">
        <v>54108.639999999999</v>
      </c>
    </row>
    <row r="617" spans="3:11" x14ac:dyDescent="0.2">
      <c r="C617" s="201" t="s">
        <v>1786</v>
      </c>
      <c r="D617" s="200">
        <v>44221</v>
      </c>
      <c r="E617" s="199" t="s">
        <v>1785</v>
      </c>
      <c r="I617" s="198">
        <v>5.04</v>
      </c>
      <c r="K617" s="198">
        <v>54113.68</v>
      </c>
    </row>
    <row r="618" spans="3:11" x14ac:dyDescent="0.2">
      <c r="C618" s="201" t="s">
        <v>140</v>
      </c>
      <c r="D618" s="200">
        <v>44221</v>
      </c>
      <c r="E618" s="199" t="s">
        <v>1784</v>
      </c>
      <c r="I618" s="198">
        <v>8.3800000000000008</v>
      </c>
      <c r="K618" s="198">
        <v>54122.06</v>
      </c>
    </row>
    <row r="619" spans="3:11" x14ac:dyDescent="0.2">
      <c r="C619" s="201" t="s">
        <v>1783</v>
      </c>
      <c r="D619" s="200">
        <v>44221</v>
      </c>
      <c r="E619" s="199" t="s">
        <v>1782</v>
      </c>
      <c r="I619" s="198">
        <v>2.12</v>
      </c>
      <c r="K619" s="198">
        <v>54124.18</v>
      </c>
    </row>
    <row r="620" spans="3:11" x14ac:dyDescent="0.2">
      <c r="C620" s="201" t="s">
        <v>1781</v>
      </c>
      <c r="D620" s="200">
        <v>44221</v>
      </c>
      <c r="E620" s="199" t="s">
        <v>1780</v>
      </c>
      <c r="I620" s="198">
        <v>18.96</v>
      </c>
      <c r="K620" s="198">
        <v>54143.14</v>
      </c>
    </row>
    <row r="621" spans="3:11" x14ac:dyDescent="0.2">
      <c r="C621" s="201" t="s">
        <v>1779</v>
      </c>
      <c r="D621" s="200">
        <v>44221</v>
      </c>
      <c r="E621" s="199" t="s">
        <v>1778</v>
      </c>
      <c r="I621" s="198">
        <v>16.760000000000002</v>
      </c>
      <c r="K621" s="198">
        <v>54159.9</v>
      </c>
    </row>
    <row r="622" spans="3:11" x14ac:dyDescent="0.2">
      <c r="C622" s="201" t="s">
        <v>1777</v>
      </c>
      <c r="D622" s="200">
        <v>44221</v>
      </c>
      <c r="E622" s="199" t="s">
        <v>1776</v>
      </c>
      <c r="I622" s="198">
        <v>7.68</v>
      </c>
      <c r="K622" s="198">
        <v>54167.58</v>
      </c>
    </row>
    <row r="623" spans="3:11" x14ac:dyDescent="0.2">
      <c r="C623" s="201" t="s">
        <v>158</v>
      </c>
      <c r="D623" s="200">
        <v>44221</v>
      </c>
      <c r="E623" s="199" t="s">
        <v>1775</v>
      </c>
      <c r="I623" s="198">
        <v>17.489999999999998</v>
      </c>
      <c r="K623" s="198">
        <v>54185.07</v>
      </c>
    </row>
    <row r="624" spans="3:11" x14ac:dyDescent="0.2">
      <c r="C624" s="201" t="s">
        <v>157</v>
      </c>
      <c r="D624" s="200">
        <v>44221</v>
      </c>
      <c r="E624" s="199" t="s">
        <v>1774</v>
      </c>
      <c r="I624" s="198">
        <v>4.13</v>
      </c>
      <c r="K624" s="198">
        <v>54189.2</v>
      </c>
    </row>
    <row r="625" spans="3:11" x14ac:dyDescent="0.2">
      <c r="C625" s="201" t="s">
        <v>156</v>
      </c>
      <c r="D625" s="200">
        <v>44221</v>
      </c>
      <c r="E625" s="199" t="s">
        <v>1773</v>
      </c>
      <c r="I625" s="198">
        <v>4.88</v>
      </c>
      <c r="K625" s="198">
        <v>54194.080000000002</v>
      </c>
    </row>
    <row r="626" spans="3:11" x14ac:dyDescent="0.2">
      <c r="C626" s="201" t="s">
        <v>155</v>
      </c>
      <c r="D626" s="200">
        <v>44221</v>
      </c>
      <c r="E626" s="199" t="s">
        <v>1772</v>
      </c>
      <c r="I626" s="198">
        <v>10.89</v>
      </c>
      <c r="K626" s="198">
        <v>54204.97</v>
      </c>
    </row>
    <row r="627" spans="3:11" x14ac:dyDescent="0.2">
      <c r="C627" s="201" t="s">
        <v>154</v>
      </c>
      <c r="D627" s="200">
        <v>44221</v>
      </c>
      <c r="E627" s="199" t="s">
        <v>1771</v>
      </c>
      <c r="I627" s="198">
        <v>1.68</v>
      </c>
      <c r="K627" s="198">
        <v>54206.65</v>
      </c>
    </row>
    <row r="628" spans="3:11" x14ac:dyDescent="0.2">
      <c r="C628" s="201" t="s">
        <v>153</v>
      </c>
      <c r="D628" s="200">
        <v>44221</v>
      </c>
      <c r="E628" s="199" t="s">
        <v>1770</v>
      </c>
      <c r="I628" s="198">
        <v>4.24</v>
      </c>
      <c r="K628" s="198">
        <v>54210.89</v>
      </c>
    </row>
    <row r="629" spans="3:11" x14ac:dyDescent="0.2">
      <c r="C629" s="201" t="s">
        <v>152</v>
      </c>
      <c r="D629" s="200">
        <v>44221</v>
      </c>
      <c r="E629" s="199" t="s">
        <v>1769</v>
      </c>
      <c r="I629" s="198">
        <v>1.68</v>
      </c>
      <c r="K629" s="198">
        <v>54212.57</v>
      </c>
    </row>
    <row r="630" spans="3:11" x14ac:dyDescent="0.2">
      <c r="C630" s="201" t="s">
        <v>151</v>
      </c>
      <c r="D630" s="200">
        <v>44221</v>
      </c>
      <c r="E630" s="199" t="s">
        <v>1768</v>
      </c>
      <c r="I630" s="198">
        <v>2.21</v>
      </c>
      <c r="K630" s="198">
        <v>54214.78</v>
      </c>
    </row>
    <row r="631" spans="3:11" x14ac:dyDescent="0.2">
      <c r="C631" s="201" t="s">
        <v>150</v>
      </c>
      <c r="D631" s="200">
        <v>44221</v>
      </c>
      <c r="E631" s="199" t="s">
        <v>1767</v>
      </c>
      <c r="I631" s="198">
        <v>68.45</v>
      </c>
      <c r="K631" s="198">
        <v>54283.23</v>
      </c>
    </row>
    <row r="632" spans="3:11" x14ac:dyDescent="0.2">
      <c r="C632" s="201" t="s">
        <v>149</v>
      </c>
      <c r="D632" s="200">
        <v>44221</v>
      </c>
      <c r="E632" s="199" t="s">
        <v>1766</v>
      </c>
      <c r="I632" s="198">
        <v>5.04</v>
      </c>
      <c r="K632" s="198">
        <v>54288.27</v>
      </c>
    </row>
    <row r="633" spans="3:11" x14ac:dyDescent="0.2">
      <c r="C633" s="201" t="s">
        <v>148</v>
      </c>
      <c r="D633" s="200">
        <v>44221</v>
      </c>
      <c r="E633" s="199" t="s">
        <v>1765</v>
      </c>
      <c r="I633" s="198">
        <v>3.89</v>
      </c>
      <c r="K633" s="198">
        <v>54292.160000000003</v>
      </c>
    </row>
    <row r="634" spans="3:11" x14ac:dyDescent="0.2">
      <c r="C634" s="201" t="s">
        <v>130</v>
      </c>
      <c r="D634" s="200">
        <v>44221</v>
      </c>
      <c r="E634" s="199" t="s">
        <v>1764</v>
      </c>
      <c r="I634" s="198">
        <v>5.74</v>
      </c>
      <c r="K634" s="198">
        <v>54297.9</v>
      </c>
    </row>
    <row r="635" spans="3:11" x14ac:dyDescent="0.2">
      <c r="C635" s="201" t="s">
        <v>129</v>
      </c>
      <c r="D635" s="200">
        <v>44221</v>
      </c>
      <c r="E635" s="199" t="s">
        <v>1763</v>
      </c>
      <c r="I635" s="198">
        <v>2.68</v>
      </c>
      <c r="K635" s="198">
        <v>54300.58</v>
      </c>
    </row>
    <row r="636" spans="3:11" x14ac:dyDescent="0.2">
      <c r="C636" s="201" t="s">
        <v>128</v>
      </c>
      <c r="D636" s="200">
        <v>44221</v>
      </c>
      <c r="E636" s="199" t="s">
        <v>1762</v>
      </c>
      <c r="I636" s="198">
        <v>1.68</v>
      </c>
      <c r="K636" s="198">
        <v>54302.26</v>
      </c>
    </row>
    <row r="637" spans="3:11" x14ac:dyDescent="0.2">
      <c r="C637" s="201" t="s">
        <v>127</v>
      </c>
      <c r="D637" s="200">
        <v>44221</v>
      </c>
      <c r="E637" s="199" t="s">
        <v>1761</v>
      </c>
      <c r="I637" s="198">
        <v>4.13</v>
      </c>
      <c r="K637" s="198">
        <v>54306.39</v>
      </c>
    </row>
    <row r="638" spans="3:11" x14ac:dyDescent="0.2">
      <c r="C638" s="201" t="s">
        <v>126</v>
      </c>
      <c r="D638" s="200">
        <v>44221</v>
      </c>
      <c r="E638" s="199" t="s">
        <v>1760</v>
      </c>
      <c r="I638" s="198">
        <v>8.36</v>
      </c>
      <c r="K638" s="198">
        <v>54314.75</v>
      </c>
    </row>
    <row r="639" spans="3:11" x14ac:dyDescent="0.2">
      <c r="C639" s="201" t="s">
        <v>125</v>
      </c>
      <c r="D639" s="200">
        <v>44221</v>
      </c>
      <c r="E639" s="199" t="s">
        <v>1759</v>
      </c>
      <c r="I639" s="198">
        <v>4.1900000000000004</v>
      </c>
      <c r="K639" s="198">
        <v>54318.94</v>
      </c>
    </row>
    <row r="640" spans="3:11" x14ac:dyDescent="0.2">
      <c r="C640" s="201" t="s">
        <v>147</v>
      </c>
      <c r="D640" s="200">
        <v>44222</v>
      </c>
      <c r="E640" s="199" t="s">
        <v>1758</v>
      </c>
      <c r="I640" s="198">
        <v>27.65</v>
      </c>
      <c r="K640" s="198">
        <v>54346.59</v>
      </c>
    </row>
    <row r="641" spans="3:11" x14ac:dyDescent="0.2">
      <c r="C641" s="201" t="s">
        <v>146</v>
      </c>
      <c r="D641" s="200">
        <v>44222</v>
      </c>
      <c r="E641" s="199" t="s">
        <v>1757</v>
      </c>
      <c r="I641" s="198">
        <v>178.62</v>
      </c>
      <c r="K641" s="198">
        <v>54525.21</v>
      </c>
    </row>
    <row r="642" spans="3:11" x14ac:dyDescent="0.2">
      <c r="C642" s="201" t="s">
        <v>145</v>
      </c>
      <c r="D642" s="200">
        <v>44222</v>
      </c>
      <c r="E642" s="199" t="s">
        <v>1756</v>
      </c>
      <c r="I642" s="198">
        <v>14668.96</v>
      </c>
      <c r="K642" s="198">
        <v>69194.17</v>
      </c>
    </row>
    <row r="643" spans="3:11" x14ac:dyDescent="0.2">
      <c r="C643" s="201" t="s">
        <v>144</v>
      </c>
      <c r="D643" s="200">
        <v>44222</v>
      </c>
      <c r="E643" s="199" t="s">
        <v>1755</v>
      </c>
      <c r="I643" s="198">
        <v>5.7</v>
      </c>
      <c r="K643" s="198">
        <v>69199.87</v>
      </c>
    </row>
    <row r="644" spans="3:11" x14ac:dyDescent="0.2">
      <c r="C644" s="201" t="s">
        <v>143</v>
      </c>
      <c r="D644" s="200">
        <v>44222</v>
      </c>
      <c r="E644" s="199" t="s">
        <v>1754</v>
      </c>
      <c r="I644" s="198">
        <v>25.64</v>
      </c>
      <c r="K644" s="198">
        <v>69225.509999999995</v>
      </c>
    </row>
    <row r="645" spans="3:11" x14ac:dyDescent="0.2">
      <c r="C645" s="201" t="s">
        <v>142</v>
      </c>
      <c r="D645" s="200">
        <v>44222</v>
      </c>
      <c r="E645" s="199" t="s">
        <v>1753</v>
      </c>
      <c r="I645" s="198">
        <v>2.4</v>
      </c>
      <c r="K645" s="198">
        <v>69227.91</v>
      </c>
    </row>
    <row r="646" spans="3:11" x14ac:dyDescent="0.2">
      <c r="C646" s="201" t="s">
        <v>141</v>
      </c>
      <c r="D646" s="200">
        <v>44222</v>
      </c>
      <c r="E646" s="199" t="s">
        <v>1752</v>
      </c>
      <c r="I646" s="198">
        <v>33.270000000000003</v>
      </c>
      <c r="K646" s="198">
        <v>69261.179999999993</v>
      </c>
    </row>
    <row r="647" spans="3:11" x14ac:dyDescent="0.2">
      <c r="C647" s="201" t="s">
        <v>1751</v>
      </c>
      <c r="D647" s="200">
        <v>44222</v>
      </c>
      <c r="E647" s="199" t="s">
        <v>1750</v>
      </c>
      <c r="I647" s="198">
        <v>6.37</v>
      </c>
      <c r="K647" s="198">
        <v>69267.55</v>
      </c>
    </row>
    <row r="648" spans="3:11" x14ac:dyDescent="0.2">
      <c r="C648" s="201" t="s">
        <v>139</v>
      </c>
      <c r="D648" s="200">
        <v>44222</v>
      </c>
      <c r="E648" s="199" t="s">
        <v>1749</v>
      </c>
      <c r="I648" s="198">
        <v>1.81</v>
      </c>
      <c r="K648" s="198">
        <v>69269.36</v>
      </c>
    </row>
    <row r="649" spans="3:11" x14ac:dyDescent="0.2">
      <c r="C649" s="201" t="s">
        <v>138</v>
      </c>
      <c r="D649" s="200">
        <v>44222</v>
      </c>
      <c r="E649" s="199" t="s">
        <v>1748</v>
      </c>
      <c r="I649" s="198">
        <v>0.5</v>
      </c>
      <c r="K649" s="198">
        <v>69269.86</v>
      </c>
    </row>
    <row r="650" spans="3:11" x14ac:dyDescent="0.2">
      <c r="C650" s="201" t="s">
        <v>137</v>
      </c>
      <c r="D650" s="200">
        <v>44222</v>
      </c>
      <c r="E650" s="199" t="s">
        <v>1747</v>
      </c>
      <c r="I650" s="198">
        <v>5.77</v>
      </c>
      <c r="K650" s="198">
        <v>69275.63</v>
      </c>
    </row>
    <row r="651" spans="3:11" x14ac:dyDescent="0.2">
      <c r="C651" s="201" t="s">
        <v>136</v>
      </c>
      <c r="D651" s="200">
        <v>44222</v>
      </c>
      <c r="E651" s="199" t="s">
        <v>1746</v>
      </c>
      <c r="I651" s="198">
        <v>4.3</v>
      </c>
      <c r="K651" s="198">
        <v>69279.929999999993</v>
      </c>
    </row>
    <row r="652" spans="3:11" x14ac:dyDescent="0.2">
      <c r="C652" s="201" t="s">
        <v>135</v>
      </c>
      <c r="D652" s="200">
        <v>44222</v>
      </c>
      <c r="E652" s="199" t="s">
        <v>1745</v>
      </c>
      <c r="I652" s="198">
        <v>1.97</v>
      </c>
      <c r="K652" s="198">
        <v>69281.899999999994</v>
      </c>
    </row>
    <row r="653" spans="3:11" x14ac:dyDescent="0.2">
      <c r="C653" s="201" t="s">
        <v>134</v>
      </c>
      <c r="D653" s="200">
        <v>44222</v>
      </c>
      <c r="E653" s="199" t="s">
        <v>1744</v>
      </c>
      <c r="I653" s="198">
        <v>5.13</v>
      </c>
      <c r="K653" s="198">
        <v>69287.03</v>
      </c>
    </row>
    <row r="654" spans="3:11" x14ac:dyDescent="0.2">
      <c r="C654" s="201" t="s">
        <v>133</v>
      </c>
      <c r="D654" s="200">
        <v>44222</v>
      </c>
      <c r="E654" s="199" t="s">
        <v>1743</v>
      </c>
      <c r="I654" s="198">
        <v>1.44</v>
      </c>
      <c r="K654" s="198">
        <v>69288.47</v>
      </c>
    </row>
    <row r="655" spans="3:11" x14ac:dyDescent="0.2">
      <c r="C655" s="201" t="s">
        <v>132</v>
      </c>
      <c r="D655" s="200">
        <v>44222</v>
      </c>
      <c r="E655" s="199" t="s">
        <v>1742</v>
      </c>
      <c r="I655" s="198">
        <v>6.94</v>
      </c>
      <c r="K655" s="198">
        <v>69295.41</v>
      </c>
    </row>
    <row r="656" spans="3:11" x14ac:dyDescent="0.2">
      <c r="C656" s="201" t="s">
        <v>131</v>
      </c>
      <c r="D656" s="200">
        <v>44222</v>
      </c>
      <c r="E656" s="199" t="s">
        <v>1741</v>
      </c>
      <c r="I656" s="198">
        <v>16.760000000000002</v>
      </c>
      <c r="K656" s="198">
        <v>69312.17</v>
      </c>
    </row>
    <row r="657" spans="3:11" x14ac:dyDescent="0.2">
      <c r="C657" s="201" t="s">
        <v>124</v>
      </c>
      <c r="D657" s="200">
        <v>44222</v>
      </c>
      <c r="E657" s="199" t="s">
        <v>1740</v>
      </c>
      <c r="I657" s="198">
        <v>3.88</v>
      </c>
      <c r="K657" s="198">
        <v>69316.05</v>
      </c>
    </row>
    <row r="658" spans="3:11" x14ac:dyDescent="0.2">
      <c r="C658" s="201" t="s">
        <v>123</v>
      </c>
      <c r="D658" s="200">
        <v>44222</v>
      </c>
      <c r="E658" s="199" t="s">
        <v>1739</v>
      </c>
      <c r="I658" s="198">
        <v>2.13</v>
      </c>
      <c r="K658" s="198">
        <v>69318.179999999993</v>
      </c>
    </row>
    <row r="659" spans="3:11" x14ac:dyDescent="0.2">
      <c r="C659" s="201" t="s">
        <v>122</v>
      </c>
      <c r="D659" s="200">
        <v>44222</v>
      </c>
      <c r="E659" s="199" t="s">
        <v>1738</v>
      </c>
      <c r="I659" s="198">
        <v>1.74</v>
      </c>
      <c r="K659" s="198">
        <v>69319.92</v>
      </c>
    </row>
    <row r="660" spans="3:11" x14ac:dyDescent="0.2">
      <c r="C660" s="201" t="s">
        <v>121</v>
      </c>
      <c r="D660" s="200">
        <v>44222</v>
      </c>
      <c r="E660" s="199" t="s">
        <v>1737</v>
      </c>
      <c r="I660" s="198">
        <v>5.88</v>
      </c>
      <c r="K660" s="198">
        <v>69325.8</v>
      </c>
    </row>
    <row r="661" spans="3:11" x14ac:dyDescent="0.2">
      <c r="C661" s="201" t="s">
        <v>1541</v>
      </c>
      <c r="D661" s="200">
        <v>44222</v>
      </c>
      <c r="E661" s="199" t="s">
        <v>1736</v>
      </c>
      <c r="I661" s="198">
        <v>23.5</v>
      </c>
      <c r="K661" s="198">
        <v>69349.3</v>
      </c>
    </row>
    <row r="662" spans="3:11" x14ac:dyDescent="0.2">
      <c r="C662" s="201" t="s">
        <v>120</v>
      </c>
      <c r="D662" s="200">
        <v>44223</v>
      </c>
      <c r="E662" s="199" t="s">
        <v>1735</v>
      </c>
      <c r="I662" s="198">
        <v>17.32</v>
      </c>
      <c r="K662" s="198">
        <v>69366.62</v>
      </c>
    </row>
    <row r="663" spans="3:11" x14ac:dyDescent="0.2">
      <c r="C663" s="201" t="s">
        <v>1734</v>
      </c>
      <c r="D663" s="200">
        <v>44223</v>
      </c>
      <c r="E663" s="199" t="s">
        <v>1733</v>
      </c>
      <c r="I663" s="198">
        <v>5.26</v>
      </c>
      <c r="K663" s="198">
        <v>69371.88</v>
      </c>
    </row>
    <row r="664" spans="3:11" x14ac:dyDescent="0.2">
      <c r="C664" s="201" t="s">
        <v>1732</v>
      </c>
      <c r="D664" s="200">
        <v>44223</v>
      </c>
      <c r="E664" s="199" t="s">
        <v>1731</v>
      </c>
      <c r="I664" s="198">
        <v>9.5</v>
      </c>
      <c r="K664" s="198">
        <v>69381.38</v>
      </c>
    </row>
    <row r="665" spans="3:11" x14ac:dyDescent="0.2">
      <c r="C665" s="201" t="s">
        <v>119</v>
      </c>
      <c r="D665" s="200">
        <v>44223</v>
      </c>
      <c r="E665" s="199" t="s">
        <v>1730</v>
      </c>
      <c r="I665" s="198">
        <v>3.11</v>
      </c>
      <c r="K665" s="198">
        <v>69384.490000000005</v>
      </c>
    </row>
    <row r="666" spans="3:11" x14ac:dyDescent="0.2">
      <c r="C666" s="201" t="s">
        <v>118</v>
      </c>
      <c r="D666" s="200">
        <v>44223</v>
      </c>
      <c r="E666" s="199" t="s">
        <v>1729</v>
      </c>
      <c r="I666" s="198">
        <v>17.43</v>
      </c>
      <c r="K666" s="198">
        <v>69401.919999999998</v>
      </c>
    </row>
    <row r="667" spans="3:11" x14ac:dyDescent="0.2">
      <c r="C667" s="201" t="s">
        <v>117</v>
      </c>
      <c r="D667" s="200">
        <v>44223</v>
      </c>
      <c r="E667" s="199" t="s">
        <v>1728</v>
      </c>
      <c r="I667" s="198">
        <v>7.55</v>
      </c>
      <c r="K667" s="198">
        <v>69409.47</v>
      </c>
    </row>
    <row r="668" spans="3:11" x14ac:dyDescent="0.2">
      <c r="C668" s="201" t="s">
        <v>116</v>
      </c>
      <c r="D668" s="200">
        <v>44223</v>
      </c>
      <c r="E668" s="199" t="s">
        <v>1727</v>
      </c>
      <c r="I668" s="198">
        <v>1.89</v>
      </c>
      <c r="K668" s="198">
        <v>69411.360000000001</v>
      </c>
    </row>
    <row r="669" spans="3:11" x14ac:dyDescent="0.2">
      <c r="C669" s="201" t="s">
        <v>115</v>
      </c>
      <c r="D669" s="200">
        <v>44223</v>
      </c>
      <c r="E669" s="199" t="s">
        <v>1726</v>
      </c>
      <c r="I669" s="198">
        <v>5.77</v>
      </c>
      <c r="K669" s="198">
        <v>69417.13</v>
      </c>
    </row>
    <row r="670" spans="3:11" x14ac:dyDescent="0.2">
      <c r="C670" s="201" t="s">
        <v>114</v>
      </c>
      <c r="D670" s="200">
        <v>44223</v>
      </c>
      <c r="E670" s="199" t="s">
        <v>1725</v>
      </c>
      <c r="I670" s="198">
        <v>1.74</v>
      </c>
      <c r="K670" s="198">
        <v>69418.87</v>
      </c>
    </row>
    <row r="671" spans="3:11" x14ac:dyDescent="0.2">
      <c r="C671" s="201" t="s">
        <v>113</v>
      </c>
      <c r="D671" s="200">
        <v>44223</v>
      </c>
      <c r="E671" s="199" t="s">
        <v>1724</v>
      </c>
      <c r="I671" s="198">
        <v>9.59</v>
      </c>
      <c r="K671" s="198">
        <v>69428.460000000006</v>
      </c>
    </row>
    <row r="672" spans="3:11" x14ac:dyDescent="0.2">
      <c r="C672" s="201" t="s">
        <v>112</v>
      </c>
      <c r="D672" s="200">
        <v>44223</v>
      </c>
      <c r="E672" s="199" t="s">
        <v>1723</v>
      </c>
      <c r="I672" s="198">
        <v>1.68</v>
      </c>
      <c r="K672" s="198">
        <v>69430.14</v>
      </c>
    </row>
    <row r="673" spans="3:11" x14ac:dyDescent="0.2">
      <c r="C673" s="201" t="s">
        <v>111</v>
      </c>
      <c r="D673" s="200">
        <v>44223</v>
      </c>
      <c r="E673" s="199" t="s">
        <v>1722</v>
      </c>
      <c r="I673" s="198">
        <v>2.17</v>
      </c>
      <c r="K673" s="198">
        <v>69432.31</v>
      </c>
    </row>
    <row r="674" spans="3:11" x14ac:dyDescent="0.2">
      <c r="C674" s="201" t="s">
        <v>110</v>
      </c>
      <c r="D674" s="200">
        <v>44223</v>
      </c>
      <c r="E674" s="199" t="s">
        <v>1721</v>
      </c>
      <c r="I674" s="198">
        <v>9.24</v>
      </c>
      <c r="K674" s="198">
        <v>69441.55</v>
      </c>
    </row>
    <row r="675" spans="3:11" x14ac:dyDescent="0.2">
      <c r="C675" s="201" t="s">
        <v>109</v>
      </c>
      <c r="D675" s="200">
        <v>44223</v>
      </c>
      <c r="E675" s="199" t="s">
        <v>1720</v>
      </c>
      <c r="I675" s="198">
        <v>3.69</v>
      </c>
      <c r="K675" s="198">
        <v>69445.240000000005</v>
      </c>
    </row>
    <row r="676" spans="3:11" x14ac:dyDescent="0.2">
      <c r="C676" s="201" t="s">
        <v>108</v>
      </c>
      <c r="D676" s="200">
        <v>44223</v>
      </c>
      <c r="E676" s="199" t="s">
        <v>1719</v>
      </c>
      <c r="I676" s="198">
        <v>6.94</v>
      </c>
      <c r="K676" s="198">
        <v>69452.179999999993</v>
      </c>
    </row>
    <row r="677" spans="3:11" x14ac:dyDescent="0.2">
      <c r="C677" s="201" t="s">
        <v>107</v>
      </c>
      <c r="D677" s="200">
        <v>44223</v>
      </c>
      <c r="E677" s="199" t="s">
        <v>1718</v>
      </c>
      <c r="I677" s="198">
        <v>7.84</v>
      </c>
      <c r="K677" s="198">
        <v>69460.02</v>
      </c>
    </row>
    <row r="678" spans="3:11" x14ac:dyDescent="0.2">
      <c r="C678" s="201" t="s">
        <v>106</v>
      </c>
      <c r="D678" s="200">
        <v>44223</v>
      </c>
      <c r="E678" s="199" t="s">
        <v>1717</v>
      </c>
      <c r="I678" s="198">
        <v>7.46</v>
      </c>
      <c r="K678" s="198">
        <v>69467.48</v>
      </c>
    </row>
    <row r="679" spans="3:11" x14ac:dyDescent="0.2">
      <c r="C679" s="201" t="s">
        <v>105</v>
      </c>
      <c r="D679" s="200">
        <v>44223</v>
      </c>
      <c r="E679" s="199" t="s">
        <v>1716</v>
      </c>
      <c r="I679" s="198">
        <v>1.78</v>
      </c>
      <c r="K679" s="198">
        <v>69469.259999999995</v>
      </c>
    </row>
    <row r="680" spans="3:11" x14ac:dyDescent="0.2">
      <c r="C680" s="201" t="s">
        <v>104</v>
      </c>
      <c r="D680" s="200">
        <v>44223</v>
      </c>
      <c r="E680" s="199" t="s">
        <v>1715</v>
      </c>
      <c r="I680" s="198">
        <v>6.4</v>
      </c>
      <c r="K680" s="198">
        <v>69475.66</v>
      </c>
    </row>
    <row r="681" spans="3:11" x14ac:dyDescent="0.2">
      <c r="C681" s="201" t="s">
        <v>103</v>
      </c>
      <c r="D681" s="200">
        <v>44223</v>
      </c>
      <c r="E681" s="199" t="s">
        <v>1714</v>
      </c>
      <c r="I681" s="198">
        <v>11.92</v>
      </c>
      <c r="K681" s="198">
        <v>69487.58</v>
      </c>
    </row>
    <row r="682" spans="3:11" x14ac:dyDescent="0.2">
      <c r="C682" s="201" t="s">
        <v>102</v>
      </c>
      <c r="D682" s="200">
        <v>44223</v>
      </c>
      <c r="E682" s="199" t="s">
        <v>1713</v>
      </c>
      <c r="I682" s="198">
        <v>2.0499999999999998</v>
      </c>
      <c r="K682" s="198">
        <v>69489.63</v>
      </c>
    </row>
    <row r="683" spans="3:11" x14ac:dyDescent="0.2">
      <c r="C683" s="201" t="s">
        <v>101</v>
      </c>
      <c r="D683" s="200">
        <v>44223</v>
      </c>
      <c r="E683" s="199" t="s">
        <v>1712</v>
      </c>
      <c r="I683" s="198">
        <v>17.38</v>
      </c>
      <c r="K683" s="198">
        <v>69507.009999999995</v>
      </c>
    </row>
    <row r="684" spans="3:11" x14ac:dyDescent="0.2">
      <c r="C684" s="201" t="s">
        <v>100</v>
      </c>
      <c r="D684" s="200">
        <v>44223</v>
      </c>
      <c r="E684" s="199" t="s">
        <v>1711</v>
      </c>
      <c r="I684" s="198">
        <v>12.17</v>
      </c>
      <c r="K684" s="198">
        <v>69519.179999999993</v>
      </c>
    </row>
    <row r="685" spans="3:11" x14ac:dyDescent="0.2">
      <c r="C685" s="201" t="s">
        <v>1710</v>
      </c>
      <c r="D685" s="200">
        <v>44224</v>
      </c>
      <c r="E685" s="199" t="s">
        <v>1709</v>
      </c>
      <c r="I685" s="198">
        <v>22.65</v>
      </c>
      <c r="K685" s="198">
        <v>69541.83</v>
      </c>
    </row>
    <row r="686" spans="3:11" x14ac:dyDescent="0.2">
      <c r="C686" s="201" t="s">
        <v>1708</v>
      </c>
      <c r="D686" s="200">
        <v>44224</v>
      </c>
      <c r="E686" s="199" t="s">
        <v>1707</v>
      </c>
      <c r="I686" s="198">
        <v>1.94</v>
      </c>
      <c r="K686" s="198">
        <v>69543.77</v>
      </c>
    </row>
    <row r="687" spans="3:11" x14ac:dyDescent="0.2">
      <c r="C687" s="201" t="s">
        <v>1706</v>
      </c>
      <c r="D687" s="200">
        <v>44224</v>
      </c>
      <c r="E687" s="199" t="s">
        <v>1705</v>
      </c>
      <c r="I687" s="198">
        <v>5.01</v>
      </c>
      <c r="K687" s="198">
        <v>69548.78</v>
      </c>
    </row>
    <row r="688" spans="3:11" x14ac:dyDescent="0.2">
      <c r="C688" s="201" t="s">
        <v>1704</v>
      </c>
      <c r="D688" s="200">
        <v>44224</v>
      </c>
      <c r="E688" s="199" t="s">
        <v>1703</v>
      </c>
      <c r="I688" s="198">
        <v>100.25</v>
      </c>
      <c r="K688" s="198">
        <v>69649.03</v>
      </c>
    </row>
    <row r="689" spans="3:11" x14ac:dyDescent="0.2">
      <c r="C689" s="201" t="s">
        <v>99</v>
      </c>
      <c r="D689" s="200">
        <v>44224</v>
      </c>
      <c r="E689" s="199" t="s">
        <v>1702</v>
      </c>
      <c r="I689" s="198">
        <v>2.14</v>
      </c>
      <c r="K689" s="198">
        <v>69651.17</v>
      </c>
    </row>
    <row r="690" spans="3:11" x14ac:dyDescent="0.2">
      <c r="C690" s="201" t="s">
        <v>98</v>
      </c>
      <c r="D690" s="200">
        <v>44224</v>
      </c>
      <c r="E690" s="199" t="s">
        <v>1701</v>
      </c>
      <c r="I690" s="198">
        <v>7.48</v>
      </c>
      <c r="K690" s="198">
        <v>69658.649999999994</v>
      </c>
    </row>
    <row r="691" spans="3:11" x14ac:dyDescent="0.2">
      <c r="C691" s="201" t="s">
        <v>97</v>
      </c>
      <c r="D691" s="200">
        <v>44224</v>
      </c>
      <c r="E691" s="199" t="s">
        <v>1700</v>
      </c>
      <c r="I691" s="198">
        <v>3.54</v>
      </c>
      <c r="K691" s="198">
        <v>69662.19</v>
      </c>
    </row>
    <row r="692" spans="3:11" x14ac:dyDescent="0.2">
      <c r="C692" s="201" t="s">
        <v>96</v>
      </c>
      <c r="D692" s="200">
        <v>44224</v>
      </c>
      <c r="E692" s="199" t="s">
        <v>1699</v>
      </c>
      <c r="I692" s="198">
        <v>10.77</v>
      </c>
      <c r="K692" s="198">
        <v>69672.960000000006</v>
      </c>
    </row>
    <row r="693" spans="3:11" x14ac:dyDescent="0.2">
      <c r="C693" s="201" t="s">
        <v>95</v>
      </c>
      <c r="D693" s="200">
        <v>44224</v>
      </c>
      <c r="E693" s="199" t="s">
        <v>1698</v>
      </c>
      <c r="I693" s="198">
        <v>5.07</v>
      </c>
      <c r="K693" s="198">
        <v>69678.03</v>
      </c>
    </row>
    <row r="694" spans="3:11" x14ac:dyDescent="0.2">
      <c r="C694" s="201" t="s">
        <v>94</v>
      </c>
      <c r="D694" s="200">
        <v>44224</v>
      </c>
      <c r="E694" s="199" t="s">
        <v>1697</v>
      </c>
      <c r="I694" s="198">
        <v>2.1800000000000002</v>
      </c>
      <c r="K694" s="198">
        <v>69680.210000000006</v>
      </c>
    </row>
    <row r="695" spans="3:11" x14ac:dyDescent="0.2">
      <c r="C695" s="201" t="s">
        <v>93</v>
      </c>
      <c r="D695" s="200">
        <v>44224</v>
      </c>
      <c r="E695" s="199" t="s">
        <v>1696</v>
      </c>
      <c r="I695" s="198">
        <v>5.85</v>
      </c>
      <c r="K695" s="198">
        <v>69686.06</v>
      </c>
    </row>
    <row r="696" spans="3:11" x14ac:dyDescent="0.2">
      <c r="C696" s="201" t="s">
        <v>92</v>
      </c>
      <c r="D696" s="200">
        <v>44224</v>
      </c>
      <c r="E696" s="199" t="s">
        <v>1695</v>
      </c>
      <c r="I696" s="198">
        <v>5.54</v>
      </c>
      <c r="K696" s="198">
        <v>69691.600000000006</v>
      </c>
    </row>
    <row r="697" spans="3:11" x14ac:dyDescent="0.2">
      <c r="C697" s="201" t="s">
        <v>91</v>
      </c>
      <c r="D697" s="200">
        <v>44224</v>
      </c>
      <c r="E697" s="199" t="s">
        <v>1694</v>
      </c>
      <c r="I697" s="198">
        <v>3.36</v>
      </c>
      <c r="K697" s="198">
        <v>69694.960000000006</v>
      </c>
    </row>
    <row r="698" spans="3:11" x14ac:dyDescent="0.2">
      <c r="C698" s="201" t="s">
        <v>90</v>
      </c>
      <c r="D698" s="200">
        <v>44224</v>
      </c>
      <c r="E698" s="199" t="s">
        <v>1693</v>
      </c>
      <c r="I698" s="198">
        <v>1.57</v>
      </c>
      <c r="K698" s="198">
        <v>69696.53</v>
      </c>
    </row>
    <row r="699" spans="3:11" x14ac:dyDescent="0.2">
      <c r="C699" s="201" t="s">
        <v>89</v>
      </c>
      <c r="D699" s="200">
        <v>44224</v>
      </c>
      <c r="E699" s="199" t="s">
        <v>1692</v>
      </c>
      <c r="I699" s="198">
        <v>6.14</v>
      </c>
      <c r="K699" s="198">
        <v>69702.67</v>
      </c>
    </row>
    <row r="700" spans="3:11" x14ac:dyDescent="0.2">
      <c r="C700" s="201" t="s">
        <v>88</v>
      </c>
      <c r="D700" s="200">
        <v>44224</v>
      </c>
      <c r="E700" s="199" t="s">
        <v>1691</v>
      </c>
      <c r="I700" s="198">
        <v>7.13</v>
      </c>
      <c r="K700" s="198">
        <v>69709.8</v>
      </c>
    </row>
    <row r="701" spans="3:11" x14ac:dyDescent="0.2">
      <c r="C701" s="201" t="s">
        <v>70</v>
      </c>
      <c r="D701" s="200">
        <v>44224</v>
      </c>
      <c r="E701" s="199" t="s">
        <v>1690</v>
      </c>
      <c r="I701" s="198">
        <v>1.25</v>
      </c>
      <c r="K701" s="198">
        <v>69711.05</v>
      </c>
    </row>
    <row r="702" spans="3:11" x14ac:dyDescent="0.2">
      <c r="C702" s="201" t="s">
        <v>87</v>
      </c>
      <c r="D702" s="200">
        <v>44224</v>
      </c>
      <c r="E702" s="199" t="s">
        <v>1689</v>
      </c>
      <c r="I702" s="198">
        <v>8.3800000000000008</v>
      </c>
      <c r="K702" s="198">
        <v>69719.429999999993</v>
      </c>
    </row>
    <row r="703" spans="3:11" x14ac:dyDescent="0.2">
      <c r="C703" s="201" t="s">
        <v>86</v>
      </c>
      <c r="D703" s="200">
        <v>44224</v>
      </c>
      <c r="E703" s="199" t="s">
        <v>1688</v>
      </c>
      <c r="I703" s="198">
        <v>9.17</v>
      </c>
      <c r="K703" s="198">
        <v>69728.600000000006</v>
      </c>
    </row>
    <row r="704" spans="3:11" x14ac:dyDescent="0.2">
      <c r="C704" s="201" t="s">
        <v>85</v>
      </c>
      <c r="D704" s="200">
        <v>44224</v>
      </c>
      <c r="E704" s="199" t="s">
        <v>1687</v>
      </c>
      <c r="I704" s="198">
        <v>8.3800000000000008</v>
      </c>
      <c r="K704" s="198">
        <v>69736.98</v>
      </c>
    </row>
    <row r="705" spans="3:11" x14ac:dyDescent="0.2">
      <c r="C705" s="201" t="s">
        <v>84</v>
      </c>
      <c r="D705" s="200">
        <v>44224</v>
      </c>
      <c r="E705" s="199" t="s">
        <v>1686</v>
      </c>
      <c r="I705" s="198">
        <v>6.3</v>
      </c>
      <c r="K705" s="198">
        <v>69743.28</v>
      </c>
    </row>
    <row r="706" spans="3:11" x14ac:dyDescent="0.2">
      <c r="C706" s="201" t="s">
        <v>83</v>
      </c>
      <c r="D706" s="200">
        <v>44224</v>
      </c>
      <c r="E706" s="199" t="s">
        <v>1685</v>
      </c>
      <c r="I706" s="198">
        <v>1.68</v>
      </c>
      <c r="K706" s="198">
        <v>69744.960000000006</v>
      </c>
    </row>
    <row r="707" spans="3:11" x14ac:dyDescent="0.2">
      <c r="C707" s="201" t="s">
        <v>82</v>
      </c>
      <c r="D707" s="200">
        <v>44224</v>
      </c>
      <c r="E707" s="199" t="s">
        <v>1684</v>
      </c>
      <c r="I707" s="198">
        <v>3.84</v>
      </c>
      <c r="K707" s="198">
        <v>69748.800000000003</v>
      </c>
    </row>
    <row r="708" spans="3:11" x14ac:dyDescent="0.2">
      <c r="C708" s="201" t="s">
        <v>81</v>
      </c>
      <c r="D708" s="200">
        <v>44224</v>
      </c>
      <c r="E708" s="199" t="s">
        <v>1683</v>
      </c>
      <c r="I708" s="198">
        <v>1.92</v>
      </c>
      <c r="K708" s="198">
        <v>69750.720000000001</v>
      </c>
    </row>
    <row r="709" spans="3:11" x14ac:dyDescent="0.2">
      <c r="C709" s="201" t="s">
        <v>80</v>
      </c>
      <c r="D709" s="200">
        <v>44224</v>
      </c>
      <c r="E709" s="199" t="s">
        <v>1682</v>
      </c>
      <c r="I709" s="198">
        <v>7.38</v>
      </c>
      <c r="K709" s="198">
        <v>69758.100000000006</v>
      </c>
    </row>
    <row r="710" spans="3:11" x14ac:dyDescent="0.2">
      <c r="C710" s="201" t="s">
        <v>79</v>
      </c>
      <c r="D710" s="200">
        <v>44224</v>
      </c>
      <c r="E710" s="199" t="s">
        <v>1681</v>
      </c>
      <c r="I710" s="198">
        <v>9.14</v>
      </c>
      <c r="K710" s="198">
        <v>69767.240000000005</v>
      </c>
    </row>
    <row r="711" spans="3:11" x14ac:dyDescent="0.2">
      <c r="C711" s="201" t="s">
        <v>78</v>
      </c>
      <c r="D711" s="200">
        <v>44224</v>
      </c>
      <c r="E711" s="199" t="s">
        <v>1680</v>
      </c>
      <c r="I711" s="198">
        <v>10.06</v>
      </c>
      <c r="K711" s="198">
        <v>69777.3</v>
      </c>
    </row>
    <row r="712" spans="3:11" x14ac:dyDescent="0.2">
      <c r="C712" s="201" t="s">
        <v>77</v>
      </c>
      <c r="D712" s="200">
        <v>44224</v>
      </c>
      <c r="E712" s="199" t="s">
        <v>1679</v>
      </c>
      <c r="I712" s="198">
        <v>1.68</v>
      </c>
      <c r="K712" s="198">
        <v>69778.98</v>
      </c>
    </row>
    <row r="713" spans="3:11" x14ac:dyDescent="0.2">
      <c r="C713" s="201" t="s">
        <v>76</v>
      </c>
      <c r="D713" s="200">
        <v>44224</v>
      </c>
      <c r="E713" s="199" t="s">
        <v>1678</v>
      </c>
      <c r="I713" s="198">
        <v>6.14</v>
      </c>
      <c r="K713" s="198">
        <v>69785.119999999995</v>
      </c>
    </row>
    <row r="714" spans="3:11" x14ac:dyDescent="0.2">
      <c r="C714" s="201" t="s">
        <v>75</v>
      </c>
      <c r="D714" s="200">
        <v>44224</v>
      </c>
      <c r="E714" s="199" t="s">
        <v>1677</v>
      </c>
      <c r="I714" s="198">
        <v>5.41</v>
      </c>
      <c r="K714" s="198">
        <v>69790.53</v>
      </c>
    </row>
    <row r="715" spans="3:11" x14ac:dyDescent="0.2">
      <c r="C715" s="201" t="s">
        <v>74</v>
      </c>
      <c r="D715" s="200">
        <v>44224</v>
      </c>
      <c r="E715" s="199" t="s">
        <v>1676</v>
      </c>
      <c r="I715" s="198">
        <v>8.3800000000000008</v>
      </c>
      <c r="K715" s="198">
        <v>69798.91</v>
      </c>
    </row>
    <row r="716" spans="3:11" x14ac:dyDescent="0.2">
      <c r="C716" s="201" t="s">
        <v>73</v>
      </c>
      <c r="D716" s="200">
        <v>44224</v>
      </c>
      <c r="E716" s="199" t="s">
        <v>1675</v>
      </c>
      <c r="I716" s="198">
        <v>8.3800000000000008</v>
      </c>
      <c r="K716" s="198">
        <v>69807.289999999994</v>
      </c>
    </row>
    <row r="717" spans="3:11" x14ac:dyDescent="0.2">
      <c r="C717" s="201" t="s">
        <v>72</v>
      </c>
      <c r="D717" s="200">
        <v>44224</v>
      </c>
      <c r="E717" s="199" t="s">
        <v>1674</v>
      </c>
      <c r="I717" s="198">
        <v>12.3</v>
      </c>
      <c r="K717" s="198">
        <v>69819.59</v>
      </c>
    </row>
    <row r="718" spans="3:11" x14ac:dyDescent="0.2">
      <c r="C718" s="201" t="s">
        <v>71</v>
      </c>
      <c r="D718" s="200">
        <v>44224</v>
      </c>
      <c r="E718" s="199" t="s">
        <v>1673</v>
      </c>
      <c r="I718" s="198">
        <v>2.84</v>
      </c>
      <c r="K718" s="198">
        <v>69822.429999999993</v>
      </c>
    </row>
    <row r="719" spans="3:11" x14ac:dyDescent="0.2">
      <c r="C719" s="201" t="s">
        <v>1672</v>
      </c>
      <c r="D719" s="200">
        <v>44224</v>
      </c>
      <c r="E719" s="199" t="s">
        <v>1671</v>
      </c>
      <c r="I719" s="198">
        <v>0.69</v>
      </c>
      <c r="K719" s="198">
        <v>69823.12</v>
      </c>
    </row>
    <row r="720" spans="3:11" x14ac:dyDescent="0.2">
      <c r="C720" s="201" t="s">
        <v>20171</v>
      </c>
      <c r="D720" s="200">
        <v>44224</v>
      </c>
      <c r="E720" s="199" t="s">
        <v>20170</v>
      </c>
      <c r="I720" s="198">
        <v>3.36</v>
      </c>
      <c r="K720" s="198">
        <v>69826.48</v>
      </c>
    </row>
    <row r="721" spans="3:11" x14ac:dyDescent="0.2">
      <c r="C721" s="201" t="s">
        <v>1670</v>
      </c>
      <c r="D721" s="200">
        <v>44224</v>
      </c>
      <c r="E721" s="199" t="s">
        <v>1669</v>
      </c>
      <c r="I721" s="198">
        <v>12.67</v>
      </c>
      <c r="K721" s="198">
        <v>69839.149999999994</v>
      </c>
    </row>
    <row r="722" spans="3:11" x14ac:dyDescent="0.2">
      <c r="C722" s="201" t="s">
        <v>1668</v>
      </c>
      <c r="D722" s="200">
        <v>44225</v>
      </c>
      <c r="E722" s="199" t="s">
        <v>1667</v>
      </c>
      <c r="J722" s="222">
        <v>146.66999999999999</v>
      </c>
      <c r="K722" s="198">
        <v>69692.479999999996</v>
      </c>
    </row>
    <row r="723" spans="3:11" x14ac:dyDescent="0.2">
      <c r="C723" s="201" t="s">
        <v>69</v>
      </c>
      <c r="D723" s="200">
        <v>44225</v>
      </c>
      <c r="E723" s="199" t="s">
        <v>1666</v>
      </c>
      <c r="I723" s="198">
        <v>7.64</v>
      </c>
      <c r="K723" s="198">
        <v>69700.12</v>
      </c>
    </row>
    <row r="724" spans="3:11" x14ac:dyDescent="0.2">
      <c r="C724" s="201" t="s">
        <v>1665</v>
      </c>
      <c r="D724" s="200">
        <v>44225</v>
      </c>
      <c r="E724" s="199" t="s">
        <v>1664</v>
      </c>
      <c r="I724" s="198">
        <v>4.91</v>
      </c>
      <c r="K724" s="198">
        <v>69705.03</v>
      </c>
    </row>
    <row r="725" spans="3:11" x14ac:dyDescent="0.2">
      <c r="C725" s="201" t="s">
        <v>68</v>
      </c>
      <c r="D725" s="200">
        <v>44225</v>
      </c>
      <c r="E725" s="199" t="s">
        <v>1663</v>
      </c>
      <c r="I725" s="198">
        <v>9.64</v>
      </c>
      <c r="K725" s="198">
        <v>69714.67</v>
      </c>
    </row>
    <row r="726" spans="3:11" x14ac:dyDescent="0.2">
      <c r="C726" s="201" t="s">
        <v>1662</v>
      </c>
      <c r="D726" s="200">
        <v>44225</v>
      </c>
      <c r="E726" s="199" t="s">
        <v>1661</v>
      </c>
      <c r="I726" s="198">
        <v>8.77</v>
      </c>
      <c r="K726" s="198">
        <v>69723.44</v>
      </c>
    </row>
    <row r="727" spans="3:11" x14ac:dyDescent="0.2">
      <c r="C727" s="201" t="s">
        <v>67</v>
      </c>
      <c r="D727" s="200">
        <v>44225</v>
      </c>
      <c r="E727" s="199" t="s">
        <v>1660</v>
      </c>
      <c r="I727" s="198">
        <v>1.68</v>
      </c>
      <c r="K727" s="198">
        <v>69725.119999999995</v>
      </c>
    </row>
    <row r="728" spans="3:11" x14ac:dyDescent="0.2">
      <c r="C728" s="201" t="s">
        <v>66</v>
      </c>
      <c r="D728" s="200">
        <v>44225</v>
      </c>
      <c r="E728" s="199" t="s">
        <v>1659</v>
      </c>
      <c r="I728" s="198">
        <v>5.04</v>
      </c>
      <c r="K728" s="198">
        <v>69730.16</v>
      </c>
    </row>
    <row r="729" spans="3:11" x14ac:dyDescent="0.2">
      <c r="C729" s="201" t="s">
        <v>65</v>
      </c>
      <c r="D729" s="200">
        <v>44225</v>
      </c>
      <c r="E729" s="199" t="s">
        <v>1658</v>
      </c>
      <c r="I729" s="198">
        <v>4.59</v>
      </c>
      <c r="K729" s="198">
        <v>69734.75</v>
      </c>
    </row>
    <row r="730" spans="3:11" x14ac:dyDescent="0.2">
      <c r="C730" s="201" t="s">
        <v>64</v>
      </c>
      <c r="D730" s="200">
        <v>44225</v>
      </c>
      <c r="E730" s="199" t="s">
        <v>1657</v>
      </c>
      <c r="I730" s="198">
        <v>0.91</v>
      </c>
      <c r="K730" s="198">
        <v>69735.66</v>
      </c>
    </row>
    <row r="731" spans="3:11" x14ac:dyDescent="0.2">
      <c r="C731" s="201" t="s">
        <v>63</v>
      </c>
      <c r="D731" s="200">
        <v>44225</v>
      </c>
      <c r="E731" s="199" t="s">
        <v>1656</v>
      </c>
      <c r="I731" s="198">
        <v>7.19</v>
      </c>
      <c r="K731" s="198">
        <v>69742.850000000006</v>
      </c>
    </row>
    <row r="732" spans="3:11" x14ac:dyDescent="0.2">
      <c r="C732" s="201" t="s">
        <v>62</v>
      </c>
      <c r="D732" s="200">
        <v>44225</v>
      </c>
      <c r="E732" s="199" t="s">
        <v>1655</v>
      </c>
      <c r="I732" s="198">
        <v>2.71</v>
      </c>
      <c r="K732" s="198">
        <v>69745.56</v>
      </c>
    </row>
    <row r="733" spans="3:11" x14ac:dyDescent="0.2">
      <c r="C733" s="201" t="s">
        <v>61</v>
      </c>
      <c r="D733" s="200">
        <v>44225</v>
      </c>
      <c r="E733" s="199" t="s">
        <v>1654</v>
      </c>
      <c r="I733" s="198">
        <v>1.94</v>
      </c>
      <c r="K733" s="198">
        <v>69747.5</v>
      </c>
    </row>
    <row r="734" spans="3:11" x14ac:dyDescent="0.2">
      <c r="C734" s="201" t="s">
        <v>60</v>
      </c>
      <c r="D734" s="200">
        <v>44225</v>
      </c>
      <c r="E734" s="199" t="s">
        <v>1653</v>
      </c>
      <c r="I734" s="198">
        <v>28.72</v>
      </c>
      <c r="K734" s="198">
        <v>69776.22</v>
      </c>
    </row>
    <row r="735" spans="3:11" x14ac:dyDescent="0.2">
      <c r="C735" s="201" t="s">
        <v>59</v>
      </c>
      <c r="D735" s="200">
        <v>44225</v>
      </c>
      <c r="E735" s="199" t="s">
        <v>1652</v>
      </c>
      <c r="I735" s="198">
        <v>2.52</v>
      </c>
      <c r="K735" s="198">
        <v>69778.740000000005</v>
      </c>
    </row>
    <row r="736" spans="3:11" x14ac:dyDescent="0.2">
      <c r="C736" s="201" t="s">
        <v>1651</v>
      </c>
      <c r="D736" s="200">
        <v>44225</v>
      </c>
      <c r="E736" s="199" t="s">
        <v>1650</v>
      </c>
      <c r="I736" s="198">
        <v>2.8</v>
      </c>
      <c r="K736" s="198">
        <v>69781.539999999994</v>
      </c>
    </row>
    <row r="737" spans="3:11" x14ac:dyDescent="0.2">
      <c r="C737" s="201" t="s">
        <v>1649</v>
      </c>
      <c r="D737" s="200">
        <v>44225</v>
      </c>
      <c r="E737" s="199" t="s">
        <v>1648</v>
      </c>
      <c r="I737" s="198">
        <v>2.88</v>
      </c>
      <c r="K737" s="198">
        <v>69784.42</v>
      </c>
    </row>
    <row r="738" spans="3:11" x14ac:dyDescent="0.2">
      <c r="C738" s="201" t="s">
        <v>1647</v>
      </c>
      <c r="D738" s="200">
        <v>44225</v>
      </c>
      <c r="E738" s="199" t="s">
        <v>1646</v>
      </c>
      <c r="I738" s="198">
        <v>5.54</v>
      </c>
      <c r="K738" s="198">
        <v>69789.960000000006</v>
      </c>
    </row>
    <row r="739" spans="3:11" x14ac:dyDescent="0.2">
      <c r="C739" s="201" t="s">
        <v>1645</v>
      </c>
      <c r="D739" s="200">
        <v>44225</v>
      </c>
      <c r="E739" s="199" t="s">
        <v>1644</v>
      </c>
      <c r="I739" s="198">
        <v>14.64</v>
      </c>
      <c r="K739" s="198">
        <v>69804.600000000006</v>
      </c>
    </row>
    <row r="740" spans="3:11" x14ac:dyDescent="0.2">
      <c r="C740" s="201" t="s">
        <v>58</v>
      </c>
      <c r="D740" s="200">
        <v>44225</v>
      </c>
      <c r="E740" s="199" t="s">
        <v>1643</v>
      </c>
      <c r="I740" s="198">
        <v>27.03</v>
      </c>
      <c r="K740" s="198">
        <v>69831.63</v>
      </c>
    </row>
    <row r="741" spans="3:11" x14ac:dyDescent="0.2">
      <c r="C741" s="201" t="s">
        <v>57</v>
      </c>
      <c r="D741" s="200">
        <v>44225</v>
      </c>
      <c r="E741" s="199" t="s">
        <v>1642</v>
      </c>
      <c r="I741" s="198">
        <v>17.899999999999999</v>
      </c>
      <c r="K741" s="198">
        <v>69849.53</v>
      </c>
    </row>
    <row r="742" spans="3:11" x14ac:dyDescent="0.2">
      <c r="C742" s="201" t="s">
        <v>56</v>
      </c>
      <c r="D742" s="200">
        <v>44225</v>
      </c>
      <c r="E742" s="199" t="s">
        <v>1641</v>
      </c>
      <c r="I742" s="198">
        <v>6.14</v>
      </c>
      <c r="K742" s="198">
        <v>69855.67</v>
      </c>
    </row>
    <row r="743" spans="3:11" x14ac:dyDescent="0.2">
      <c r="C743" s="201" t="s">
        <v>55</v>
      </c>
      <c r="D743" s="200">
        <v>44225</v>
      </c>
      <c r="E743" s="199" t="s">
        <v>1640</v>
      </c>
      <c r="I743" s="198">
        <v>8.3800000000000008</v>
      </c>
      <c r="K743" s="198">
        <v>69864.05</v>
      </c>
    </row>
    <row r="744" spans="3:11" x14ac:dyDescent="0.2">
      <c r="C744" s="201" t="s">
        <v>54</v>
      </c>
      <c r="D744" s="200">
        <v>44225</v>
      </c>
      <c r="E744" s="199" t="s">
        <v>1639</v>
      </c>
      <c r="I744" s="198">
        <v>13.94</v>
      </c>
      <c r="K744" s="198">
        <v>69877.990000000005</v>
      </c>
    </row>
    <row r="745" spans="3:11" x14ac:dyDescent="0.2">
      <c r="C745" s="201" t="s">
        <v>53</v>
      </c>
      <c r="D745" s="200">
        <v>44225</v>
      </c>
      <c r="E745" s="199" t="s">
        <v>1638</v>
      </c>
      <c r="I745" s="198">
        <v>3.88</v>
      </c>
      <c r="K745" s="198">
        <v>69881.87</v>
      </c>
    </row>
    <row r="746" spans="3:11" x14ac:dyDescent="0.2">
      <c r="C746" s="201" t="s">
        <v>52</v>
      </c>
      <c r="D746" s="200">
        <v>44225</v>
      </c>
      <c r="E746" s="199" t="s">
        <v>1637</v>
      </c>
      <c r="I746" s="198">
        <v>8.3800000000000008</v>
      </c>
      <c r="K746" s="198">
        <v>69890.25</v>
      </c>
    </row>
    <row r="747" spans="3:11" x14ac:dyDescent="0.2">
      <c r="C747" s="201" t="s">
        <v>51</v>
      </c>
      <c r="D747" s="200">
        <v>44225</v>
      </c>
      <c r="E747" s="199" t="s">
        <v>1636</v>
      </c>
      <c r="I747" s="198">
        <v>5.3</v>
      </c>
      <c r="K747" s="198">
        <v>69895.55</v>
      </c>
    </row>
    <row r="748" spans="3:11" x14ac:dyDescent="0.2">
      <c r="C748" s="201" t="s">
        <v>50</v>
      </c>
      <c r="D748" s="200">
        <v>44225</v>
      </c>
      <c r="E748" s="199" t="s">
        <v>1635</v>
      </c>
      <c r="I748" s="198">
        <v>1.68</v>
      </c>
      <c r="K748" s="198">
        <v>69897.23</v>
      </c>
    </row>
    <row r="749" spans="3:11" x14ac:dyDescent="0.2">
      <c r="C749" s="201" t="s">
        <v>49</v>
      </c>
      <c r="D749" s="200">
        <v>44225</v>
      </c>
      <c r="E749" s="199" t="s">
        <v>1634</v>
      </c>
      <c r="I749" s="198">
        <v>8.3800000000000008</v>
      </c>
      <c r="K749" s="198">
        <v>69905.61</v>
      </c>
    </row>
    <row r="750" spans="3:11" x14ac:dyDescent="0.2">
      <c r="C750" s="201" t="s">
        <v>48</v>
      </c>
      <c r="D750" s="200">
        <v>44225</v>
      </c>
      <c r="E750" s="199" t="s">
        <v>1633</v>
      </c>
      <c r="I750" s="198">
        <v>5.04</v>
      </c>
      <c r="K750" s="198">
        <v>69910.649999999994</v>
      </c>
    </row>
    <row r="751" spans="3:11" x14ac:dyDescent="0.2">
      <c r="C751" s="201" t="s">
        <v>47</v>
      </c>
      <c r="D751" s="200">
        <v>44225</v>
      </c>
      <c r="E751" s="199" t="s">
        <v>1632</v>
      </c>
      <c r="I751" s="198">
        <v>4.43</v>
      </c>
      <c r="K751" s="198">
        <v>69915.08</v>
      </c>
    </row>
    <row r="752" spans="3:11" x14ac:dyDescent="0.2">
      <c r="C752" s="201" t="s">
        <v>24</v>
      </c>
      <c r="D752" s="200">
        <v>44225</v>
      </c>
      <c r="E752" s="199" t="s">
        <v>1631</v>
      </c>
      <c r="I752" s="198">
        <v>520.04</v>
      </c>
      <c r="K752" s="198">
        <v>70435.12</v>
      </c>
    </row>
    <row r="753" spans="3:11" x14ac:dyDescent="0.2">
      <c r="C753" s="201" t="s">
        <v>23</v>
      </c>
      <c r="D753" s="200">
        <v>44225</v>
      </c>
      <c r="E753" s="199" t="s">
        <v>1630</v>
      </c>
      <c r="I753" s="198">
        <v>4415.49</v>
      </c>
      <c r="K753" s="198">
        <v>74850.61</v>
      </c>
    </row>
    <row r="754" spans="3:11" x14ac:dyDescent="0.2">
      <c r="C754" s="201" t="s">
        <v>1538</v>
      </c>
      <c r="D754" s="200">
        <v>44225</v>
      </c>
      <c r="E754" s="199" t="s">
        <v>1629</v>
      </c>
      <c r="J754" s="222">
        <v>621.20000000000005</v>
      </c>
      <c r="K754" s="198">
        <v>74229.41</v>
      </c>
    </row>
    <row r="755" spans="3:11" x14ac:dyDescent="0.2">
      <c r="C755" s="201" t="s">
        <v>1542</v>
      </c>
      <c r="D755" s="200">
        <v>44225</v>
      </c>
      <c r="E755" s="199" t="s">
        <v>1628</v>
      </c>
      <c r="J755" s="222">
        <v>0.36</v>
      </c>
      <c r="K755" s="198">
        <v>74229.05</v>
      </c>
    </row>
    <row r="756" spans="3:11" x14ac:dyDescent="0.2">
      <c r="C756" s="201" t="s">
        <v>1537</v>
      </c>
      <c r="D756" s="200">
        <v>44225</v>
      </c>
      <c r="E756" s="199" t="s">
        <v>1627</v>
      </c>
      <c r="J756" s="222">
        <v>1.77</v>
      </c>
      <c r="K756" s="198">
        <v>74227.28</v>
      </c>
    </row>
    <row r="757" spans="3:11" x14ac:dyDescent="0.2">
      <c r="C757" s="201" t="s">
        <v>1536</v>
      </c>
      <c r="D757" s="200">
        <v>44225</v>
      </c>
      <c r="E757" s="199" t="s">
        <v>1626</v>
      </c>
      <c r="J757" s="222">
        <v>1242.3800000000001</v>
      </c>
      <c r="K757" s="198">
        <v>72984.899999999994</v>
      </c>
    </row>
    <row r="758" spans="3:11" x14ac:dyDescent="0.2">
      <c r="C758" s="201" t="s">
        <v>1535</v>
      </c>
      <c r="D758" s="200">
        <v>44225</v>
      </c>
      <c r="E758" s="199" t="s">
        <v>1625</v>
      </c>
      <c r="J758" s="222">
        <v>3.55</v>
      </c>
      <c r="K758" s="198">
        <v>72981.350000000006</v>
      </c>
    </row>
    <row r="759" spans="3:11" x14ac:dyDescent="0.2">
      <c r="C759" s="201" t="s">
        <v>1534</v>
      </c>
      <c r="D759" s="200">
        <v>44225</v>
      </c>
      <c r="E759" s="199" t="s">
        <v>1624</v>
      </c>
      <c r="J759" s="222">
        <v>0.72</v>
      </c>
      <c r="K759" s="198">
        <v>72980.63</v>
      </c>
    </row>
    <row r="760" spans="3:11" x14ac:dyDescent="0.2">
      <c r="C760" s="201" t="s">
        <v>1558</v>
      </c>
      <c r="D760" s="200">
        <v>44225</v>
      </c>
      <c r="E760" s="199" t="s">
        <v>1623</v>
      </c>
      <c r="J760" s="222">
        <v>540</v>
      </c>
      <c r="K760" s="198">
        <v>72440.63</v>
      </c>
    </row>
    <row r="761" spans="3:11" x14ac:dyDescent="0.2">
      <c r="C761" s="201" t="s">
        <v>46</v>
      </c>
      <c r="D761" s="200">
        <v>44226</v>
      </c>
      <c r="E761" s="199" t="s">
        <v>1622</v>
      </c>
      <c r="I761" s="198">
        <v>4.07</v>
      </c>
      <c r="K761" s="198">
        <v>72444.7</v>
      </c>
    </row>
    <row r="762" spans="3:11" x14ac:dyDescent="0.2">
      <c r="C762" s="201" t="s">
        <v>45</v>
      </c>
      <c r="D762" s="200">
        <v>44226</v>
      </c>
      <c r="E762" s="199" t="s">
        <v>1621</v>
      </c>
      <c r="I762" s="198">
        <v>3.23</v>
      </c>
      <c r="K762" s="198">
        <v>72447.929999999993</v>
      </c>
    </row>
    <row r="763" spans="3:11" x14ac:dyDescent="0.2">
      <c r="C763" s="201" t="s">
        <v>44</v>
      </c>
      <c r="D763" s="200">
        <v>44226</v>
      </c>
      <c r="E763" s="199" t="s">
        <v>1620</v>
      </c>
      <c r="I763" s="198">
        <v>4.57</v>
      </c>
      <c r="K763" s="198">
        <v>72452.5</v>
      </c>
    </row>
    <row r="764" spans="3:11" x14ac:dyDescent="0.2">
      <c r="C764" s="201" t="s">
        <v>43</v>
      </c>
      <c r="D764" s="200">
        <v>44226</v>
      </c>
      <c r="E764" s="199" t="s">
        <v>1619</v>
      </c>
      <c r="I764" s="198">
        <v>8.41</v>
      </c>
      <c r="K764" s="198">
        <v>72460.91</v>
      </c>
    </row>
    <row r="765" spans="3:11" x14ac:dyDescent="0.2">
      <c r="C765" s="201" t="s">
        <v>42</v>
      </c>
      <c r="D765" s="200">
        <v>44226</v>
      </c>
      <c r="E765" s="199" t="s">
        <v>1618</v>
      </c>
      <c r="I765" s="198">
        <v>2.0699999999999998</v>
      </c>
      <c r="K765" s="198">
        <v>72462.98</v>
      </c>
    </row>
    <row r="766" spans="3:11" x14ac:dyDescent="0.2">
      <c r="C766" s="201" t="s">
        <v>41</v>
      </c>
      <c r="D766" s="200">
        <v>44226</v>
      </c>
      <c r="E766" s="199" t="s">
        <v>1617</v>
      </c>
      <c r="I766" s="198">
        <v>6.29</v>
      </c>
      <c r="K766" s="198">
        <v>72469.27</v>
      </c>
    </row>
    <row r="767" spans="3:11" x14ac:dyDescent="0.2">
      <c r="C767" s="201" t="s">
        <v>40</v>
      </c>
      <c r="D767" s="200">
        <v>44226</v>
      </c>
      <c r="E767" s="199" t="s">
        <v>1616</v>
      </c>
      <c r="I767" s="198">
        <v>6.55</v>
      </c>
      <c r="K767" s="198">
        <v>72475.820000000007</v>
      </c>
    </row>
    <row r="768" spans="3:11" x14ac:dyDescent="0.2">
      <c r="C768" s="201" t="s">
        <v>39</v>
      </c>
      <c r="D768" s="200">
        <v>44226</v>
      </c>
      <c r="E768" s="199" t="s">
        <v>1615</v>
      </c>
      <c r="I768" s="198">
        <v>16.97</v>
      </c>
      <c r="K768" s="198">
        <v>72492.789999999994</v>
      </c>
    </row>
    <row r="769" spans="3:11" x14ac:dyDescent="0.2">
      <c r="C769" s="201" t="s">
        <v>38</v>
      </c>
      <c r="D769" s="200">
        <v>44226</v>
      </c>
      <c r="E769" s="199" t="s">
        <v>1614</v>
      </c>
      <c r="I769" s="198">
        <v>7.17</v>
      </c>
      <c r="K769" s="198">
        <v>72499.960000000006</v>
      </c>
    </row>
    <row r="770" spans="3:11" x14ac:dyDescent="0.2">
      <c r="C770" s="201" t="s">
        <v>37</v>
      </c>
      <c r="D770" s="200">
        <v>44226</v>
      </c>
      <c r="E770" s="199" t="s">
        <v>1613</v>
      </c>
      <c r="I770" s="198">
        <v>1.69</v>
      </c>
      <c r="K770" s="198">
        <v>72501.649999999994</v>
      </c>
    </row>
    <row r="771" spans="3:11" x14ac:dyDescent="0.2">
      <c r="C771" s="201" t="s">
        <v>36</v>
      </c>
      <c r="D771" s="200">
        <v>44226</v>
      </c>
      <c r="E771" s="199" t="s">
        <v>1612</v>
      </c>
      <c r="I771" s="198">
        <v>1.68</v>
      </c>
      <c r="K771" s="198">
        <v>72503.33</v>
      </c>
    </row>
    <row r="772" spans="3:11" x14ac:dyDescent="0.2">
      <c r="C772" s="201" t="s">
        <v>35</v>
      </c>
      <c r="D772" s="200">
        <v>44226</v>
      </c>
      <c r="E772" s="199" t="s">
        <v>1611</v>
      </c>
      <c r="I772" s="198">
        <v>6.94</v>
      </c>
      <c r="K772" s="198">
        <v>72510.27</v>
      </c>
    </row>
    <row r="773" spans="3:11" x14ac:dyDescent="0.2">
      <c r="C773" s="201" t="s">
        <v>34</v>
      </c>
      <c r="D773" s="200">
        <v>44226</v>
      </c>
      <c r="E773" s="199" t="s">
        <v>1610</v>
      </c>
      <c r="I773" s="198">
        <v>6.68</v>
      </c>
      <c r="K773" s="198">
        <v>72516.95</v>
      </c>
    </row>
    <row r="774" spans="3:11" x14ac:dyDescent="0.2">
      <c r="C774" s="201" t="s">
        <v>33</v>
      </c>
      <c r="D774" s="200">
        <v>44226</v>
      </c>
      <c r="E774" s="199" t="s">
        <v>1609</v>
      </c>
      <c r="I774" s="198">
        <v>2.21</v>
      </c>
      <c r="K774" s="198">
        <v>72519.16</v>
      </c>
    </row>
    <row r="775" spans="3:11" x14ac:dyDescent="0.2">
      <c r="C775" s="201" t="s">
        <v>32</v>
      </c>
      <c r="D775" s="200">
        <v>44226</v>
      </c>
      <c r="E775" s="199" t="s">
        <v>1608</v>
      </c>
      <c r="I775" s="198">
        <v>1.88</v>
      </c>
      <c r="K775" s="198">
        <v>72521.039999999994</v>
      </c>
    </row>
    <row r="776" spans="3:11" x14ac:dyDescent="0.2">
      <c r="C776" s="201" t="s">
        <v>31</v>
      </c>
      <c r="D776" s="200">
        <v>44227</v>
      </c>
      <c r="E776" s="199" t="s">
        <v>1607</v>
      </c>
      <c r="I776" s="198">
        <v>5.29</v>
      </c>
      <c r="K776" s="198">
        <v>72526.33</v>
      </c>
    </row>
    <row r="777" spans="3:11" x14ac:dyDescent="0.2">
      <c r="C777" s="201" t="s">
        <v>30</v>
      </c>
      <c r="D777" s="200">
        <v>44227</v>
      </c>
      <c r="E777" s="199" t="s">
        <v>1606</v>
      </c>
      <c r="I777" s="198">
        <v>2.17</v>
      </c>
      <c r="K777" s="198">
        <v>72528.5</v>
      </c>
    </row>
    <row r="778" spans="3:11" x14ac:dyDescent="0.2">
      <c r="C778" s="201" t="s">
        <v>29</v>
      </c>
      <c r="D778" s="200">
        <v>44227</v>
      </c>
      <c r="E778" s="199" t="s">
        <v>1605</v>
      </c>
      <c r="I778" s="198">
        <v>2.2000000000000002</v>
      </c>
      <c r="K778" s="198">
        <v>72530.7</v>
      </c>
    </row>
    <row r="779" spans="3:11" x14ac:dyDescent="0.2">
      <c r="C779" s="201" t="s">
        <v>28</v>
      </c>
      <c r="D779" s="200">
        <v>44227</v>
      </c>
      <c r="E779" s="199" t="s">
        <v>1604</v>
      </c>
      <c r="I779" s="198">
        <v>1.68</v>
      </c>
      <c r="K779" s="198">
        <v>72532.38</v>
      </c>
    </row>
    <row r="780" spans="3:11" x14ac:dyDescent="0.2">
      <c r="C780" s="201" t="s">
        <v>27</v>
      </c>
      <c r="D780" s="200">
        <v>44227</v>
      </c>
      <c r="E780" s="199" t="s">
        <v>1603</v>
      </c>
      <c r="I780" s="198">
        <v>9.9700000000000006</v>
      </c>
      <c r="K780" s="198">
        <v>72542.350000000006</v>
      </c>
    </row>
    <row r="781" spans="3:11" x14ac:dyDescent="0.2">
      <c r="C781" s="201" t="s">
        <v>26</v>
      </c>
      <c r="D781" s="200">
        <v>44227</v>
      </c>
      <c r="E781" s="199" t="s">
        <v>1602</v>
      </c>
      <c r="I781" s="198">
        <v>6.6</v>
      </c>
      <c r="K781" s="198">
        <v>72548.95</v>
      </c>
    </row>
    <row r="782" spans="3:11" x14ac:dyDescent="0.2">
      <c r="C782" s="201" t="s">
        <v>25</v>
      </c>
      <c r="D782" s="200">
        <v>44227</v>
      </c>
      <c r="E782" s="199" t="s">
        <v>1601</v>
      </c>
      <c r="I782" s="198">
        <v>4.33</v>
      </c>
      <c r="K782" s="198">
        <v>72553.279999999999</v>
      </c>
    </row>
    <row r="783" spans="3:11" x14ac:dyDescent="0.2">
      <c r="C783" s="201" t="s">
        <v>1544</v>
      </c>
      <c r="D783" s="200">
        <v>44227</v>
      </c>
      <c r="E783" s="199" t="s">
        <v>1600</v>
      </c>
      <c r="J783" s="222">
        <v>744.8</v>
      </c>
      <c r="K783" s="198">
        <v>71808.479999999996</v>
      </c>
    </row>
    <row r="784" spans="3:11" x14ac:dyDescent="0.2">
      <c r="C784" s="201" t="s">
        <v>1539</v>
      </c>
      <c r="D784" s="200">
        <v>44227</v>
      </c>
      <c r="E784" s="199" t="s">
        <v>1599</v>
      </c>
      <c r="J784" s="222">
        <v>600</v>
      </c>
      <c r="K784" s="198">
        <v>71208.479999999996</v>
      </c>
    </row>
    <row r="785" spans="3:11" x14ac:dyDescent="0.2">
      <c r="C785" s="201" t="s">
        <v>1560</v>
      </c>
      <c r="D785" s="200">
        <v>44227</v>
      </c>
      <c r="E785" s="199" t="s">
        <v>1598</v>
      </c>
      <c r="J785" s="222">
        <v>1067.47</v>
      </c>
      <c r="K785" s="198">
        <v>70141.009999999995</v>
      </c>
    </row>
    <row r="786" spans="3:11" x14ac:dyDescent="0.2">
      <c r="C786" s="201" t="s">
        <v>1555</v>
      </c>
      <c r="D786" s="200">
        <v>44227</v>
      </c>
      <c r="E786" s="199" t="s">
        <v>1597</v>
      </c>
      <c r="J786" s="222">
        <v>2972.27</v>
      </c>
      <c r="K786" s="198">
        <v>67168.740000000005</v>
      </c>
    </row>
    <row r="787" spans="3:11" x14ac:dyDescent="0.2">
      <c r="C787" s="201" t="s">
        <v>12228</v>
      </c>
      <c r="D787" s="200">
        <v>44227</v>
      </c>
      <c r="E787" s="199" t="s">
        <v>20169</v>
      </c>
      <c r="J787" s="222">
        <v>98.12</v>
      </c>
      <c r="K787" s="198">
        <v>67070.62</v>
      </c>
    </row>
    <row r="788" spans="3:11" x14ac:dyDescent="0.2">
      <c r="C788" s="197" t="s">
        <v>22</v>
      </c>
      <c r="D788" s="196">
        <v>58382.89</v>
      </c>
      <c r="E788" s="197" t="s">
        <v>21</v>
      </c>
      <c r="F788" s="196">
        <v>36357.379999999997</v>
      </c>
      <c r="G788" s="197" t="s">
        <v>20</v>
      </c>
      <c r="H788" s="196">
        <v>27669.65</v>
      </c>
      <c r="J788" s="197" t="s">
        <v>19</v>
      </c>
      <c r="K788" s="196">
        <v>67070.62</v>
      </c>
    </row>
    <row r="791" spans="3:11" x14ac:dyDescent="0.2">
      <c r="E791" s="87" t="s">
        <v>18</v>
      </c>
      <c r="K791" s="86" t="s">
        <v>17</v>
      </c>
    </row>
  </sheetData>
  <pageMargins left="0.75" right="0.75" top="1" bottom="1" header="0" footer="0"/>
  <pageSetup orientation="portrait" errors="NA" horizontalDpi="120" verticalDpi="72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EBAC9-5948-4B59-90A5-F025BABC1845}">
  <sheetPr>
    <pageSetUpPr fitToPage="1"/>
  </sheetPr>
  <dimension ref="A1:O745"/>
  <sheetViews>
    <sheetView topLeftCell="A465" workbookViewId="0">
      <selection activeCell="H490" sqref="H490"/>
    </sheetView>
  </sheetViews>
  <sheetFormatPr baseColWidth="10" defaultRowHeight="12.75" x14ac:dyDescent="0.2"/>
  <cols>
    <col min="1" max="2" width="11.42578125" style="122"/>
    <col min="3" max="3" width="22.140625" style="122" customWidth="1"/>
    <col min="4" max="4" width="12.42578125" style="122" customWidth="1"/>
    <col min="5" max="5" width="11.42578125" style="122"/>
    <col min="6" max="6" width="15.42578125" style="122" customWidth="1"/>
    <col min="7" max="259" width="11.42578125" style="122"/>
    <col min="260" max="260" width="12.42578125" style="122" customWidth="1"/>
    <col min="261" max="515" width="11.42578125" style="122"/>
    <col min="516" max="516" width="12.42578125" style="122" customWidth="1"/>
    <col min="517" max="771" width="11.42578125" style="122"/>
    <col min="772" max="772" width="12.42578125" style="122" customWidth="1"/>
    <col min="773" max="1027" width="11.42578125" style="122"/>
    <col min="1028" max="1028" width="12.42578125" style="122" customWidth="1"/>
    <col min="1029" max="1283" width="11.42578125" style="122"/>
    <col min="1284" max="1284" width="12.42578125" style="122" customWidth="1"/>
    <col min="1285" max="1539" width="11.42578125" style="122"/>
    <col min="1540" max="1540" width="12.42578125" style="122" customWidth="1"/>
    <col min="1541" max="1795" width="11.42578125" style="122"/>
    <col min="1796" max="1796" width="12.42578125" style="122" customWidth="1"/>
    <col min="1797" max="2051" width="11.42578125" style="122"/>
    <col min="2052" max="2052" width="12.42578125" style="122" customWidth="1"/>
    <col min="2053" max="2307" width="11.42578125" style="122"/>
    <col min="2308" max="2308" width="12.42578125" style="122" customWidth="1"/>
    <col min="2309" max="2563" width="11.42578125" style="122"/>
    <col min="2564" max="2564" width="12.42578125" style="122" customWidth="1"/>
    <col min="2565" max="2819" width="11.42578125" style="122"/>
    <col min="2820" max="2820" width="12.42578125" style="122" customWidth="1"/>
    <col min="2821" max="3075" width="11.42578125" style="122"/>
    <col min="3076" max="3076" width="12.42578125" style="122" customWidth="1"/>
    <col min="3077" max="3331" width="11.42578125" style="122"/>
    <col min="3332" max="3332" width="12.42578125" style="122" customWidth="1"/>
    <col min="3333" max="3587" width="11.42578125" style="122"/>
    <col min="3588" max="3588" width="12.42578125" style="122" customWidth="1"/>
    <col min="3589" max="3843" width="11.42578125" style="122"/>
    <col min="3844" max="3844" width="12.42578125" style="122" customWidth="1"/>
    <col min="3845" max="4099" width="11.42578125" style="122"/>
    <col min="4100" max="4100" width="12.42578125" style="122" customWidth="1"/>
    <col min="4101" max="4355" width="11.42578125" style="122"/>
    <col min="4356" max="4356" width="12.42578125" style="122" customWidth="1"/>
    <col min="4357" max="4611" width="11.42578125" style="122"/>
    <col min="4612" max="4612" width="12.42578125" style="122" customWidth="1"/>
    <col min="4613" max="4867" width="11.42578125" style="122"/>
    <col min="4868" max="4868" width="12.42578125" style="122" customWidth="1"/>
    <col min="4869" max="5123" width="11.42578125" style="122"/>
    <col min="5124" max="5124" width="12.42578125" style="122" customWidth="1"/>
    <col min="5125" max="5379" width="11.42578125" style="122"/>
    <col min="5380" max="5380" width="12.42578125" style="122" customWidth="1"/>
    <col min="5381" max="5635" width="11.42578125" style="122"/>
    <col min="5636" max="5636" width="12.42578125" style="122" customWidth="1"/>
    <col min="5637" max="5891" width="11.42578125" style="122"/>
    <col min="5892" max="5892" width="12.42578125" style="122" customWidth="1"/>
    <col min="5893" max="6147" width="11.42578125" style="122"/>
    <col min="6148" max="6148" width="12.42578125" style="122" customWidth="1"/>
    <col min="6149" max="6403" width="11.42578125" style="122"/>
    <col min="6404" max="6404" width="12.42578125" style="122" customWidth="1"/>
    <col min="6405" max="6659" width="11.42578125" style="122"/>
    <col min="6660" max="6660" width="12.42578125" style="122" customWidth="1"/>
    <col min="6661" max="6915" width="11.42578125" style="122"/>
    <col min="6916" max="6916" width="12.42578125" style="122" customWidth="1"/>
    <col min="6917" max="7171" width="11.42578125" style="122"/>
    <col min="7172" max="7172" width="12.42578125" style="122" customWidth="1"/>
    <col min="7173" max="7427" width="11.42578125" style="122"/>
    <col min="7428" max="7428" width="12.42578125" style="122" customWidth="1"/>
    <col min="7429" max="7683" width="11.42578125" style="122"/>
    <col min="7684" max="7684" width="12.42578125" style="122" customWidth="1"/>
    <col min="7685" max="7939" width="11.42578125" style="122"/>
    <col min="7940" max="7940" width="12.42578125" style="122" customWidth="1"/>
    <col min="7941" max="8195" width="11.42578125" style="122"/>
    <col min="8196" max="8196" width="12.42578125" style="122" customWidth="1"/>
    <col min="8197" max="8451" width="11.42578125" style="122"/>
    <col min="8452" max="8452" width="12.42578125" style="122" customWidth="1"/>
    <col min="8453" max="8707" width="11.42578125" style="122"/>
    <col min="8708" max="8708" width="12.42578125" style="122" customWidth="1"/>
    <col min="8709" max="8963" width="11.42578125" style="122"/>
    <col min="8964" max="8964" width="12.42578125" style="122" customWidth="1"/>
    <col min="8965" max="9219" width="11.42578125" style="122"/>
    <col min="9220" max="9220" width="12.42578125" style="122" customWidth="1"/>
    <col min="9221" max="9475" width="11.42578125" style="122"/>
    <col min="9476" max="9476" width="12.42578125" style="122" customWidth="1"/>
    <col min="9477" max="9731" width="11.42578125" style="122"/>
    <col min="9732" max="9732" width="12.42578125" style="122" customWidth="1"/>
    <col min="9733" max="9987" width="11.42578125" style="122"/>
    <col min="9988" max="9988" width="12.42578125" style="122" customWidth="1"/>
    <col min="9989" max="10243" width="11.42578125" style="122"/>
    <col min="10244" max="10244" width="12.42578125" style="122" customWidth="1"/>
    <col min="10245" max="10499" width="11.42578125" style="122"/>
    <col min="10500" max="10500" width="12.42578125" style="122" customWidth="1"/>
    <col min="10501" max="10755" width="11.42578125" style="122"/>
    <col min="10756" max="10756" width="12.42578125" style="122" customWidth="1"/>
    <col min="10757" max="11011" width="11.42578125" style="122"/>
    <col min="11012" max="11012" width="12.42578125" style="122" customWidth="1"/>
    <col min="11013" max="11267" width="11.42578125" style="122"/>
    <col min="11268" max="11268" width="12.42578125" style="122" customWidth="1"/>
    <col min="11269" max="11523" width="11.42578125" style="122"/>
    <col min="11524" max="11524" width="12.42578125" style="122" customWidth="1"/>
    <col min="11525" max="11779" width="11.42578125" style="122"/>
    <col min="11780" max="11780" width="12.42578125" style="122" customWidth="1"/>
    <col min="11781" max="12035" width="11.42578125" style="122"/>
    <col min="12036" max="12036" width="12.42578125" style="122" customWidth="1"/>
    <col min="12037" max="12291" width="11.42578125" style="122"/>
    <col min="12292" max="12292" width="12.42578125" style="122" customWidth="1"/>
    <col min="12293" max="12547" width="11.42578125" style="122"/>
    <col min="12548" max="12548" width="12.42578125" style="122" customWidth="1"/>
    <col min="12549" max="12803" width="11.42578125" style="122"/>
    <col min="12804" max="12804" width="12.42578125" style="122" customWidth="1"/>
    <col min="12805" max="13059" width="11.42578125" style="122"/>
    <col min="13060" max="13060" width="12.42578125" style="122" customWidth="1"/>
    <col min="13061" max="13315" width="11.42578125" style="122"/>
    <col min="13316" max="13316" width="12.42578125" style="122" customWidth="1"/>
    <col min="13317" max="13571" width="11.42578125" style="122"/>
    <col min="13572" max="13572" width="12.42578125" style="122" customWidth="1"/>
    <col min="13573" max="13827" width="11.42578125" style="122"/>
    <col min="13828" max="13828" width="12.42578125" style="122" customWidth="1"/>
    <col min="13829" max="14083" width="11.42578125" style="122"/>
    <col min="14084" max="14084" width="12.42578125" style="122" customWidth="1"/>
    <col min="14085" max="14339" width="11.42578125" style="122"/>
    <col min="14340" max="14340" width="12.42578125" style="122" customWidth="1"/>
    <col min="14341" max="14595" width="11.42578125" style="122"/>
    <col min="14596" max="14596" width="12.42578125" style="122" customWidth="1"/>
    <col min="14597" max="14851" width="11.42578125" style="122"/>
    <col min="14852" max="14852" width="12.42578125" style="122" customWidth="1"/>
    <col min="14853" max="15107" width="11.42578125" style="122"/>
    <col min="15108" max="15108" width="12.42578125" style="122" customWidth="1"/>
    <col min="15109" max="15363" width="11.42578125" style="122"/>
    <col min="15364" max="15364" width="12.42578125" style="122" customWidth="1"/>
    <col min="15365" max="15619" width="11.42578125" style="122"/>
    <col min="15620" max="15620" width="12.42578125" style="122" customWidth="1"/>
    <col min="15621" max="15875" width="11.42578125" style="122"/>
    <col min="15876" max="15876" width="12.42578125" style="122" customWidth="1"/>
    <col min="15877" max="16131" width="11.42578125" style="122"/>
    <col min="16132" max="16132" width="12.42578125" style="122" customWidth="1"/>
    <col min="16133" max="16384" width="11.42578125" style="122"/>
  </cols>
  <sheetData>
    <row r="1" spans="1:8" ht="13.5" thickBot="1" x14ac:dyDescent="0.25">
      <c r="A1" s="290" t="s">
        <v>6125</v>
      </c>
      <c r="B1" s="291"/>
      <c r="C1" s="291"/>
      <c r="D1" s="291"/>
      <c r="E1" s="291"/>
      <c r="F1" s="291"/>
      <c r="G1" s="120"/>
      <c r="H1" s="121"/>
    </row>
    <row r="2" spans="1:8" x14ac:dyDescent="0.2">
      <c r="A2" s="123" t="s">
        <v>1080</v>
      </c>
      <c r="B2" s="124" t="s">
        <v>1079</v>
      </c>
      <c r="C2" s="124" t="s">
        <v>1078</v>
      </c>
      <c r="D2" s="124" t="s">
        <v>525</v>
      </c>
      <c r="E2" s="124" t="s">
        <v>1077</v>
      </c>
      <c r="F2" s="124" t="s">
        <v>1076</v>
      </c>
      <c r="G2" s="125" t="s">
        <v>1075</v>
      </c>
      <c r="H2" s="126" t="s">
        <v>545</v>
      </c>
    </row>
    <row r="3" spans="1:8" s="130" customFormat="1" x14ac:dyDescent="0.2">
      <c r="A3" s="127" t="s">
        <v>3580</v>
      </c>
      <c r="B3" s="127" t="s">
        <v>3581</v>
      </c>
      <c r="C3" s="127" t="s">
        <v>3582</v>
      </c>
      <c r="D3" s="127" t="s">
        <v>3583</v>
      </c>
      <c r="E3" s="128">
        <v>10.48</v>
      </c>
      <c r="F3" s="127" t="s">
        <v>3584</v>
      </c>
      <c r="G3" s="127" t="s">
        <v>640</v>
      </c>
      <c r="H3" s="129">
        <v>15581</v>
      </c>
    </row>
    <row r="4" spans="1:8" s="130" customFormat="1" x14ac:dyDescent="0.2">
      <c r="A4" s="127" t="s">
        <v>3580</v>
      </c>
      <c r="B4" s="127" t="s">
        <v>3585</v>
      </c>
      <c r="C4" s="127" t="s">
        <v>3586</v>
      </c>
      <c r="D4" s="127" t="s">
        <v>1229</v>
      </c>
      <c r="E4" s="128">
        <v>4.04</v>
      </c>
      <c r="F4" s="127" t="s">
        <v>1228</v>
      </c>
      <c r="G4" s="127" t="s">
        <v>640</v>
      </c>
      <c r="H4" s="129">
        <v>15582</v>
      </c>
    </row>
    <row r="5" spans="1:8" s="130" customFormat="1" x14ac:dyDescent="0.2">
      <c r="A5" s="127" t="s">
        <v>3580</v>
      </c>
      <c r="B5" s="127" t="s">
        <v>3587</v>
      </c>
      <c r="C5" s="127" t="s">
        <v>3588</v>
      </c>
      <c r="D5" s="127" t="s">
        <v>3589</v>
      </c>
      <c r="E5" s="128">
        <v>4.62</v>
      </c>
      <c r="F5" s="127" t="s">
        <v>3590</v>
      </c>
      <c r="G5" s="127" t="s">
        <v>640</v>
      </c>
      <c r="H5" s="129">
        <v>15583</v>
      </c>
    </row>
    <row r="6" spans="1:8" s="130" customFormat="1" x14ac:dyDescent="0.2">
      <c r="A6" s="127" t="s">
        <v>3580</v>
      </c>
      <c r="B6" s="127" t="s">
        <v>3591</v>
      </c>
      <c r="C6" s="127" t="s">
        <v>3592</v>
      </c>
      <c r="D6" s="127" t="s">
        <v>3593</v>
      </c>
      <c r="E6" s="128">
        <v>41.26</v>
      </c>
      <c r="F6" s="127" t="s">
        <v>3594</v>
      </c>
      <c r="G6" s="127" t="s">
        <v>640</v>
      </c>
      <c r="H6" s="129">
        <v>15584</v>
      </c>
    </row>
    <row r="7" spans="1:8" s="130" customFormat="1" x14ac:dyDescent="0.2">
      <c r="A7" s="127" t="s">
        <v>3580</v>
      </c>
      <c r="B7" s="127" t="s">
        <v>3595</v>
      </c>
      <c r="C7" s="127" t="s">
        <v>3596</v>
      </c>
      <c r="D7" s="127" t="s">
        <v>3597</v>
      </c>
      <c r="E7" s="128">
        <v>1.68</v>
      </c>
      <c r="F7" s="127" t="s">
        <v>3598</v>
      </c>
      <c r="G7" s="127" t="s">
        <v>640</v>
      </c>
      <c r="H7" s="129">
        <v>15585</v>
      </c>
    </row>
    <row r="8" spans="1:8" s="130" customFormat="1" x14ac:dyDescent="0.2">
      <c r="A8" s="127" t="s">
        <v>3580</v>
      </c>
      <c r="B8" s="127" t="s">
        <v>3599</v>
      </c>
      <c r="C8" s="127" t="s">
        <v>3600</v>
      </c>
      <c r="D8" s="127" t="s">
        <v>3601</v>
      </c>
      <c r="E8" s="128">
        <v>3.36</v>
      </c>
      <c r="F8" s="127" t="s">
        <v>3602</v>
      </c>
      <c r="G8" s="127" t="s">
        <v>640</v>
      </c>
      <c r="H8" s="129">
        <v>15586</v>
      </c>
    </row>
    <row r="9" spans="1:8" s="130" customFormat="1" x14ac:dyDescent="0.2">
      <c r="A9" s="127" t="s">
        <v>3580</v>
      </c>
      <c r="B9" s="127" t="s">
        <v>3603</v>
      </c>
      <c r="C9" s="127" t="s">
        <v>3604</v>
      </c>
      <c r="D9" s="127" t="s">
        <v>3605</v>
      </c>
      <c r="E9" s="128">
        <v>12.13</v>
      </c>
      <c r="F9" s="127" t="s">
        <v>3606</v>
      </c>
      <c r="G9" s="127" t="s">
        <v>640</v>
      </c>
      <c r="H9" s="129">
        <v>15587</v>
      </c>
    </row>
    <row r="10" spans="1:8" s="130" customFormat="1" x14ac:dyDescent="0.2">
      <c r="A10" s="127" t="s">
        <v>3580</v>
      </c>
      <c r="B10" s="127" t="s">
        <v>3607</v>
      </c>
      <c r="C10" s="127" t="s">
        <v>3608</v>
      </c>
      <c r="D10" s="127" t="s">
        <v>3609</v>
      </c>
      <c r="E10" s="128">
        <v>23.33</v>
      </c>
      <c r="F10" s="127" t="s">
        <v>3610</v>
      </c>
      <c r="G10" s="127" t="s">
        <v>640</v>
      </c>
      <c r="H10" s="129">
        <v>15588</v>
      </c>
    </row>
    <row r="11" spans="1:8" s="130" customFormat="1" x14ac:dyDescent="0.2">
      <c r="A11" s="127" t="s">
        <v>3580</v>
      </c>
      <c r="B11" s="127" t="s">
        <v>3611</v>
      </c>
      <c r="C11" s="127" t="s">
        <v>3612</v>
      </c>
      <c r="D11" s="127" t="s">
        <v>1145</v>
      </c>
      <c r="E11" s="128">
        <v>2.08</v>
      </c>
      <c r="F11" s="127" t="s">
        <v>1144</v>
      </c>
      <c r="G11" s="127" t="s">
        <v>640</v>
      </c>
      <c r="H11" s="129">
        <v>15589</v>
      </c>
    </row>
    <row r="12" spans="1:8" s="130" customFormat="1" x14ac:dyDescent="0.2">
      <c r="A12" s="127" t="s">
        <v>3580</v>
      </c>
      <c r="B12" s="127" t="s">
        <v>3613</v>
      </c>
      <c r="C12" s="127" t="s">
        <v>3614</v>
      </c>
      <c r="D12" s="127" t="s">
        <v>948</v>
      </c>
      <c r="E12" s="128">
        <v>3.71</v>
      </c>
      <c r="F12" s="127" t="s">
        <v>947</v>
      </c>
      <c r="G12" s="127" t="s">
        <v>640</v>
      </c>
      <c r="H12" s="129">
        <v>15590</v>
      </c>
    </row>
    <row r="13" spans="1:8" s="130" customFormat="1" x14ac:dyDescent="0.2">
      <c r="A13" s="127" t="s">
        <v>3580</v>
      </c>
      <c r="B13" s="127" t="s">
        <v>3615</v>
      </c>
      <c r="C13" s="127" t="s">
        <v>3616</v>
      </c>
      <c r="D13" s="127" t="s">
        <v>3617</v>
      </c>
      <c r="E13" s="128">
        <v>31.45</v>
      </c>
      <c r="F13" s="127" t="s">
        <v>3618</v>
      </c>
      <c r="G13" s="127" t="s">
        <v>640</v>
      </c>
      <c r="H13" s="129">
        <v>15591</v>
      </c>
    </row>
    <row r="14" spans="1:8" s="130" customFormat="1" x14ac:dyDescent="0.2">
      <c r="A14" s="127" t="s">
        <v>3580</v>
      </c>
      <c r="B14" s="127" t="s">
        <v>3619</v>
      </c>
      <c r="C14" s="127" t="s">
        <v>3620</v>
      </c>
      <c r="D14" s="127" t="s">
        <v>3621</v>
      </c>
      <c r="E14" s="128">
        <v>17.05</v>
      </c>
      <c r="F14" s="127" t="s">
        <v>3622</v>
      </c>
      <c r="G14" s="127" t="s">
        <v>640</v>
      </c>
      <c r="H14" s="129">
        <v>15592</v>
      </c>
    </row>
    <row r="15" spans="1:8" s="130" customFormat="1" x14ac:dyDescent="0.2">
      <c r="A15" s="127" t="s">
        <v>3580</v>
      </c>
      <c r="B15" s="127" t="s">
        <v>3623</v>
      </c>
      <c r="C15" s="127" t="s">
        <v>3624</v>
      </c>
      <c r="D15" s="127" t="s">
        <v>3625</v>
      </c>
      <c r="E15" s="128">
        <v>5.09</v>
      </c>
      <c r="F15" s="127" t="s">
        <v>3626</v>
      </c>
      <c r="G15" s="127" t="s">
        <v>640</v>
      </c>
      <c r="H15" s="129">
        <v>15593</v>
      </c>
    </row>
    <row r="16" spans="1:8" s="130" customFormat="1" x14ac:dyDescent="0.2">
      <c r="A16" s="127" t="s">
        <v>3580</v>
      </c>
      <c r="B16" s="127" t="s">
        <v>3627</v>
      </c>
      <c r="C16" s="127" t="s">
        <v>3628</v>
      </c>
      <c r="D16" s="127" t="s">
        <v>3629</v>
      </c>
      <c r="E16" s="128">
        <v>11.56</v>
      </c>
      <c r="F16" s="127" t="s">
        <v>3630</v>
      </c>
      <c r="G16" s="127" t="s">
        <v>640</v>
      </c>
      <c r="H16" s="129">
        <v>15594</v>
      </c>
    </row>
    <row r="17" spans="1:8" s="130" customFormat="1" x14ac:dyDescent="0.2">
      <c r="A17" s="127" t="s">
        <v>3580</v>
      </c>
      <c r="B17" s="127" t="s">
        <v>3631</v>
      </c>
      <c r="C17" s="127" t="s">
        <v>3632</v>
      </c>
      <c r="D17" s="127" t="s">
        <v>3633</v>
      </c>
      <c r="E17" s="128">
        <v>6.31</v>
      </c>
      <c r="F17" s="127" t="s">
        <v>3634</v>
      </c>
      <c r="G17" s="127" t="s">
        <v>640</v>
      </c>
      <c r="H17" s="129">
        <v>15595</v>
      </c>
    </row>
    <row r="18" spans="1:8" s="130" customFormat="1" x14ac:dyDescent="0.2">
      <c r="A18" s="127" t="s">
        <v>3580</v>
      </c>
      <c r="B18" s="127" t="s">
        <v>3635</v>
      </c>
      <c r="C18" s="127" t="s">
        <v>3636</v>
      </c>
      <c r="D18" s="127" t="s">
        <v>3637</v>
      </c>
      <c r="E18" s="128">
        <v>40.590000000000003</v>
      </c>
      <c r="F18" s="127" t="s">
        <v>3638</v>
      </c>
      <c r="G18" s="127" t="s">
        <v>640</v>
      </c>
      <c r="H18" s="129">
        <v>15596</v>
      </c>
    </row>
    <row r="19" spans="1:8" s="130" customFormat="1" x14ac:dyDescent="0.2">
      <c r="A19" s="127" t="s">
        <v>3580</v>
      </c>
      <c r="B19" s="127" t="s">
        <v>3639</v>
      </c>
      <c r="C19" s="127" t="s">
        <v>3640</v>
      </c>
      <c r="D19" s="127" t="s">
        <v>823</v>
      </c>
      <c r="E19" s="128">
        <v>17.899999999999999</v>
      </c>
      <c r="F19" s="127" t="s">
        <v>822</v>
      </c>
      <c r="G19" s="127" t="s">
        <v>640</v>
      </c>
      <c r="H19" s="129">
        <v>15597</v>
      </c>
    </row>
    <row r="20" spans="1:8" s="130" customFormat="1" x14ac:dyDescent="0.2">
      <c r="A20" s="127" t="s">
        <v>3580</v>
      </c>
      <c r="B20" s="127" t="s">
        <v>3641</v>
      </c>
      <c r="C20" s="127" t="s">
        <v>3642</v>
      </c>
      <c r="D20" s="127" t="s">
        <v>1343</v>
      </c>
      <c r="E20" s="128">
        <v>18.18</v>
      </c>
      <c r="F20" s="127" t="s">
        <v>1342</v>
      </c>
      <c r="G20" s="127" t="s">
        <v>640</v>
      </c>
      <c r="H20" s="129">
        <v>15598</v>
      </c>
    </row>
    <row r="21" spans="1:8" s="130" customFormat="1" x14ac:dyDescent="0.2">
      <c r="A21" s="127" t="s">
        <v>3580</v>
      </c>
      <c r="B21" s="127" t="s">
        <v>3643</v>
      </c>
      <c r="C21" s="127" t="s">
        <v>3644</v>
      </c>
      <c r="D21" s="127" t="s">
        <v>3645</v>
      </c>
      <c r="E21" s="128">
        <v>1.68</v>
      </c>
      <c r="F21" s="127" t="s">
        <v>3646</v>
      </c>
      <c r="G21" s="127" t="s">
        <v>640</v>
      </c>
      <c r="H21" s="129">
        <v>15599</v>
      </c>
    </row>
    <row r="22" spans="1:8" s="130" customFormat="1" x14ac:dyDescent="0.2">
      <c r="A22" s="127" t="s">
        <v>3580</v>
      </c>
      <c r="B22" s="127" t="s">
        <v>3647</v>
      </c>
      <c r="C22" s="127" t="s">
        <v>3648</v>
      </c>
      <c r="D22" s="127" t="s">
        <v>3649</v>
      </c>
      <c r="E22" s="128">
        <v>5.44</v>
      </c>
      <c r="F22" s="127" t="s">
        <v>3650</v>
      </c>
      <c r="G22" s="127" t="s">
        <v>640</v>
      </c>
      <c r="H22" s="129">
        <v>15600</v>
      </c>
    </row>
    <row r="23" spans="1:8" s="130" customFormat="1" x14ac:dyDescent="0.2">
      <c r="A23" s="127" t="s">
        <v>3580</v>
      </c>
      <c r="B23" s="127" t="s">
        <v>3651</v>
      </c>
      <c r="C23" s="127" t="s">
        <v>3652</v>
      </c>
      <c r="D23" s="127" t="s">
        <v>733</v>
      </c>
      <c r="E23" s="128">
        <v>6.94</v>
      </c>
      <c r="F23" s="127" t="s">
        <v>732</v>
      </c>
      <c r="G23" s="127" t="s">
        <v>640</v>
      </c>
      <c r="H23" s="129">
        <v>15601</v>
      </c>
    </row>
    <row r="24" spans="1:8" s="130" customFormat="1" x14ac:dyDescent="0.2">
      <c r="A24" s="127" t="s">
        <v>3580</v>
      </c>
      <c r="B24" s="127" t="s">
        <v>3653</v>
      </c>
      <c r="C24" s="127" t="s">
        <v>3654</v>
      </c>
      <c r="D24" s="127" t="s">
        <v>3655</v>
      </c>
      <c r="E24" s="128">
        <v>1.95</v>
      </c>
      <c r="F24" s="127" t="s">
        <v>3656</v>
      </c>
      <c r="G24" s="127" t="s">
        <v>640</v>
      </c>
      <c r="H24" s="129">
        <v>15602</v>
      </c>
    </row>
    <row r="25" spans="1:8" s="130" customFormat="1" x14ac:dyDescent="0.2">
      <c r="A25" s="127" t="s">
        <v>3580</v>
      </c>
      <c r="B25" s="127" t="s">
        <v>3657</v>
      </c>
      <c r="C25" s="127" t="s">
        <v>3658</v>
      </c>
      <c r="D25" s="127" t="s">
        <v>3659</v>
      </c>
      <c r="E25" s="128">
        <v>2.77</v>
      </c>
      <c r="F25" s="127" t="s">
        <v>3660</v>
      </c>
      <c r="G25" s="127" t="s">
        <v>640</v>
      </c>
      <c r="H25" s="129">
        <v>15603</v>
      </c>
    </row>
    <row r="26" spans="1:8" s="130" customFormat="1" x14ac:dyDescent="0.2">
      <c r="A26" s="127" t="s">
        <v>3580</v>
      </c>
      <c r="B26" s="127" t="s">
        <v>3661</v>
      </c>
      <c r="C26" s="127" t="s">
        <v>3662</v>
      </c>
      <c r="D26" s="127" t="s">
        <v>3663</v>
      </c>
      <c r="E26" s="128">
        <v>25.42</v>
      </c>
      <c r="F26" s="127" t="s">
        <v>3664</v>
      </c>
      <c r="G26" s="127" t="s">
        <v>640</v>
      </c>
      <c r="H26" s="129">
        <v>15604</v>
      </c>
    </row>
    <row r="27" spans="1:8" s="130" customFormat="1" x14ac:dyDescent="0.2">
      <c r="A27" s="127" t="s">
        <v>3580</v>
      </c>
      <c r="B27" s="127" t="s">
        <v>3665</v>
      </c>
      <c r="C27" s="127" t="s">
        <v>3666</v>
      </c>
      <c r="D27" s="127" t="s">
        <v>3667</v>
      </c>
      <c r="E27" s="128">
        <v>20.95</v>
      </c>
      <c r="F27" s="127" t="s">
        <v>3668</v>
      </c>
      <c r="G27" s="127" t="s">
        <v>640</v>
      </c>
      <c r="H27" s="129">
        <v>15605</v>
      </c>
    </row>
    <row r="28" spans="1:8" s="130" customFormat="1" x14ac:dyDescent="0.2">
      <c r="A28" s="127" t="s">
        <v>3580</v>
      </c>
      <c r="B28" s="127" t="s">
        <v>3669</v>
      </c>
      <c r="C28" s="127" t="s">
        <v>3670</v>
      </c>
      <c r="D28" s="127" t="s">
        <v>3671</v>
      </c>
      <c r="E28" s="128">
        <v>6.39</v>
      </c>
      <c r="F28" s="127" t="s">
        <v>3672</v>
      </c>
      <c r="G28" s="127" t="s">
        <v>640</v>
      </c>
      <c r="H28" s="129">
        <v>15606</v>
      </c>
    </row>
    <row r="29" spans="1:8" s="130" customFormat="1" x14ac:dyDescent="0.2">
      <c r="A29" s="127" t="s">
        <v>3580</v>
      </c>
      <c r="B29" s="127" t="s">
        <v>3673</v>
      </c>
      <c r="C29" s="127" t="s">
        <v>3674</v>
      </c>
      <c r="D29" s="127" t="s">
        <v>3675</v>
      </c>
      <c r="E29" s="128">
        <v>13.34</v>
      </c>
      <c r="F29" s="127" t="s">
        <v>3676</v>
      </c>
      <c r="G29" s="127" t="s">
        <v>640</v>
      </c>
      <c r="H29" s="129">
        <v>15607</v>
      </c>
    </row>
    <row r="30" spans="1:8" s="130" customFormat="1" x14ac:dyDescent="0.2">
      <c r="A30" s="127" t="s">
        <v>3580</v>
      </c>
      <c r="B30" s="127" t="s">
        <v>3677</v>
      </c>
      <c r="C30" s="127" t="s">
        <v>3678</v>
      </c>
      <c r="D30" s="127" t="s">
        <v>3679</v>
      </c>
      <c r="E30" s="128">
        <v>18.63</v>
      </c>
      <c r="F30" s="127" t="s">
        <v>3680</v>
      </c>
      <c r="G30" s="127" t="s">
        <v>640</v>
      </c>
      <c r="H30" s="129">
        <v>15608</v>
      </c>
    </row>
    <row r="31" spans="1:8" s="130" customFormat="1" x14ac:dyDescent="0.2">
      <c r="A31" s="127" t="s">
        <v>3580</v>
      </c>
      <c r="B31" s="127" t="s">
        <v>3681</v>
      </c>
      <c r="C31" s="127" t="s">
        <v>3682</v>
      </c>
      <c r="D31" s="127" t="s">
        <v>3683</v>
      </c>
      <c r="E31" s="128">
        <v>14.91</v>
      </c>
      <c r="F31" s="127" t="s">
        <v>3684</v>
      </c>
      <c r="G31" s="127" t="s">
        <v>640</v>
      </c>
      <c r="H31" s="129">
        <v>15609</v>
      </c>
    </row>
    <row r="32" spans="1:8" s="130" customFormat="1" x14ac:dyDescent="0.2">
      <c r="A32" s="127" t="s">
        <v>3580</v>
      </c>
      <c r="B32" s="127" t="s">
        <v>3685</v>
      </c>
      <c r="C32" s="127" t="s">
        <v>3686</v>
      </c>
      <c r="D32" s="127" t="s">
        <v>3687</v>
      </c>
      <c r="E32" s="128">
        <v>8.6999999999999993</v>
      </c>
      <c r="F32" s="127" t="s">
        <v>3688</v>
      </c>
      <c r="G32" s="127" t="s">
        <v>640</v>
      </c>
      <c r="H32" s="129">
        <v>15610</v>
      </c>
    </row>
    <row r="33" spans="1:8" s="130" customFormat="1" x14ac:dyDescent="0.2">
      <c r="A33" s="127" t="s">
        <v>3689</v>
      </c>
      <c r="B33" s="127" t="s">
        <v>3690</v>
      </c>
      <c r="C33" s="127" t="s">
        <v>3691</v>
      </c>
      <c r="D33" s="127" t="s">
        <v>3692</v>
      </c>
      <c r="E33" s="128">
        <v>16.760000000000002</v>
      </c>
      <c r="F33" s="127" t="s">
        <v>3693</v>
      </c>
      <c r="G33" s="127" t="s">
        <v>640</v>
      </c>
      <c r="H33" s="129">
        <v>15625</v>
      </c>
    </row>
    <row r="34" spans="1:8" s="130" customFormat="1" x14ac:dyDescent="0.2">
      <c r="A34" s="127" t="s">
        <v>3689</v>
      </c>
      <c r="B34" s="127" t="s">
        <v>3694</v>
      </c>
      <c r="C34" s="127" t="s">
        <v>3695</v>
      </c>
      <c r="D34" s="127" t="s">
        <v>3696</v>
      </c>
      <c r="E34" s="128">
        <v>16.760000000000002</v>
      </c>
      <c r="F34" s="127" t="s">
        <v>3697</v>
      </c>
      <c r="G34" s="127" t="s">
        <v>640</v>
      </c>
      <c r="H34" s="129">
        <v>15626</v>
      </c>
    </row>
    <row r="35" spans="1:8" s="130" customFormat="1" x14ac:dyDescent="0.2">
      <c r="A35" s="127" t="s">
        <v>3689</v>
      </c>
      <c r="B35" s="127" t="s">
        <v>3698</v>
      </c>
      <c r="C35" s="127" t="s">
        <v>3699</v>
      </c>
      <c r="D35" s="127" t="s">
        <v>3700</v>
      </c>
      <c r="E35" s="128">
        <v>5.57</v>
      </c>
      <c r="F35" s="127" t="s">
        <v>3701</v>
      </c>
      <c r="G35" s="127" t="s">
        <v>640</v>
      </c>
      <c r="H35" s="129">
        <v>15627</v>
      </c>
    </row>
    <row r="36" spans="1:8" s="130" customFormat="1" x14ac:dyDescent="0.2">
      <c r="A36" s="127" t="s">
        <v>3689</v>
      </c>
      <c r="B36" s="127" t="s">
        <v>3702</v>
      </c>
      <c r="C36" s="127" t="s">
        <v>3703</v>
      </c>
      <c r="D36" s="127" t="s">
        <v>3704</v>
      </c>
      <c r="E36" s="128">
        <v>3.78</v>
      </c>
      <c r="F36" s="127" t="s">
        <v>3705</v>
      </c>
      <c r="G36" s="127" t="s">
        <v>640</v>
      </c>
      <c r="H36" s="129">
        <v>15628</v>
      </c>
    </row>
    <row r="37" spans="1:8" s="130" customFormat="1" x14ac:dyDescent="0.2">
      <c r="A37" s="127" t="s">
        <v>3689</v>
      </c>
      <c r="B37" s="127" t="s">
        <v>3706</v>
      </c>
      <c r="C37" s="127" t="s">
        <v>3707</v>
      </c>
      <c r="D37" s="127" t="s">
        <v>3708</v>
      </c>
      <c r="E37" s="128">
        <v>7.26</v>
      </c>
      <c r="F37" s="127" t="s">
        <v>3709</v>
      </c>
      <c r="G37" s="127" t="s">
        <v>640</v>
      </c>
      <c r="H37" s="129">
        <v>15629</v>
      </c>
    </row>
    <row r="38" spans="1:8" s="130" customFormat="1" x14ac:dyDescent="0.2">
      <c r="A38" s="127" t="s">
        <v>3689</v>
      </c>
      <c r="B38" s="127" t="s">
        <v>3710</v>
      </c>
      <c r="C38" s="127" t="s">
        <v>3711</v>
      </c>
      <c r="D38" s="127" t="s">
        <v>3712</v>
      </c>
      <c r="E38" s="128">
        <v>5.15</v>
      </c>
      <c r="F38" s="127" t="s">
        <v>3713</v>
      </c>
      <c r="G38" s="127" t="s">
        <v>640</v>
      </c>
      <c r="H38" s="129">
        <v>15630</v>
      </c>
    </row>
    <row r="39" spans="1:8" s="130" customFormat="1" x14ac:dyDescent="0.2">
      <c r="A39" s="127" t="s">
        <v>3689</v>
      </c>
      <c r="B39" s="127" t="s">
        <v>3714</v>
      </c>
      <c r="C39" s="127" t="s">
        <v>3715</v>
      </c>
      <c r="D39" s="127" t="s">
        <v>3716</v>
      </c>
      <c r="E39" s="128">
        <v>12.85</v>
      </c>
      <c r="F39" s="127" t="s">
        <v>3717</v>
      </c>
      <c r="G39" s="127" t="s">
        <v>640</v>
      </c>
      <c r="H39" s="129">
        <v>15631</v>
      </c>
    </row>
    <row r="40" spans="1:8" s="130" customFormat="1" x14ac:dyDescent="0.2">
      <c r="A40" s="127" t="s">
        <v>3689</v>
      </c>
      <c r="B40" s="127" t="s">
        <v>3718</v>
      </c>
      <c r="C40" s="127" t="s">
        <v>3719</v>
      </c>
      <c r="D40" s="127" t="s">
        <v>3720</v>
      </c>
      <c r="E40" s="128">
        <v>3.29</v>
      </c>
      <c r="F40" s="127" t="s">
        <v>3721</v>
      </c>
      <c r="G40" s="127" t="s">
        <v>640</v>
      </c>
      <c r="H40" s="129">
        <v>15632</v>
      </c>
    </row>
    <row r="41" spans="1:8" s="130" customFormat="1" x14ac:dyDescent="0.2">
      <c r="A41" s="127" t="s">
        <v>3689</v>
      </c>
      <c r="B41" s="127" t="s">
        <v>3722</v>
      </c>
      <c r="C41" s="127" t="s">
        <v>3723</v>
      </c>
      <c r="D41" s="127" t="s">
        <v>3724</v>
      </c>
      <c r="E41" s="128">
        <v>2.71</v>
      </c>
      <c r="F41" s="127" t="s">
        <v>3725</v>
      </c>
      <c r="G41" s="127" t="s">
        <v>640</v>
      </c>
      <c r="H41" s="129">
        <v>15633</v>
      </c>
    </row>
    <row r="42" spans="1:8" s="130" customFormat="1" x14ac:dyDescent="0.2">
      <c r="A42" s="127" t="s">
        <v>3689</v>
      </c>
      <c r="B42" s="127" t="s">
        <v>3726</v>
      </c>
      <c r="C42" s="127" t="s">
        <v>3727</v>
      </c>
      <c r="D42" s="127" t="s">
        <v>985</v>
      </c>
      <c r="E42" s="128">
        <v>1.68</v>
      </c>
      <c r="F42" s="127" t="s">
        <v>984</v>
      </c>
      <c r="G42" s="127" t="s">
        <v>640</v>
      </c>
      <c r="H42" s="129">
        <v>15634</v>
      </c>
    </row>
    <row r="43" spans="1:8" s="130" customFormat="1" x14ac:dyDescent="0.2">
      <c r="A43" s="127" t="s">
        <v>3689</v>
      </c>
      <c r="B43" s="127" t="s">
        <v>3728</v>
      </c>
      <c r="C43" s="127" t="s">
        <v>3729</v>
      </c>
      <c r="D43" s="127" t="s">
        <v>3730</v>
      </c>
      <c r="E43" s="128">
        <v>3.42</v>
      </c>
      <c r="F43" s="127" t="s">
        <v>3731</v>
      </c>
      <c r="G43" s="127" t="s">
        <v>640</v>
      </c>
      <c r="H43" s="129">
        <v>15635</v>
      </c>
    </row>
    <row r="44" spans="1:8" s="130" customFormat="1" x14ac:dyDescent="0.2">
      <c r="A44" s="127" t="s">
        <v>3689</v>
      </c>
      <c r="B44" s="127" t="s">
        <v>3732</v>
      </c>
      <c r="C44" s="127" t="s">
        <v>3733</v>
      </c>
      <c r="D44" s="127" t="s">
        <v>1139</v>
      </c>
      <c r="E44" s="128">
        <v>9.75</v>
      </c>
      <c r="F44" s="127" t="s">
        <v>1138</v>
      </c>
      <c r="G44" s="127" t="s">
        <v>640</v>
      </c>
      <c r="H44" s="129">
        <v>15636</v>
      </c>
    </row>
    <row r="45" spans="1:8" s="130" customFormat="1" x14ac:dyDescent="0.2">
      <c r="A45" s="127" t="s">
        <v>3689</v>
      </c>
      <c r="B45" s="127" t="s">
        <v>3734</v>
      </c>
      <c r="C45" s="127" t="s">
        <v>3735</v>
      </c>
      <c r="D45" s="127" t="s">
        <v>3736</v>
      </c>
      <c r="E45" s="128">
        <v>22.49</v>
      </c>
      <c r="F45" s="127" t="s">
        <v>3737</v>
      </c>
      <c r="G45" s="127" t="s">
        <v>640</v>
      </c>
      <c r="H45" s="129">
        <v>15637</v>
      </c>
    </row>
    <row r="46" spans="1:8" s="130" customFormat="1" x14ac:dyDescent="0.2">
      <c r="A46" s="131"/>
      <c r="B46" s="131"/>
      <c r="C46" s="131"/>
      <c r="D46" s="131" t="s">
        <v>3577</v>
      </c>
      <c r="E46" s="98">
        <f>SUM(E3:E45)</f>
        <v>493.40999999999991</v>
      </c>
      <c r="F46" s="131"/>
      <c r="G46" s="131"/>
      <c r="H46" s="131"/>
    </row>
    <row r="47" spans="1:8" s="130" customFormat="1" x14ac:dyDescent="0.2">
      <c r="A47" s="131"/>
      <c r="B47" s="131"/>
      <c r="C47" s="131"/>
      <c r="D47" s="131"/>
      <c r="E47" s="131"/>
      <c r="F47" s="131"/>
      <c r="G47" s="131"/>
      <c r="H47" s="131"/>
    </row>
    <row r="48" spans="1:8" x14ac:dyDescent="0.2">
      <c r="A48" s="127" t="s">
        <v>2602</v>
      </c>
      <c r="B48" s="127" t="s">
        <v>2603</v>
      </c>
      <c r="C48" s="127" t="s">
        <v>2604</v>
      </c>
      <c r="D48" s="127" t="s">
        <v>1435</v>
      </c>
      <c r="E48" s="132">
        <v>24.59</v>
      </c>
      <c r="F48" s="127" t="s">
        <v>1434</v>
      </c>
      <c r="G48" s="127" t="s">
        <v>640</v>
      </c>
      <c r="H48" s="129">
        <v>1</v>
      </c>
    </row>
    <row r="49" spans="1:8" x14ac:dyDescent="0.2">
      <c r="A49" s="127" t="s">
        <v>2605</v>
      </c>
      <c r="B49" s="127" t="s">
        <v>2606</v>
      </c>
      <c r="C49" s="127" t="s">
        <v>2607</v>
      </c>
      <c r="D49" s="127" t="s">
        <v>725</v>
      </c>
      <c r="E49" s="132">
        <v>7.66</v>
      </c>
      <c r="F49" s="127" t="s">
        <v>724</v>
      </c>
      <c r="G49" s="127" t="s">
        <v>640</v>
      </c>
      <c r="H49" s="129">
        <v>2</v>
      </c>
    </row>
    <row r="50" spans="1:8" x14ac:dyDescent="0.2">
      <c r="A50" s="127" t="s">
        <v>2605</v>
      </c>
      <c r="B50" s="127" t="s">
        <v>2608</v>
      </c>
      <c r="C50" s="127" t="s">
        <v>2609</v>
      </c>
      <c r="D50" s="127" t="s">
        <v>1253</v>
      </c>
      <c r="E50" s="132">
        <v>5.14</v>
      </c>
      <c r="F50" s="127" t="s">
        <v>1252</v>
      </c>
      <c r="G50" s="127" t="s">
        <v>640</v>
      </c>
      <c r="H50" s="129">
        <v>3</v>
      </c>
    </row>
    <row r="51" spans="1:8" x14ac:dyDescent="0.2">
      <c r="A51" s="127" t="s">
        <v>2605</v>
      </c>
      <c r="B51" s="127" t="s">
        <v>2610</v>
      </c>
      <c r="C51" s="127" t="s">
        <v>2611</v>
      </c>
      <c r="D51" s="127" t="s">
        <v>913</v>
      </c>
      <c r="E51" s="132">
        <v>19.38</v>
      </c>
      <c r="F51" s="127" t="s">
        <v>912</v>
      </c>
      <c r="G51" s="127" t="s">
        <v>640</v>
      </c>
      <c r="H51" s="129">
        <v>4</v>
      </c>
    </row>
    <row r="52" spans="1:8" x14ac:dyDescent="0.2">
      <c r="A52" s="127" t="s">
        <v>2605</v>
      </c>
      <c r="B52" s="127" t="s">
        <v>2612</v>
      </c>
      <c r="C52" s="127" t="s">
        <v>2613</v>
      </c>
      <c r="D52" s="127" t="s">
        <v>989</v>
      </c>
      <c r="E52" s="132">
        <v>87.96</v>
      </c>
      <c r="F52" s="127" t="s">
        <v>988</v>
      </c>
      <c r="G52" s="127" t="s">
        <v>640</v>
      </c>
      <c r="H52" s="129">
        <v>5</v>
      </c>
    </row>
    <row r="53" spans="1:8" x14ac:dyDescent="0.2">
      <c r="A53" s="127" t="s">
        <v>2605</v>
      </c>
      <c r="B53" s="127" t="s">
        <v>2614</v>
      </c>
      <c r="C53" s="127" t="s">
        <v>2615</v>
      </c>
      <c r="D53" s="127" t="s">
        <v>1034</v>
      </c>
      <c r="E53" s="132">
        <v>4.3099999999999996</v>
      </c>
      <c r="F53" s="127" t="s">
        <v>1033</v>
      </c>
      <c r="G53" s="127" t="s">
        <v>640</v>
      </c>
      <c r="H53" s="129">
        <v>6</v>
      </c>
    </row>
    <row r="54" spans="1:8" x14ac:dyDescent="0.2">
      <c r="A54" s="127" t="s">
        <v>2605</v>
      </c>
      <c r="B54" s="127" t="s">
        <v>2616</v>
      </c>
      <c r="C54" s="127" t="s">
        <v>2617</v>
      </c>
      <c r="D54" s="127" t="s">
        <v>1325</v>
      </c>
      <c r="E54" s="132">
        <v>3.71</v>
      </c>
      <c r="F54" s="127" t="s">
        <v>1324</v>
      </c>
      <c r="G54" s="127" t="s">
        <v>640</v>
      </c>
      <c r="H54" s="129">
        <v>7</v>
      </c>
    </row>
    <row r="55" spans="1:8" x14ac:dyDescent="0.2">
      <c r="A55" s="127" t="s">
        <v>2605</v>
      </c>
      <c r="B55" s="127" t="s">
        <v>2618</v>
      </c>
      <c r="C55" s="127" t="s">
        <v>2619</v>
      </c>
      <c r="D55" s="127" t="s">
        <v>687</v>
      </c>
      <c r="E55" s="132">
        <v>1.68</v>
      </c>
      <c r="F55" s="127" t="s">
        <v>686</v>
      </c>
      <c r="G55" s="127" t="s">
        <v>640</v>
      </c>
      <c r="H55" s="129">
        <v>8</v>
      </c>
    </row>
    <row r="56" spans="1:8" x14ac:dyDescent="0.2">
      <c r="A56" s="127" t="s">
        <v>2605</v>
      </c>
      <c r="B56" s="127" t="s">
        <v>2620</v>
      </c>
      <c r="C56" s="127" t="s">
        <v>2621</v>
      </c>
      <c r="D56" s="127" t="s">
        <v>1188</v>
      </c>
      <c r="E56" s="132">
        <v>7.83</v>
      </c>
      <c r="F56" s="127" t="s">
        <v>1187</v>
      </c>
      <c r="G56" s="127" t="s">
        <v>640</v>
      </c>
      <c r="H56" s="129">
        <v>9</v>
      </c>
    </row>
    <row r="57" spans="1:8" x14ac:dyDescent="0.2">
      <c r="A57" s="127" t="s">
        <v>2622</v>
      </c>
      <c r="B57" s="127" t="s">
        <v>2623</v>
      </c>
      <c r="C57" s="127" t="s">
        <v>2624</v>
      </c>
      <c r="D57" s="127" t="s">
        <v>1507</v>
      </c>
      <c r="E57" s="132">
        <v>1.65</v>
      </c>
      <c r="F57" s="127" t="s">
        <v>1506</v>
      </c>
      <c r="G57" s="127" t="s">
        <v>640</v>
      </c>
      <c r="H57" s="129">
        <v>10</v>
      </c>
    </row>
    <row r="58" spans="1:8" x14ac:dyDescent="0.2">
      <c r="A58" s="127" t="s">
        <v>2622</v>
      </c>
      <c r="B58" s="127" t="s">
        <v>1509</v>
      </c>
      <c r="C58" s="127" t="s">
        <v>2625</v>
      </c>
      <c r="D58" s="127" t="s">
        <v>1487</v>
      </c>
      <c r="E58" s="132">
        <v>5.04</v>
      </c>
      <c r="F58" s="127" t="s">
        <v>1486</v>
      </c>
      <c r="G58" s="127" t="s">
        <v>640</v>
      </c>
      <c r="H58" s="129">
        <v>11</v>
      </c>
    </row>
    <row r="59" spans="1:8" x14ac:dyDescent="0.2">
      <c r="A59" s="127" t="s">
        <v>2622</v>
      </c>
      <c r="B59" s="127" t="s">
        <v>2626</v>
      </c>
      <c r="C59" s="127" t="s">
        <v>2627</v>
      </c>
      <c r="D59" s="127" t="s">
        <v>1279</v>
      </c>
      <c r="E59" s="132">
        <v>43.57</v>
      </c>
      <c r="F59" s="127" t="s">
        <v>1278</v>
      </c>
      <c r="G59" s="127" t="s">
        <v>640</v>
      </c>
      <c r="H59" s="129">
        <v>12</v>
      </c>
    </row>
    <row r="60" spans="1:8" x14ac:dyDescent="0.2">
      <c r="A60" s="127" t="s">
        <v>2622</v>
      </c>
      <c r="B60" s="127" t="s">
        <v>2628</v>
      </c>
      <c r="C60" s="127" t="s">
        <v>2629</v>
      </c>
      <c r="D60" s="127" t="s">
        <v>1146</v>
      </c>
      <c r="E60" s="132">
        <v>3.7</v>
      </c>
      <c r="F60" s="127" t="s">
        <v>673</v>
      </c>
      <c r="G60" s="127" t="s">
        <v>640</v>
      </c>
      <c r="H60" s="129">
        <v>13</v>
      </c>
    </row>
    <row r="61" spans="1:8" x14ac:dyDescent="0.2">
      <c r="A61" s="127" t="s">
        <v>2622</v>
      </c>
      <c r="B61" s="127" t="s">
        <v>2630</v>
      </c>
      <c r="C61" s="127" t="s">
        <v>2631</v>
      </c>
      <c r="D61" s="127" t="s">
        <v>1363</v>
      </c>
      <c r="E61" s="132">
        <v>8.2799999999999994</v>
      </c>
      <c r="F61" s="127" t="s">
        <v>1362</v>
      </c>
      <c r="G61" s="127" t="s">
        <v>640</v>
      </c>
      <c r="H61" s="129">
        <v>14</v>
      </c>
    </row>
    <row r="62" spans="1:8" x14ac:dyDescent="0.2">
      <c r="A62" s="127" t="s">
        <v>2622</v>
      </c>
      <c r="B62" s="127" t="s">
        <v>2632</v>
      </c>
      <c r="C62" s="127" t="s">
        <v>2633</v>
      </c>
      <c r="D62" s="127" t="s">
        <v>1137</v>
      </c>
      <c r="E62" s="132">
        <v>1.88</v>
      </c>
      <c r="F62" s="127" t="s">
        <v>1136</v>
      </c>
      <c r="G62" s="127" t="s">
        <v>640</v>
      </c>
      <c r="H62" s="129">
        <v>15</v>
      </c>
    </row>
    <row r="63" spans="1:8" x14ac:dyDescent="0.2">
      <c r="A63" s="127" t="s">
        <v>2622</v>
      </c>
      <c r="B63" s="127" t="s">
        <v>2634</v>
      </c>
      <c r="C63" s="127" t="s">
        <v>2635</v>
      </c>
      <c r="D63" s="127" t="s">
        <v>1018</v>
      </c>
      <c r="E63" s="132">
        <v>2.5099999999999998</v>
      </c>
      <c r="F63" s="127" t="s">
        <v>1017</v>
      </c>
      <c r="G63" s="127" t="s">
        <v>640</v>
      </c>
      <c r="H63" s="129">
        <v>16</v>
      </c>
    </row>
    <row r="64" spans="1:8" x14ac:dyDescent="0.2">
      <c r="A64" s="127" t="s">
        <v>2622</v>
      </c>
      <c r="B64" s="127" t="s">
        <v>2636</v>
      </c>
      <c r="C64" s="127" t="s">
        <v>2637</v>
      </c>
      <c r="D64" s="127" t="s">
        <v>720</v>
      </c>
      <c r="E64" s="132">
        <v>3.36</v>
      </c>
      <c r="F64" s="127" t="s">
        <v>719</v>
      </c>
      <c r="G64" s="127" t="s">
        <v>640</v>
      </c>
      <c r="H64" s="129">
        <v>17</v>
      </c>
    </row>
    <row r="65" spans="1:8" x14ac:dyDescent="0.2">
      <c r="A65" s="127" t="s">
        <v>2622</v>
      </c>
      <c r="B65" s="127" t="s">
        <v>2638</v>
      </c>
      <c r="C65" s="127" t="s">
        <v>2639</v>
      </c>
      <c r="D65" s="127" t="s">
        <v>966</v>
      </c>
      <c r="E65" s="132">
        <v>8.27</v>
      </c>
      <c r="F65" s="127" t="s">
        <v>965</v>
      </c>
      <c r="G65" s="127" t="s">
        <v>640</v>
      </c>
      <c r="H65" s="129">
        <v>23</v>
      </c>
    </row>
    <row r="66" spans="1:8" x14ac:dyDescent="0.2">
      <c r="A66" s="127" t="s">
        <v>2622</v>
      </c>
      <c r="B66" s="127" t="s">
        <v>2640</v>
      </c>
      <c r="C66" s="127" t="s">
        <v>2641</v>
      </c>
      <c r="D66" s="127" t="s">
        <v>650</v>
      </c>
      <c r="E66" s="132">
        <v>3.14</v>
      </c>
      <c r="F66" s="127" t="s">
        <v>649</v>
      </c>
      <c r="G66" s="127" t="s">
        <v>640</v>
      </c>
      <c r="H66" s="129">
        <v>24</v>
      </c>
    </row>
    <row r="67" spans="1:8" x14ac:dyDescent="0.2">
      <c r="A67" s="127" t="s">
        <v>2622</v>
      </c>
      <c r="B67" s="127" t="s">
        <v>2642</v>
      </c>
      <c r="C67" s="127" t="s">
        <v>2643</v>
      </c>
      <c r="D67" s="127" t="s">
        <v>672</v>
      </c>
      <c r="E67" s="132">
        <v>2.48</v>
      </c>
      <c r="F67" s="127" t="s">
        <v>671</v>
      </c>
      <c r="G67" s="127" t="s">
        <v>640</v>
      </c>
      <c r="H67" s="129">
        <v>25</v>
      </c>
    </row>
    <row r="68" spans="1:8" x14ac:dyDescent="0.2">
      <c r="A68" s="127" t="s">
        <v>2644</v>
      </c>
      <c r="B68" s="127" t="s">
        <v>2645</v>
      </c>
      <c r="C68" s="127" t="s">
        <v>2646</v>
      </c>
      <c r="D68" s="127" t="s">
        <v>1162</v>
      </c>
      <c r="E68" s="132">
        <v>1.92</v>
      </c>
      <c r="F68" s="127" t="s">
        <v>1161</v>
      </c>
      <c r="G68" s="127" t="s">
        <v>640</v>
      </c>
      <c r="H68" s="129">
        <v>47</v>
      </c>
    </row>
    <row r="69" spans="1:8" x14ac:dyDescent="0.2">
      <c r="A69" s="127" t="s">
        <v>2644</v>
      </c>
      <c r="B69" s="127" t="s">
        <v>690</v>
      </c>
      <c r="C69" s="127" t="s">
        <v>2647</v>
      </c>
      <c r="D69" s="127" t="s">
        <v>1026</v>
      </c>
      <c r="E69" s="132">
        <v>29.95</v>
      </c>
      <c r="F69" s="127" t="s">
        <v>1025</v>
      </c>
      <c r="G69" s="127" t="s">
        <v>640</v>
      </c>
      <c r="H69" s="129">
        <v>48</v>
      </c>
    </row>
    <row r="70" spans="1:8" x14ac:dyDescent="0.2">
      <c r="A70" s="127" t="s">
        <v>2644</v>
      </c>
      <c r="B70" s="127" t="s">
        <v>2648</v>
      </c>
      <c r="C70" s="127" t="s">
        <v>2649</v>
      </c>
      <c r="D70" s="127" t="s">
        <v>714</v>
      </c>
      <c r="E70" s="132">
        <v>2.52</v>
      </c>
      <c r="F70" s="127" t="s">
        <v>713</v>
      </c>
      <c r="G70" s="127" t="s">
        <v>640</v>
      </c>
      <c r="H70" s="129">
        <v>49</v>
      </c>
    </row>
    <row r="71" spans="1:8" x14ac:dyDescent="0.2">
      <c r="A71" s="127" t="s">
        <v>2644</v>
      </c>
      <c r="B71" s="127" t="s">
        <v>2650</v>
      </c>
      <c r="C71" s="127" t="s">
        <v>2651</v>
      </c>
      <c r="D71" s="127" t="s">
        <v>1020</v>
      </c>
      <c r="E71" s="132">
        <v>3.42</v>
      </c>
      <c r="F71" s="127" t="s">
        <v>1019</v>
      </c>
      <c r="G71" s="127" t="s">
        <v>640</v>
      </c>
      <c r="H71" s="129">
        <v>50</v>
      </c>
    </row>
    <row r="72" spans="1:8" x14ac:dyDescent="0.2">
      <c r="A72" s="127" t="s">
        <v>2644</v>
      </c>
      <c r="B72" s="127" t="s">
        <v>2652</v>
      </c>
      <c r="C72" s="127" t="s">
        <v>2653</v>
      </c>
      <c r="D72" s="127" t="s">
        <v>851</v>
      </c>
      <c r="E72" s="132">
        <v>8.07</v>
      </c>
      <c r="F72" s="127" t="s">
        <v>850</v>
      </c>
      <c r="G72" s="127" t="s">
        <v>640</v>
      </c>
      <c r="H72" s="129">
        <v>51</v>
      </c>
    </row>
    <row r="73" spans="1:8" x14ac:dyDescent="0.2">
      <c r="A73" s="127" t="s">
        <v>2644</v>
      </c>
      <c r="B73" s="127" t="s">
        <v>2654</v>
      </c>
      <c r="C73" s="127" t="s">
        <v>2655</v>
      </c>
      <c r="D73" s="127" t="s">
        <v>1408</v>
      </c>
      <c r="E73" s="132">
        <v>6.94</v>
      </c>
      <c r="F73" s="127" t="s">
        <v>1407</v>
      </c>
      <c r="G73" s="127" t="s">
        <v>640</v>
      </c>
      <c r="H73" s="129">
        <v>52</v>
      </c>
    </row>
    <row r="74" spans="1:8" x14ac:dyDescent="0.2">
      <c r="A74" s="127" t="s">
        <v>2644</v>
      </c>
      <c r="B74" s="127" t="s">
        <v>2656</v>
      </c>
      <c r="C74" s="127" t="s">
        <v>2657</v>
      </c>
      <c r="D74" s="127" t="s">
        <v>1493</v>
      </c>
      <c r="E74" s="132">
        <v>7.0000000000000007E-2</v>
      </c>
      <c r="F74" s="127" t="s">
        <v>1492</v>
      </c>
      <c r="G74" s="127" t="s">
        <v>640</v>
      </c>
      <c r="H74" s="133">
        <v>53</v>
      </c>
    </row>
    <row r="75" spans="1:8" x14ac:dyDescent="0.2">
      <c r="A75" s="127" t="s">
        <v>2644</v>
      </c>
      <c r="B75" s="127" t="s">
        <v>1591</v>
      </c>
      <c r="C75" s="127" t="s">
        <v>2658</v>
      </c>
      <c r="D75" s="127" t="s">
        <v>806</v>
      </c>
      <c r="E75" s="132">
        <v>1.68</v>
      </c>
      <c r="F75" s="127" t="s">
        <v>805</v>
      </c>
      <c r="G75" s="127" t="s">
        <v>640</v>
      </c>
      <c r="H75" s="133">
        <v>54</v>
      </c>
    </row>
    <row r="76" spans="1:8" x14ac:dyDescent="0.2">
      <c r="A76" s="127" t="s">
        <v>2644</v>
      </c>
      <c r="B76" s="127" t="s">
        <v>2659</v>
      </c>
      <c r="C76" s="127" t="s">
        <v>2660</v>
      </c>
      <c r="D76" s="127" t="s">
        <v>770</v>
      </c>
      <c r="E76" s="132">
        <v>2.0499999999999998</v>
      </c>
      <c r="F76" s="127" t="s">
        <v>769</v>
      </c>
      <c r="G76" s="127" t="s">
        <v>640</v>
      </c>
      <c r="H76" s="133">
        <v>55</v>
      </c>
    </row>
    <row r="77" spans="1:8" x14ac:dyDescent="0.2">
      <c r="A77" s="127" t="s">
        <v>2644</v>
      </c>
      <c r="B77" s="127" t="s">
        <v>2661</v>
      </c>
      <c r="C77" s="127" t="s">
        <v>2662</v>
      </c>
      <c r="D77" s="127" t="s">
        <v>819</v>
      </c>
      <c r="E77" s="132">
        <v>1.69</v>
      </c>
      <c r="F77" s="127" t="s">
        <v>818</v>
      </c>
      <c r="G77" s="127" t="s">
        <v>640</v>
      </c>
      <c r="H77" s="133">
        <v>56</v>
      </c>
    </row>
    <row r="78" spans="1:8" x14ac:dyDescent="0.2">
      <c r="A78" s="127" t="s">
        <v>2644</v>
      </c>
      <c r="B78" s="127" t="s">
        <v>2663</v>
      </c>
      <c r="C78" s="127" t="s">
        <v>2664</v>
      </c>
      <c r="D78" s="127" t="s">
        <v>1143</v>
      </c>
      <c r="E78" s="132">
        <v>4.28</v>
      </c>
      <c r="F78" s="127" t="s">
        <v>1142</v>
      </c>
      <c r="G78" s="127" t="s">
        <v>640</v>
      </c>
      <c r="H78" s="133">
        <v>57</v>
      </c>
    </row>
    <row r="79" spans="1:8" x14ac:dyDescent="0.2">
      <c r="A79" s="127" t="s">
        <v>2644</v>
      </c>
      <c r="B79" s="127" t="s">
        <v>2665</v>
      </c>
      <c r="C79" s="127" t="s">
        <v>2666</v>
      </c>
      <c r="D79" s="127" t="s">
        <v>898</v>
      </c>
      <c r="E79" s="132">
        <v>29.25</v>
      </c>
      <c r="F79" s="127" t="s">
        <v>897</v>
      </c>
      <c r="G79" s="127" t="s">
        <v>640</v>
      </c>
      <c r="H79" s="133">
        <v>59</v>
      </c>
    </row>
    <row r="80" spans="1:8" x14ac:dyDescent="0.2">
      <c r="A80" s="127" t="s">
        <v>2644</v>
      </c>
      <c r="B80" s="127" t="s">
        <v>2667</v>
      </c>
      <c r="C80" s="127" t="s">
        <v>2668</v>
      </c>
      <c r="D80" s="127" t="s">
        <v>899</v>
      </c>
      <c r="E80" s="132">
        <v>15.12</v>
      </c>
      <c r="F80" s="127" t="s">
        <v>897</v>
      </c>
      <c r="G80" s="127" t="s">
        <v>640</v>
      </c>
      <c r="H80" s="133">
        <v>58</v>
      </c>
    </row>
    <row r="81" spans="1:11" x14ac:dyDescent="0.2">
      <c r="A81" s="127" t="s">
        <v>2644</v>
      </c>
      <c r="B81" s="127" t="s">
        <v>2669</v>
      </c>
      <c r="C81" s="127" t="s">
        <v>2670</v>
      </c>
      <c r="D81" s="127" t="s">
        <v>1046</v>
      </c>
      <c r="E81" s="132">
        <v>7.9</v>
      </c>
      <c r="F81" s="127" t="s">
        <v>1045</v>
      </c>
      <c r="G81" s="127" t="s">
        <v>640</v>
      </c>
      <c r="H81" s="133">
        <v>60</v>
      </c>
    </row>
    <row r="82" spans="1:11" x14ac:dyDescent="0.2">
      <c r="A82" s="127" t="s">
        <v>2644</v>
      </c>
      <c r="B82" s="127" t="s">
        <v>2671</v>
      </c>
      <c r="C82" s="127" t="s">
        <v>2672</v>
      </c>
      <c r="D82" s="127" t="s">
        <v>982</v>
      </c>
      <c r="E82" s="132">
        <v>7.3</v>
      </c>
      <c r="F82" s="127" t="s">
        <v>981</v>
      </c>
      <c r="G82" s="127" t="s">
        <v>640</v>
      </c>
      <c r="H82" s="129">
        <v>61</v>
      </c>
    </row>
    <row r="83" spans="1:11" x14ac:dyDescent="0.2">
      <c r="A83" s="127" t="s">
        <v>2644</v>
      </c>
      <c r="B83" s="127" t="s">
        <v>2673</v>
      </c>
      <c r="C83" s="127" t="s">
        <v>2674</v>
      </c>
      <c r="D83" s="127" t="s">
        <v>757</v>
      </c>
      <c r="E83" s="132">
        <v>6.93</v>
      </c>
      <c r="F83" s="127" t="s">
        <v>756</v>
      </c>
      <c r="G83" s="127" t="s">
        <v>640</v>
      </c>
      <c r="H83" s="129">
        <v>62</v>
      </c>
    </row>
    <row r="84" spans="1:11" x14ac:dyDescent="0.2">
      <c r="A84" s="127" t="s">
        <v>2644</v>
      </c>
      <c r="B84" s="127" t="s">
        <v>2675</v>
      </c>
      <c r="C84" s="127" t="s">
        <v>2676</v>
      </c>
      <c r="D84" s="127" t="s">
        <v>1001</v>
      </c>
      <c r="E84" s="132">
        <v>1.83</v>
      </c>
      <c r="F84" s="127" t="s">
        <v>1000</v>
      </c>
      <c r="G84" s="127" t="s">
        <v>640</v>
      </c>
      <c r="H84" s="129">
        <v>63</v>
      </c>
    </row>
    <row r="85" spans="1:11" x14ac:dyDescent="0.2">
      <c r="A85" s="127" t="s">
        <v>2644</v>
      </c>
      <c r="B85" s="127" t="s">
        <v>2677</v>
      </c>
      <c r="C85" s="127" t="s">
        <v>2678</v>
      </c>
      <c r="D85" s="127" t="s">
        <v>1064</v>
      </c>
      <c r="E85" s="132">
        <v>1.68</v>
      </c>
      <c r="F85" s="127" t="s">
        <v>1063</v>
      </c>
      <c r="G85" s="127" t="s">
        <v>640</v>
      </c>
      <c r="H85" s="129">
        <v>64</v>
      </c>
    </row>
    <row r="86" spans="1:11" x14ac:dyDescent="0.2">
      <c r="A86" s="127" t="s">
        <v>2644</v>
      </c>
      <c r="B86" s="127" t="s">
        <v>2679</v>
      </c>
      <c r="C86" s="127" t="s">
        <v>2680</v>
      </c>
      <c r="D86" s="127" t="s">
        <v>1437</v>
      </c>
      <c r="E86" s="132">
        <v>28.27</v>
      </c>
      <c r="F86" s="127" t="s">
        <v>1436</v>
      </c>
      <c r="G86" s="127" t="s">
        <v>640</v>
      </c>
      <c r="H86" s="129">
        <v>65</v>
      </c>
    </row>
    <row r="87" spans="1:11" x14ac:dyDescent="0.2">
      <c r="A87" s="127" t="s">
        <v>2644</v>
      </c>
      <c r="B87" s="127" t="s">
        <v>1508</v>
      </c>
      <c r="C87" s="127" t="s">
        <v>2681</v>
      </c>
      <c r="D87" s="127" t="s">
        <v>1478</v>
      </c>
      <c r="E87" s="132">
        <v>3.36</v>
      </c>
      <c r="F87" s="127" t="s">
        <v>1477</v>
      </c>
      <c r="G87" s="127" t="s">
        <v>640</v>
      </c>
      <c r="H87" s="129">
        <v>66</v>
      </c>
    </row>
    <row r="88" spans="1:11" x14ac:dyDescent="0.2">
      <c r="A88" s="127" t="s">
        <v>2644</v>
      </c>
      <c r="B88" s="127" t="s">
        <v>2682</v>
      </c>
      <c r="C88" s="127" t="s">
        <v>2683</v>
      </c>
      <c r="D88" s="127" t="s">
        <v>1265</v>
      </c>
      <c r="E88" s="132">
        <v>2.65</v>
      </c>
      <c r="F88" s="127" t="s">
        <v>1264</v>
      </c>
      <c r="G88" s="127" t="s">
        <v>640</v>
      </c>
      <c r="H88" s="129">
        <v>67</v>
      </c>
    </row>
    <row r="89" spans="1:11" x14ac:dyDescent="0.2">
      <c r="A89" s="127" t="s">
        <v>2644</v>
      </c>
      <c r="B89" s="127" t="s">
        <v>2684</v>
      </c>
      <c r="C89" s="127" t="s">
        <v>2685</v>
      </c>
      <c r="D89" s="127" t="s">
        <v>972</v>
      </c>
      <c r="E89" s="132">
        <v>1.79</v>
      </c>
      <c r="F89" s="127" t="s">
        <v>971</v>
      </c>
      <c r="G89" s="127" t="s">
        <v>640</v>
      </c>
      <c r="H89" s="129">
        <v>68</v>
      </c>
    </row>
    <row r="90" spans="1:11" x14ac:dyDescent="0.2">
      <c r="A90" s="127" t="s">
        <v>2644</v>
      </c>
      <c r="B90" s="127" t="s">
        <v>2686</v>
      </c>
      <c r="C90" s="127" t="s">
        <v>2687</v>
      </c>
      <c r="D90" s="127" t="s">
        <v>1044</v>
      </c>
      <c r="E90" s="132">
        <v>13.6</v>
      </c>
      <c r="F90" s="127" t="s">
        <v>1043</v>
      </c>
      <c r="G90" s="127" t="s">
        <v>640</v>
      </c>
      <c r="H90" s="129">
        <v>69</v>
      </c>
    </row>
    <row r="91" spans="1:11" x14ac:dyDescent="0.2">
      <c r="A91" s="127" t="s">
        <v>2644</v>
      </c>
      <c r="B91" s="127" t="s">
        <v>2688</v>
      </c>
      <c r="C91" s="127" t="s">
        <v>2689</v>
      </c>
      <c r="D91" s="127" t="s">
        <v>1287</v>
      </c>
      <c r="E91" s="132">
        <v>10.79</v>
      </c>
      <c r="F91" s="127" t="s">
        <v>1286</v>
      </c>
      <c r="G91" s="127" t="s">
        <v>640</v>
      </c>
      <c r="H91" s="129">
        <v>70</v>
      </c>
      <c r="K91" s="122" t="s">
        <v>1053</v>
      </c>
    </row>
    <row r="92" spans="1:11" x14ac:dyDescent="0.2">
      <c r="A92" s="127" t="s">
        <v>2644</v>
      </c>
      <c r="B92" s="127" t="s">
        <v>2690</v>
      </c>
      <c r="C92" s="127" t="s">
        <v>2691</v>
      </c>
      <c r="D92" s="127" t="s">
        <v>1371</v>
      </c>
      <c r="E92" s="132">
        <v>2.0299999999999998</v>
      </c>
      <c r="F92" s="127" t="s">
        <v>1370</v>
      </c>
      <c r="G92" s="127" t="s">
        <v>640</v>
      </c>
      <c r="H92" s="129">
        <v>71</v>
      </c>
    </row>
    <row r="93" spans="1:11" x14ac:dyDescent="0.2">
      <c r="A93" s="127" t="s">
        <v>2644</v>
      </c>
      <c r="B93" s="127" t="s">
        <v>2692</v>
      </c>
      <c r="C93" s="127" t="s">
        <v>2693</v>
      </c>
      <c r="D93" s="127" t="s">
        <v>1283</v>
      </c>
      <c r="E93" s="132">
        <v>22.21</v>
      </c>
      <c r="F93" s="127" t="s">
        <v>1282</v>
      </c>
      <c r="G93" s="127" t="s">
        <v>640</v>
      </c>
      <c r="H93" s="129">
        <v>72</v>
      </c>
    </row>
    <row r="94" spans="1:11" x14ac:dyDescent="0.2">
      <c r="A94" s="127" t="s">
        <v>2644</v>
      </c>
      <c r="B94" s="127" t="s">
        <v>1380</v>
      </c>
      <c r="C94" s="127" t="s">
        <v>2694</v>
      </c>
      <c r="D94" s="127" t="s">
        <v>1475</v>
      </c>
      <c r="E94" s="132">
        <v>1.89</v>
      </c>
      <c r="F94" s="127" t="s">
        <v>1474</v>
      </c>
      <c r="G94" s="127" t="s">
        <v>640</v>
      </c>
      <c r="H94" s="129">
        <v>73</v>
      </c>
    </row>
    <row r="95" spans="1:11" x14ac:dyDescent="0.2">
      <c r="A95" s="127" t="s">
        <v>2644</v>
      </c>
      <c r="B95" s="127" t="s">
        <v>2695</v>
      </c>
      <c r="C95" s="127" t="s">
        <v>2696</v>
      </c>
      <c r="D95" s="127" t="s">
        <v>646</v>
      </c>
      <c r="E95" s="132">
        <v>5.0599999999999996</v>
      </c>
      <c r="F95" s="127" t="s">
        <v>645</v>
      </c>
      <c r="G95" s="127" t="s">
        <v>640</v>
      </c>
      <c r="H95" s="129">
        <v>74</v>
      </c>
    </row>
    <row r="96" spans="1:11" x14ac:dyDescent="0.2">
      <c r="A96" s="127" t="s">
        <v>2697</v>
      </c>
      <c r="B96" s="127" t="s">
        <v>2698</v>
      </c>
      <c r="C96" s="127" t="s">
        <v>2699</v>
      </c>
      <c r="D96" s="127" t="s">
        <v>1400</v>
      </c>
      <c r="E96" s="132">
        <v>5.04</v>
      </c>
      <c r="F96" s="127" t="s">
        <v>1399</v>
      </c>
      <c r="G96" s="127" t="s">
        <v>640</v>
      </c>
      <c r="H96" s="129">
        <v>176</v>
      </c>
    </row>
    <row r="97" spans="1:15" x14ac:dyDescent="0.2">
      <c r="A97" s="127" t="s">
        <v>2697</v>
      </c>
      <c r="B97" s="127" t="s">
        <v>2700</v>
      </c>
      <c r="C97" s="127" t="s">
        <v>2701</v>
      </c>
      <c r="D97" s="127" t="s">
        <v>1452</v>
      </c>
      <c r="E97" s="132">
        <v>5.17</v>
      </c>
      <c r="F97" s="127" t="s">
        <v>1451</v>
      </c>
      <c r="G97" s="127" t="s">
        <v>640</v>
      </c>
      <c r="H97" s="129">
        <v>177</v>
      </c>
    </row>
    <row r="98" spans="1:15" x14ac:dyDescent="0.2">
      <c r="A98" s="127" t="s">
        <v>2697</v>
      </c>
      <c r="B98" s="127" t="s">
        <v>2640</v>
      </c>
      <c r="C98" s="127" t="s">
        <v>2702</v>
      </c>
      <c r="D98" s="127" t="s">
        <v>1016</v>
      </c>
      <c r="E98" s="132">
        <v>10.74</v>
      </c>
      <c r="F98" s="127" t="s">
        <v>1015</v>
      </c>
      <c r="G98" s="127" t="s">
        <v>640</v>
      </c>
      <c r="H98" s="129">
        <v>178</v>
      </c>
    </row>
    <row r="99" spans="1:15" x14ac:dyDescent="0.2">
      <c r="A99" s="127" t="s">
        <v>2697</v>
      </c>
      <c r="B99" s="127" t="s">
        <v>2703</v>
      </c>
      <c r="C99" s="127" t="s">
        <v>2704</v>
      </c>
      <c r="D99" s="127" t="s">
        <v>642</v>
      </c>
      <c r="E99" s="132">
        <v>44.08</v>
      </c>
      <c r="F99" s="127" t="s">
        <v>641</v>
      </c>
      <c r="G99" s="127" t="s">
        <v>640</v>
      </c>
      <c r="H99" s="129">
        <v>179</v>
      </c>
      <c r="J99" s="122" t="s">
        <v>1529</v>
      </c>
      <c r="M99" s="122" t="s">
        <v>1528</v>
      </c>
    </row>
    <row r="100" spans="1:15" x14ac:dyDescent="0.2">
      <c r="A100" s="127" t="s">
        <v>2697</v>
      </c>
      <c r="B100" s="127" t="s">
        <v>2705</v>
      </c>
      <c r="C100" s="127" t="s">
        <v>2706</v>
      </c>
      <c r="D100" s="127" t="s">
        <v>1357</v>
      </c>
      <c r="E100" s="132">
        <v>2.82</v>
      </c>
      <c r="F100" s="127" t="s">
        <v>1356</v>
      </c>
      <c r="G100" s="127" t="s">
        <v>640</v>
      </c>
      <c r="H100" s="129">
        <v>180</v>
      </c>
    </row>
    <row r="101" spans="1:15" x14ac:dyDescent="0.2">
      <c r="A101" s="127" t="s">
        <v>2697</v>
      </c>
      <c r="B101" s="127" t="s">
        <v>2707</v>
      </c>
      <c r="C101" s="127" t="s">
        <v>2708</v>
      </c>
      <c r="D101" s="127" t="s">
        <v>995</v>
      </c>
      <c r="E101" s="132">
        <v>1.89</v>
      </c>
      <c r="F101" s="127" t="s">
        <v>994</v>
      </c>
      <c r="G101" s="127" t="s">
        <v>640</v>
      </c>
      <c r="H101" s="129">
        <v>181</v>
      </c>
    </row>
    <row r="102" spans="1:15" x14ac:dyDescent="0.2">
      <c r="A102" s="127" t="s">
        <v>2697</v>
      </c>
      <c r="B102" s="127" t="s">
        <v>2709</v>
      </c>
      <c r="C102" s="127" t="s">
        <v>2710</v>
      </c>
      <c r="D102" s="127" t="s">
        <v>1331</v>
      </c>
      <c r="E102" s="132">
        <v>2.5</v>
      </c>
      <c r="F102" s="127" t="s">
        <v>1330</v>
      </c>
      <c r="G102" s="127" t="s">
        <v>640</v>
      </c>
      <c r="H102" s="129">
        <v>182</v>
      </c>
    </row>
    <row r="103" spans="1:15" x14ac:dyDescent="0.2">
      <c r="A103" s="127" t="s">
        <v>2697</v>
      </c>
      <c r="B103" s="127" t="s">
        <v>2711</v>
      </c>
      <c r="C103" s="127" t="s">
        <v>2712</v>
      </c>
      <c r="D103" s="127" t="s">
        <v>1205</v>
      </c>
      <c r="E103" s="132">
        <v>5.8</v>
      </c>
      <c r="F103" s="127" t="s">
        <v>1204</v>
      </c>
      <c r="G103" s="127" t="s">
        <v>640</v>
      </c>
      <c r="H103" s="129">
        <v>183</v>
      </c>
    </row>
    <row r="104" spans="1:15" x14ac:dyDescent="0.2">
      <c r="A104" s="127" t="s">
        <v>2697</v>
      </c>
      <c r="B104" s="127" t="s">
        <v>2713</v>
      </c>
      <c r="C104" s="127" t="s">
        <v>2714</v>
      </c>
      <c r="D104" s="127" t="s">
        <v>896</v>
      </c>
      <c r="E104" s="132">
        <v>10.14</v>
      </c>
      <c r="F104" s="127" t="s">
        <v>895</v>
      </c>
      <c r="G104" s="127" t="s">
        <v>640</v>
      </c>
      <c r="H104" s="129">
        <v>184</v>
      </c>
      <c r="L104" s="122" t="s">
        <v>1527</v>
      </c>
      <c r="O104" s="122" t="s">
        <v>1526</v>
      </c>
    </row>
    <row r="105" spans="1:15" x14ac:dyDescent="0.2">
      <c r="A105" s="127" t="s">
        <v>2697</v>
      </c>
      <c r="B105" s="127" t="s">
        <v>2715</v>
      </c>
      <c r="C105" s="127" t="s">
        <v>2716</v>
      </c>
      <c r="D105" s="127" t="s">
        <v>1295</v>
      </c>
      <c r="E105" s="132">
        <v>3.36</v>
      </c>
      <c r="F105" s="127" t="s">
        <v>1294</v>
      </c>
      <c r="G105" s="127" t="s">
        <v>640</v>
      </c>
      <c r="H105" s="129">
        <v>185</v>
      </c>
    </row>
    <row r="106" spans="1:15" x14ac:dyDescent="0.2">
      <c r="A106" s="127" t="s">
        <v>2697</v>
      </c>
      <c r="B106" s="127" t="s">
        <v>2717</v>
      </c>
      <c r="C106" s="127" t="s">
        <v>2718</v>
      </c>
      <c r="D106" s="127" t="s">
        <v>780</v>
      </c>
      <c r="E106" s="132">
        <v>9.93</v>
      </c>
      <c r="F106" s="127" t="s">
        <v>779</v>
      </c>
      <c r="G106" s="127" t="s">
        <v>640</v>
      </c>
      <c r="H106" s="129">
        <v>186</v>
      </c>
    </row>
    <row r="107" spans="1:15" x14ac:dyDescent="0.2">
      <c r="A107" s="127" t="s">
        <v>2697</v>
      </c>
      <c r="B107" s="127" t="s">
        <v>2719</v>
      </c>
      <c r="C107" s="127" t="s">
        <v>2720</v>
      </c>
      <c r="D107" s="127" t="s">
        <v>1297</v>
      </c>
      <c r="E107" s="132">
        <v>9.34</v>
      </c>
      <c r="F107" s="127" t="s">
        <v>1296</v>
      </c>
      <c r="G107" s="127" t="s">
        <v>640</v>
      </c>
      <c r="H107" s="129">
        <v>187</v>
      </c>
    </row>
    <row r="108" spans="1:15" x14ac:dyDescent="0.2">
      <c r="A108" s="127" t="s">
        <v>2697</v>
      </c>
      <c r="B108" s="127" t="s">
        <v>2721</v>
      </c>
      <c r="C108" s="127" t="s">
        <v>2722</v>
      </c>
      <c r="D108" s="127" t="s">
        <v>656</v>
      </c>
      <c r="E108" s="132">
        <v>3.21</v>
      </c>
      <c r="F108" s="127" t="s">
        <v>655</v>
      </c>
      <c r="G108" s="127" t="s">
        <v>640</v>
      </c>
      <c r="H108" s="129">
        <v>188</v>
      </c>
    </row>
    <row r="109" spans="1:15" x14ac:dyDescent="0.2">
      <c r="A109" s="127" t="s">
        <v>2697</v>
      </c>
      <c r="B109" s="127" t="s">
        <v>2723</v>
      </c>
      <c r="C109" s="127" t="s">
        <v>2724</v>
      </c>
      <c r="D109" s="127" t="s">
        <v>830</v>
      </c>
      <c r="E109" s="132">
        <v>6.24</v>
      </c>
      <c r="F109" s="127" t="s">
        <v>829</v>
      </c>
      <c r="G109" s="127" t="s">
        <v>640</v>
      </c>
      <c r="H109" s="129">
        <v>189</v>
      </c>
    </row>
    <row r="110" spans="1:15" x14ac:dyDescent="0.2">
      <c r="A110" s="127" t="s">
        <v>2697</v>
      </c>
      <c r="B110" s="127" t="s">
        <v>2725</v>
      </c>
      <c r="C110" s="127" t="s">
        <v>2726</v>
      </c>
      <c r="D110" s="127" t="s">
        <v>702</v>
      </c>
      <c r="E110" s="132">
        <v>5.0999999999999996</v>
      </c>
      <c r="F110" s="127" t="s">
        <v>701</v>
      </c>
      <c r="G110" s="127" t="s">
        <v>640</v>
      </c>
      <c r="H110" s="129">
        <v>190</v>
      </c>
    </row>
    <row r="111" spans="1:15" x14ac:dyDescent="0.2">
      <c r="A111" s="127" t="s">
        <v>2697</v>
      </c>
      <c r="B111" s="127" t="s">
        <v>2727</v>
      </c>
      <c r="C111" s="127" t="s">
        <v>2728</v>
      </c>
      <c r="D111" s="127" t="s">
        <v>1011</v>
      </c>
      <c r="E111" s="132">
        <v>5.16</v>
      </c>
      <c r="F111" s="127" t="s">
        <v>1010</v>
      </c>
      <c r="G111" s="127" t="s">
        <v>640</v>
      </c>
      <c r="H111" s="129">
        <v>191</v>
      </c>
    </row>
    <row r="112" spans="1:15" x14ac:dyDescent="0.2">
      <c r="A112" s="127" t="s">
        <v>2697</v>
      </c>
      <c r="B112" s="127" t="s">
        <v>2729</v>
      </c>
      <c r="C112" s="127" t="s">
        <v>2730</v>
      </c>
      <c r="D112" s="127" t="s">
        <v>694</v>
      </c>
      <c r="E112" s="132">
        <v>3.82</v>
      </c>
      <c r="F112" s="127" t="s">
        <v>693</v>
      </c>
      <c r="G112" s="127" t="s">
        <v>640</v>
      </c>
      <c r="H112" s="129">
        <v>192</v>
      </c>
    </row>
    <row r="113" spans="1:8" x14ac:dyDescent="0.2">
      <c r="A113" s="127" t="s">
        <v>2697</v>
      </c>
      <c r="B113" s="127" t="s">
        <v>2731</v>
      </c>
      <c r="C113" s="127" t="s">
        <v>2732</v>
      </c>
      <c r="D113" s="127" t="s">
        <v>1233</v>
      </c>
      <c r="E113" s="132">
        <v>2.4300000000000002</v>
      </c>
      <c r="F113" s="127" t="s">
        <v>1232</v>
      </c>
      <c r="G113" s="127" t="s">
        <v>640</v>
      </c>
      <c r="H113" s="129">
        <v>193</v>
      </c>
    </row>
    <row r="114" spans="1:8" x14ac:dyDescent="0.2">
      <c r="A114" s="127" t="s">
        <v>2697</v>
      </c>
      <c r="B114" s="127" t="s">
        <v>2733</v>
      </c>
      <c r="C114" s="127" t="s">
        <v>2734</v>
      </c>
      <c r="D114" s="127" t="s">
        <v>1375</v>
      </c>
      <c r="E114" s="132">
        <v>5.32</v>
      </c>
      <c r="F114" s="127" t="s">
        <v>1374</v>
      </c>
      <c r="G114" s="127" t="s">
        <v>640</v>
      </c>
      <c r="H114" s="129">
        <v>194</v>
      </c>
    </row>
    <row r="115" spans="1:8" x14ac:dyDescent="0.2">
      <c r="A115" s="127" t="s">
        <v>2697</v>
      </c>
      <c r="B115" s="127" t="s">
        <v>2735</v>
      </c>
      <c r="C115" s="127" t="s">
        <v>2736</v>
      </c>
      <c r="D115" s="127" t="s">
        <v>1511</v>
      </c>
      <c r="E115" s="132">
        <v>1.23</v>
      </c>
      <c r="F115" s="127" t="s">
        <v>1510</v>
      </c>
      <c r="G115" s="127" t="s">
        <v>640</v>
      </c>
      <c r="H115" s="129">
        <v>195</v>
      </c>
    </row>
    <row r="116" spans="1:8" x14ac:dyDescent="0.2">
      <c r="A116" s="127" t="s">
        <v>2697</v>
      </c>
      <c r="B116" s="127" t="s">
        <v>2737</v>
      </c>
      <c r="C116" s="127" t="s">
        <v>2738</v>
      </c>
      <c r="D116" s="127" t="s">
        <v>2739</v>
      </c>
      <c r="E116" s="132">
        <v>25.14</v>
      </c>
      <c r="F116" s="127" t="s">
        <v>2740</v>
      </c>
      <c r="G116" s="127" t="s">
        <v>640</v>
      </c>
      <c r="H116" s="129">
        <v>196</v>
      </c>
    </row>
    <row r="117" spans="1:8" x14ac:dyDescent="0.2">
      <c r="A117" s="127" t="s">
        <v>2697</v>
      </c>
      <c r="B117" s="127" t="s">
        <v>2741</v>
      </c>
      <c r="C117" s="127" t="s">
        <v>2742</v>
      </c>
      <c r="D117" s="127" t="s">
        <v>1442</v>
      </c>
      <c r="E117" s="132">
        <v>8.3800000000000008</v>
      </c>
      <c r="F117" s="127" t="s">
        <v>1441</v>
      </c>
      <c r="G117" s="127" t="s">
        <v>640</v>
      </c>
      <c r="H117" s="129">
        <v>197</v>
      </c>
    </row>
    <row r="118" spans="1:8" x14ac:dyDescent="0.2">
      <c r="A118" s="127" t="s">
        <v>2697</v>
      </c>
      <c r="B118" s="127" t="s">
        <v>2743</v>
      </c>
      <c r="C118" s="127" t="s">
        <v>2744</v>
      </c>
      <c r="D118" s="127" t="s">
        <v>1048</v>
      </c>
      <c r="E118" s="132">
        <v>3.25</v>
      </c>
      <c r="F118" s="127" t="s">
        <v>1047</v>
      </c>
      <c r="G118" s="127" t="s">
        <v>640</v>
      </c>
      <c r="H118" s="129">
        <v>198</v>
      </c>
    </row>
    <row r="119" spans="1:8" x14ac:dyDescent="0.2">
      <c r="A119" s="127" t="s">
        <v>2697</v>
      </c>
      <c r="B119" s="127" t="s">
        <v>2745</v>
      </c>
      <c r="C119" s="127" t="s">
        <v>2746</v>
      </c>
      <c r="D119" s="127" t="s">
        <v>796</v>
      </c>
      <c r="E119" s="132">
        <v>6.06</v>
      </c>
      <c r="F119" s="127" t="s">
        <v>795</v>
      </c>
      <c r="G119" s="127" t="s">
        <v>640</v>
      </c>
      <c r="H119" s="129">
        <v>199</v>
      </c>
    </row>
    <row r="120" spans="1:8" x14ac:dyDescent="0.2">
      <c r="A120" s="127" t="s">
        <v>2697</v>
      </c>
      <c r="B120" s="127" t="s">
        <v>2747</v>
      </c>
      <c r="C120" s="127" t="s">
        <v>2748</v>
      </c>
      <c r="D120" s="127" t="s">
        <v>753</v>
      </c>
      <c r="E120" s="132">
        <v>16.53</v>
      </c>
      <c r="F120" s="127" t="s">
        <v>752</v>
      </c>
      <c r="G120" s="127" t="s">
        <v>640</v>
      </c>
      <c r="H120" s="129">
        <v>200</v>
      </c>
    </row>
    <row r="121" spans="1:8" x14ac:dyDescent="0.2">
      <c r="A121" s="127" t="s">
        <v>2697</v>
      </c>
      <c r="B121" s="127" t="s">
        <v>2749</v>
      </c>
      <c r="C121" s="127" t="s">
        <v>2750</v>
      </c>
      <c r="D121" s="127" t="s">
        <v>1382</v>
      </c>
      <c r="E121" s="132">
        <v>4.5999999999999996</v>
      </c>
      <c r="F121" s="127" t="s">
        <v>1381</v>
      </c>
      <c r="G121" s="127" t="s">
        <v>640</v>
      </c>
      <c r="H121" s="129">
        <v>201</v>
      </c>
    </row>
    <row r="122" spans="1:8" x14ac:dyDescent="0.2">
      <c r="A122" s="127" t="s">
        <v>2697</v>
      </c>
      <c r="B122" s="127" t="s">
        <v>2751</v>
      </c>
      <c r="C122" s="127" t="s">
        <v>2752</v>
      </c>
      <c r="D122" s="127" t="s">
        <v>1501</v>
      </c>
      <c r="E122" s="132">
        <v>23.77</v>
      </c>
      <c r="F122" s="127" t="s">
        <v>1500</v>
      </c>
      <c r="G122" s="127" t="s">
        <v>640</v>
      </c>
      <c r="H122" s="129">
        <v>202</v>
      </c>
    </row>
    <row r="123" spans="1:8" x14ac:dyDescent="0.2">
      <c r="A123" s="127" t="s">
        <v>2697</v>
      </c>
      <c r="B123" s="127" t="s">
        <v>2753</v>
      </c>
      <c r="C123" s="127" t="s">
        <v>2754</v>
      </c>
      <c r="D123" s="127" t="s">
        <v>698</v>
      </c>
      <c r="E123" s="132">
        <v>8.3800000000000008</v>
      </c>
      <c r="F123" s="127" t="s">
        <v>697</v>
      </c>
      <c r="G123" s="127" t="s">
        <v>640</v>
      </c>
      <c r="H123" s="129">
        <v>203</v>
      </c>
    </row>
    <row r="124" spans="1:8" x14ac:dyDescent="0.2">
      <c r="A124" s="127" t="s">
        <v>2697</v>
      </c>
      <c r="B124" s="127" t="s">
        <v>2755</v>
      </c>
      <c r="C124" s="127" t="s">
        <v>2756</v>
      </c>
      <c r="D124" s="127" t="s">
        <v>859</v>
      </c>
      <c r="E124" s="132">
        <v>6.57</v>
      </c>
      <c r="F124" s="127" t="s">
        <v>858</v>
      </c>
      <c r="G124" s="127" t="s">
        <v>640</v>
      </c>
      <c r="H124" s="129">
        <v>204</v>
      </c>
    </row>
    <row r="125" spans="1:8" x14ac:dyDescent="0.2">
      <c r="A125" s="127" t="s">
        <v>2697</v>
      </c>
      <c r="B125" s="127" t="s">
        <v>2757</v>
      </c>
      <c r="C125" s="127" t="s">
        <v>2758</v>
      </c>
      <c r="D125" s="127" t="s">
        <v>1415</v>
      </c>
      <c r="E125" s="132">
        <v>9.31</v>
      </c>
      <c r="F125" s="127" t="s">
        <v>1414</v>
      </c>
      <c r="G125" s="127" t="s">
        <v>640</v>
      </c>
      <c r="H125" s="129">
        <v>205</v>
      </c>
    </row>
    <row r="126" spans="1:8" x14ac:dyDescent="0.2">
      <c r="A126" s="127" t="s">
        <v>2697</v>
      </c>
      <c r="B126" s="127" t="s">
        <v>2759</v>
      </c>
      <c r="C126" s="127" t="s">
        <v>2760</v>
      </c>
      <c r="D126" s="127" t="s">
        <v>1405</v>
      </c>
      <c r="E126" s="132">
        <v>3.57</v>
      </c>
      <c r="F126" s="127" t="s">
        <v>1404</v>
      </c>
      <c r="G126" s="127" t="s">
        <v>640</v>
      </c>
      <c r="H126" s="129">
        <v>206</v>
      </c>
    </row>
    <row r="127" spans="1:8" x14ac:dyDescent="0.2">
      <c r="A127" s="127" t="s">
        <v>2697</v>
      </c>
      <c r="B127" s="127" t="s">
        <v>1571</v>
      </c>
      <c r="C127" s="127" t="s">
        <v>2761</v>
      </c>
      <c r="D127" s="127" t="s">
        <v>993</v>
      </c>
      <c r="E127" s="132">
        <v>2.04</v>
      </c>
      <c r="F127" s="127" t="s">
        <v>992</v>
      </c>
      <c r="G127" s="127" t="s">
        <v>640</v>
      </c>
      <c r="H127" s="129">
        <v>207</v>
      </c>
    </row>
    <row r="128" spans="1:8" x14ac:dyDescent="0.2">
      <c r="A128" s="127" t="s">
        <v>2697</v>
      </c>
      <c r="B128" s="127" t="s">
        <v>2762</v>
      </c>
      <c r="C128" s="127" t="s">
        <v>2763</v>
      </c>
      <c r="D128" s="127" t="s">
        <v>1066</v>
      </c>
      <c r="E128" s="132">
        <v>3.18</v>
      </c>
      <c r="F128" s="127" t="s">
        <v>1065</v>
      </c>
      <c r="G128" s="127" t="s">
        <v>640</v>
      </c>
      <c r="H128" s="129">
        <v>208</v>
      </c>
    </row>
    <row r="129" spans="1:11" x14ac:dyDescent="0.2">
      <c r="A129" s="127" t="s">
        <v>2697</v>
      </c>
      <c r="B129" s="127" t="s">
        <v>2764</v>
      </c>
      <c r="C129" s="127" t="s">
        <v>2765</v>
      </c>
      <c r="D129" s="127" t="s">
        <v>827</v>
      </c>
      <c r="E129" s="132">
        <v>2.76</v>
      </c>
      <c r="F129" s="127" t="s">
        <v>826</v>
      </c>
      <c r="G129" s="127" t="s">
        <v>640</v>
      </c>
      <c r="H129" s="129">
        <v>209</v>
      </c>
    </row>
    <row r="130" spans="1:11" x14ac:dyDescent="0.2">
      <c r="A130" s="127" t="s">
        <v>2697</v>
      </c>
      <c r="B130" s="127" t="s">
        <v>2766</v>
      </c>
      <c r="C130" s="127" t="s">
        <v>2767</v>
      </c>
      <c r="D130" s="127" t="s">
        <v>1387</v>
      </c>
      <c r="E130" s="132">
        <v>6.16</v>
      </c>
      <c r="F130" s="127" t="s">
        <v>1386</v>
      </c>
      <c r="G130" s="127" t="s">
        <v>640</v>
      </c>
      <c r="H130" s="129">
        <v>210</v>
      </c>
      <c r="I130" s="134"/>
      <c r="K130" s="104"/>
    </row>
    <row r="131" spans="1:11" x14ac:dyDescent="0.2">
      <c r="A131" s="127" t="s">
        <v>2768</v>
      </c>
      <c r="B131" s="127" t="s">
        <v>2769</v>
      </c>
      <c r="C131" s="127" t="s">
        <v>2770</v>
      </c>
      <c r="D131" s="127" t="s">
        <v>950</v>
      </c>
      <c r="E131" s="132">
        <v>4.38</v>
      </c>
      <c r="F131" s="127" t="s">
        <v>949</v>
      </c>
      <c r="G131" s="127" t="s">
        <v>640</v>
      </c>
      <c r="H131" s="129">
        <v>384</v>
      </c>
    </row>
    <row r="132" spans="1:11" x14ac:dyDescent="0.2">
      <c r="A132" s="127" t="s">
        <v>2768</v>
      </c>
      <c r="B132" s="127" t="s">
        <v>2771</v>
      </c>
      <c r="C132" s="127" t="s">
        <v>2772</v>
      </c>
      <c r="D132" s="127" t="s">
        <v>1424</v>
      </c>
      <c r="E132" s="132">
        <v>9.6300000000000008</v>
      </c>
      <c r="F132" s="127" t="s">
        <v>1423</v>
      </c>
      <c r="G132" s="127" t="s">
        <v>640</v>
      </c>
      <c r="H132" s="129">
        <v>385</v>
      </c>
    </row>
    <row r="133" spans="1:11" x14ac:dyDescent="0.2">
      <c r="A133" s="127" t="s">
        <v>2768</v>
      </c>
      <c r="B133" s="127" t="s">
        <v>2773</v>
      </c>
      <c r="C133" s="127" t="s">
        <v>2774</v>
      </c>
      <c r="D133" s="127" t="s">
        <v>1168</v>
      </c>
      <c r="E133" s="132">
        <v>123</v>
      </c>
      <c r="F133" s="127" t="s">
        <v>1167</v>
      </c>
      <c r="G133" s="127" t="s">
        <v>640</v>
      </c>
      <c r="H133" s="129">
        <v>386</v>
      </c>
    </row>
    <row r="134" spans="1:11" x14ac:dyDescent="0.2">
      <c r="A134" s="127" t="s">
        <v>2768</v>
      </c>
      <c r="B134" s="127" t="s">
        <v>2775</v>
      </c>
      <c r="C134" s="127" t="s">
        <v>2776</v>
      </c>
      <c r="D134" s="127" t="s">
        <v>1030</v>
      </c>
      <c r="E134" s="132">
        <v>28.86</v>
      </c>
      <c r="F134" s="127" t="s">
        <v>1029</v>
      </c>
      <c r="G134" s="127" t="s">
        <v>640</v>
      </c>
      <c r="H134" s="129">
        <v>387</v>
      </c>
    </row>
    <row r="135" spans="1:11" x14ac:dyDescent="0.2">
      <c r="A135" s="127" t="s">
        <v>2768</v>
      </c>
      <c r="B135" s="127" t="s">
        <v>2777</v>
      </c>
      <c r="C135" s="127" t="s">
        <v>2778</v>
      </c>
      <c r="D135" s="127" t="s">
        <v>692</v>
      </c>
      <c r="E135" s="132">
        <v>9.9</v>
      </c>
      <c r="F135" s="127" t="s">
        <v>691</v>
      </c>
      <c r="G135" s="127" t="s">
        <v>640</v>
      </c>
      <c r="H135" s="129">
        <v>388</v>
      </c>
    </row>
    <row r="136" spans="1:11" x14ac:dyDescent="0.2">
      <c r="A136" s="127" t="s">
        <v>2768</v>
      </c>
      <c r="B136" s="127" t="s">
        <v>2779</v>
      </c>
      <c r="C136" s="127" t="s">
        <v>2780</v>
      </c>
      <c r="D136" s="127" t="s">
        <v>1003</v>
      </c>
      <c r="E136" s="132">
        <v>17.87</v>
      </c>
      <c r="F136" s="127" t="s">
        <v>1002</v>
      </c>
      <c r="G136" s="127" t="s">
        <v>640</v>
      </c>
      <c r="H136" s="129">
        <v>389</v>
      </c>
    </row>
    <row r="137" spans="1:11" x14ac:dyDescent="0.2">
      <c r="A137" s="127" t="s">
        <v>2768</v>
      </c>
      <c r="B137" s="127" t="s">
        <v>2781</v>
      </c>
      <c r="C137" s="127" t="s">
        <v>2782</v>
      </c>
      <c r="D137" s="127" t="s">
        <v>881</v>
      </c>
      <c r="E137" s="132">
        <v>6.12</v>
      </c>
      <c r="F137" s="127" t="s">
        <v>880</v>
      </c>
      <c r="G137" s="127" t="s">
        <v>640</v>
      </c>
      <c r="H137" s="129">
        <v>390</v>
      </c>
    </row>
    <row r="138" spans="1:11" x14ac:dyDescent="0.2">
      <c r="A138" s="127" t="s">
        <v>2768</v>
      </c>
      <c r="B138" s="127" t="s">
        <v>2783</v>
      </c>
      <c r="C138" s="127" t="s">
        <v>2784</v>
      </c>
      <c r="D138" s="127" t="s">
        <v>863</v>
      </c>
      <c r="E138" s="132">
        <v>3.75</v>
      </c>
      <c r="F138" s="127" t="s">
        <v>862</v>
      </c>
      <c r="G138" s="127" t="s">
        <v>640</v>
      </c>
      <c r="H138" s="129">
        <v>391</v>
      </c>
    </row>
    <row r="139" spans="1:11" x14ac:dyDescent="0.2">
      <c r="A139" s="127" t="s">
        <v>2768</v>
      </c>
      <c r="B139" s="127" t="s">
        <v>2785</v>
      </c>
      <c r="C139" s="127" t="s">
        <v>2786</v>
      </c>
      <c r="D139" s="127" t="s">
        <v>1420</v>
      </c>
      <c r="E139" s="132">
        <v>8.3800000000000008</v>
      </c>
      <c r="F139" s="127" t="s">
        <v>1419</v>
      </c>
      <c r="G139" s="127" t="s">
        <v>640</v>
      </c>
      <c r="H139" s="129">
        <v>392</v>
      </c>
    </row>
    <row r="140" spans="1:11" x14ac:dyDescent="0.2">
      <c r="A140" s="127" t="s">
        <v>2768</v>
      </c>
      <c r="B140" s="127" t="s">
        <v>2787</v>
      </c>
      <c r="C140" s="127" t="s">
        <v>2788</v>
      </c>
      <c r="D140" s="127" t="s">
        <v>1316</v>
      </c>
      <c r="E140" s="132">
        <v>1.69</v>
      </c>
      <c r="F140" s="127" t="s">
        <v>1315</v>
      </c>
      <c r="G140" s="127" t="s">
        <v>640</v>
      </c>
      <c r="H140" s="133">
        <v>393</v>
      </c>
    </row>
    <row r="141" spans="1:11" x14ac:dyDescent="0.2">
      <c r="A141" s="127" t="s">
        <v>2768</v>
      </c>
      <c r="B141" s="127" t="s">
        <v>2789</v>
      </c>
      <c r="C141" s="127" t="s">
        <v>2790</v>
      </c>
      <c r="D141" s="127" t="s">
        <v>808</v>
      </c>
      <c r="E141" s="132">
        <v>3.81</v>
      </c>
      <c r="F141" s="127" t="s">
        <v>807</v>
      </c>
      <c r="G141" s="127" t="s">
        <v>640</v>
      </c>
      <c r="H141" s="129">
        <v>394</v>
      </c>
    </row>
    <row r="142" spans="1:11" x14ac:dyDescent="0.2">
      <c r="A142" s="127" t="s">
        <v>2768</v>
      </c>
      <c r="B142" s="127" t="s">
        <v>2791</v>
      </c>
      <c r="C142" s="127" t="s">
        <v>2792</v>
      </c>
      <c r="D142" s="127" t="s">
        <v>926</v>
      </c>
      <c r="E142" s="132">
        <v>16.91</v>
      </c>
      <c r="F142" s="127" t="s">
        <v>925</v>
      </c>
      <c r="G142" s="127" t="s">
        <v>640</v>
      </c>
      <c r="H142" s="129">
        <v>395</v>
      </c>
    </row>
    <row r="143" spans="1:11" x14ac:dyDescent="0.2">
      <c r="A143" s="127" t="s">
        <v>2768</v>
      </c>
      <c r="B143" s="127" t="s">
        <v>1494</v>
      </c>
      <c r="C143" s="127" t="s">
        <v>2793</v>
      </c>
      <c r="D143" s="127" t="s">
        <v>1042</v>
      </c>
      <c r="E143" s="132">
        <v>8.68</v>
      </c>
      <c r="F143" s="127" t="s">
        <v>1041</v>
      </c>
      <c r="G143" s="127" t="s">
        <v>640</v>
      </c>
      <c r="H143" s="129">
        <v>396</v>
      </c>
    </row>
    <row r="144" spans="1:11" x14ac:dyDescent="0.2">
      <c r="A144" s="127" t="s">
        <v>2768</v>
      </c>
      <c r="B144" s="127" t="s">
        <v>2794</v>
      </c>
      <c r="C144" s="127" t="s">
        <v>2795</v>
      </c>
      <c r="D144" s="127" t="s">
        <v>1499</v>
      </c>
      <c r="E144" s="132">
        <v>5.25</v>
      </c>
      <c r="F144" s="127" t="s">
        <v>1498</v>
      </c>
      <c r="G144" s="127" t="s">
        <v>640</v>
      </c>
      <c r="H144" s="129">
        <v>397</v>
      </c>
    </row>
    <row r="145" spans="1:8" x14ac:dyDescent="0.2">
      <c r="A145" s="127" t="s">
        <v>2768</v>
      </c>
      <c r="B145" s="127" t="s">
        <v>1495</v>
      </c>
      <c r="C145" s="127" t="s">
        <v>2796</v>
      </c>
      <c r="D145" s="127" t="s">
        <v>879</v>
      </c>
      <c r="E145" s="132">
        <v>2.48</v>
      </c>
      <c r="F145" s="127" t="s">
        <v>878</v>
      </c>
      <c r="G145" s="127" t="s">
        <v>640</v>
      </c>
      <c r="H145" s="129">
        <v>398</v>
      </c>
    </row>
    <row r="146" spans="1:8" x14ac:dyDescent="0.2">
      <c r="A146" s="127" t="s">
        <v>2768</v>
      </c>
      <c r="B146" s="127" t="s">
        <v>2797</v>
      </c>
      <c r="C146" s="127" t="s">
        <v>2798</v>
      </c>
      <c r="D146" s="127" t="s">
        <v>1199</v>
      </c>
      <c r="E146" s="132">
        <v>4.43</v>
      </c>
      <c r="F146" s="127" t="s">
        <v>1198</v>
      </c>
      <c r="G146" s="127" t="s">
        <v>640</v>
      </c>
      <c r="H146" s="129">
        <v>399</v>
      </c>
    </row>
    <row r="147" spans="1:8" x14ac:dyDescent="0.2">
      <c r="A147" s="127" t="s">
        <v>2768</v>
      </c>
      <c r="B147" s="127" t="s">
        <v>2799</v>
      </c>
      <c r="C147" s="127" t="s">
        <v>2800</v>
      </c>
      <c r="D147" s="127" t="s">
        <v>1281</v>
      </c>
      <c r="E147" s="132">
        <v>5.36</v>
      </c>
      <c r="F147" s="127" t="s">
        <v>1280</v>
      </c>
      <c r="G147" s="127" t="s">
        <v>640</v>
      </c>
      <c r="H147" s="129">
        <v>400</v>
      </c>
    </row>
    <row r="148" spans="1:8" x14ac:dyDescent="0.2">
      <c r="A148" s="127" t="s">
        <v>2768</v>
      </c>
      <c r="B148" s="127" t="s">
        <v>2801</v>
      </c>
      <c r="C148" s="127" t="s">
        <v>2802</v>
      </c>
      <c r="D148" s="127" t="s">
        <v>985</v>
      </c>
      <c r="E148" s="132">
        <v>1.68</v>
      </c>
      <c r="F148" s="127" t="s">
        <v>984</v>
      </c>
      <c r="G148" s="127" t="s">
        <v>640</v>
      </c>
      <c r="H148" s="129" t="s">
        <v>2803</v>
      </c>
    </row>
    <row r="149" spans="1:8" x14ac:dyDescent="0.2">
      <c r="A149" s="127" t="s">
        <v>2768</v>
      </c>
      <c r="B149" s="127" t="s">
        <v>2804</v>
      </c>
      <c r="C149" s="127" t="s">
        <v>2805</v>
      </c>
      <c r="D149" s="127" t="s">
        <v>675</v>
      </c>
      <c r="E149" s="132">
        <v>6.39</v>
      </c>
      <c r="F149" s="127" t="s">
        <v>674</v>
      </c>
      <c r="G149" s="127" t="s">
        <v>640</v>
      </c>
      <c r="H149" s="129">
        <v>401</v>
      </c>
    </row>
    <row r="150" spans="1:8" x14ac:dyDescent="0.2">
      <c r="A150" s="127" t="s">
        <v>2768</v>
      </c>
      <c r="B150" s="127" t="s">
        <v>2806</v>
      </c>
      <c r="C150" s="127" t="s">
        <v>2807</v>
      </c>
      <c r="D150" s="127" t="s">
        <v>700</v>
      </c>
      <c r="E150" s="132">
        <v>12.59</v>
      </c>
      <c r="F150" s="127" t="s">
        <v>699</v>
      </c>
      <c r="G150" s="127" t="s">
        <v>640</v>
      </c>
      <c r="H150" s="129">
        <v>402</v>
      </c>
    </row>
    <row r="151" spans="1:8" x14ac:dyDescent="0.2">
      <c r="A151" s="127" t="s">
        <v>2768</v>
      </c>
      <c r="B151" s="127" t="s">
        <v>2808</v>
      </c>
      <c r="C151" s="127" t="s">
        <v>2809</v>
      </c>
      <c r="D151" s="127" t="s">
        <v>1577</v>
      </c>
      <c r="E151" s="132">
        <v>8.6199999999999992</v>
      </c>
      <c r="F151" s="127" t="s">
        <v>1576</v>
      </c>
      <c r="G151" s="127" t="s">
        <v>640</v>
      </c>
      <c r="H151" s="129">
        <v>403</v>
      </c>
    </row>
    <row r="152" spans="1:8" x14ac:dyDescent="0.2">
      <c r="A152" s="127" t="s">
        <v>2768</v>
      </c>
      <c r="B152" s="127" t="s">
        <v>2810</v>
      </c>
      <c r="C152" s="127" t="s">
        <v>2811</v>
      </c>
      <c r="D152" s="127" t="s">
        <v>792</v>
      </c>
      <c r="E152" s="132">
        <v>3.17</v>
      </c>
      <c r="F152" s="127" t="s">
        <v>791</v>
      </c>
      <c r="G152" s="127" t="s">
        <v>640</v>
      </c>
      <c r="H152" s="129">
        <v>404</v>
      </c>
    </row>
    <row r="153" spans="1:8" x14ac:dyDescent="0.2">
      <c r="A153" s="127" t="s">
        <v>2768</v>
      </c>
      <c r="B153" s="127" t="s">
        <v>2812</v>
      </c>
      <c r="C153" s="127" t="s">
        <v>2813</v>
      </c>
      <c r="D153" s="127" t="s">
        <v>987</v>
      </c>
      <c r="E153" s="132">
        <v>4.49</v>
      </c>
      <c r="F153" s="127" t="s">
        <v>986</v>
      </c>
      <c r="G153" s="127" t="s">
        <v>640</v>
      </c>
      <c r="H153" s="129">
        <v>405</v>
      </c>
    </row>
    <row r="154" spans="1:8" x14ac:dyDescent="0.2">
      <c r="A154" s="127" t="s">
        <v>2768</v>
      </c>
      <c r="B154" s="127" t="s">
        <v>2814</v>
      </c>
      <c r="C154" s="127" t="s">
        <v>2815</v>
      </c>
      <c r="D154" s="127" t="s">
        <v>776</v>
      </c>
      <c r="E154" s="132">
        <v>2.2000000000000002</v>
      </c>
      <c r="F154" s="127" t="s">
        <v>775</v>
      </c>
      <c r="G154" s="127" t="s">
        <v>640</v>
      </c>
      <c r="H154" s="129">
        <v>406</v>
      </c>
    </row>
    <row r="155" spans="1:8" x14ac:dyDescent="0.2">
      <c r="A155" s="127" t="s">
        <v>2768</v>
      </c>
      <c r="B155" s="127" t="s">
        <v>2816</v>
      </c>
      <c r="C155" s="127" t="s">
        <v>2817</v>
      </c>
      <c r="D155" s="127" t="s">
        <v>660</v>
      </c>
      <c r="E155" s="132">
        <v>4.21</v>
      </c>
      <c r="F155" s="127" t="s">
        <v>659</v>
      </c>
      <c r="G155" s="127" t="s">
        <v>640</v>
      </c>
      <c r="H155" s="129">
        <v>407</v>
      </c>
    </row>
    <row r="156" spans="1:8" x14ac:dyDescent="0.2">
      <c r="A156" s="127" t="s">
        <v>2768</v>
      </c>
      <c r="B156" s="127" t="s">
        <v>828</v>
      </c>
      <c r="C156" s="127" t="s">
        <v>2818</v>
      </c>
      <c r="D156" s="127" t="s">
        <v>1384</v>
      </c>
      <c r="E156" s="132">
        <v>4.2300000000000004</v>
      </c>
      <c r="F156" s="127" t="s">
        <v>1383</v>
      </c>
      <c r="G156" s="127" t="s">
        <v>640</v>
      </c>
      <c r="H156" s="129">
        <v>408</v>
      </c>
    </row>
    <row r="157" spans="1:8" x14ac:dyDescent="0.2">
      <c r="A157" s="127" t="s">
        <v>2819</v>
      </c>
      <c r="B157" s="127" t="s">
        <v>2820</v>
      </c>
      <c r="C157" s="127" t="s">
        <v>2821</v>
      </c>
      <c r="D157" s="127" t="s">
        <v>2822</v>
      </c>
      <c r="E157" s="132">
        <v>2.1800000000000002</v>
      </c>
      <c r="F157" s="127" t="s">
        <v>2823</v>
      </c>
      <c r="G157" s="127" t="s">
        <v>640</v>
      </c>
      <c r="H157" s="129">
        <v>495</v>
      </c>
    </row>
    <row r="158" spans="1:8" x14ac:dyDescent="0.2">
      <c r="A158" s="127" t="s">
        <v>2819</v>
      </c>
      <c r="B158" s="127" t="s">
        <v>2824</v>
      </c>
      <c r="C158" s="127" t="s">
        <v>2825</v>
      </c>
      <c r="D158" s="127" t="s">
        <v>1505</v>
      </c>
      <c r="E158" s="132">
        <v>7.44</v>
      </c>
      <c r="F158" s="127" t="s">
        <v>1504</v>
      </c>
      <c r="G158" s="127" t="s">
        <v>640</v>
      </c>
      <c r="H158" s="129">
        <v>496</v>
      </c>
    </row>
    <row r="159" spans="1:8" x14ac:dyDescent="0.2">
      <c r="A159" s="127" t="s">
        <v>2819</v>
      </c>
      <c r="B159" s="127" t="s">
        <v>2826</v>
      </c>
      <c r="C159" s="127" t="s">
        <v>2827</v>
      </c>
      <c r="D159" s="127" t="s">
        <v>816</v>
      </c>
      <c r="E159" s="132">
        <v>15.15</v>
      </c>
      <c r="F159" s="127" t="s">
        <v>815</v>
      </c>
      <c r="G159" s="127" t="s">
        <v>640</v>
      </c>
      <c r="H159" s="129">
        <v>497</v>
      </c>
    </row>
    <row r="160" spans="1:8" x14ac:dyDescent="0.2">
      <c r="A160" s="127" t="s">
        <v>2819</v>
      </c>
      <c r="B160" s="127" t="s">
        <v>2828</v>
      </c>
      <c r="C160" s="127" t="s">
        <v>2829</v>
      </c>
      <c r="D160" s="127" t="s">
        <v>817</v>
      </c>
      <c r="E160" s="132">
        <v>13.44</v>
      </c>
      <c r="F160" s="127" t="s">
        <v>815</v>
      </c>
      <c r="G160" s="127" t="s">
        <v>640</v>
      </c>
      <c r="H160" s="129">
        <v>499</v>
      </c>
    </row>
    <row r="161" spans="1:8" x14ac:dyDescent="0.2">
      <c r="A161" s="127" t="s">
        <v>2819</v>
      </c>
      <c r="B161" s="127" t="s">
        <v>2830</v>
      </c>
      <c r="C161" s="127" t="s">
        <v>2831</v>
      </c>
      <c r="D161" s="127" t="s">
        <v>865</v>
      </c>
      <c r="E161" s="132">
        <v>4.3600000000000003</v>
      </c>
      <c r="F161" s="127" t="s">
        <v>864</v>
      </c>
      <c r="G161" s="127" t="s">
        <v>640</v>
      </c>
      <c r="H161" s="129">
        <v>500</v>
      </c>
    </row>
    <row r="162" spans="1:8" x14ac:dyDescent="0.2">
      <c r="A162" s="127" t="s">
        <v>2819</v>
      </c>
      <c r="B162" s="127" t="s">
        <v>2832</v>
      </c>
      <c r="C162" s="127" t="s">
        <v>2833</v>
      </c>
      <c r="D162" s="127" t="s">
        <v>1154</v>
      </c>
      <c r="E162" s="132">
        <v>38.94</v>
      </c>
      <c r="F162" s="127" t="s">
        <v>1153</v>
      </c>
      <c r="G162" s="127" t="s">
        <v>640</v>
      </c>
      <c r="H162" s="129">
        <v>501</v>
      </c>
    </row>
    <row r="163" spans="1:8" x14ac:dyDescent="0.2">
      <c r="A163" s="127" t="s">
        <v>2819</v>
      </c>
      <c r="B163" s="127" t="s">
        <v>2834</v>
      </c>
      <c r="C163" s="127" t="s">
        <v>2835</v>
      </c>
      <c r="D163" s="127" t="s">
        <v>1231</v>
      </c>
      <c r="E163" s="132">
        <v>4.47</v>
      </c>
      <c r="F163" s="127" t="s">
        <v>1230</v>
      </c>
      <c r="G163" s="127" t="s">
        <v>640</v>
      </c>
      <c r="H163" s="129">
        <v>502</v>
      </c>
    </row>
    <row r="164" spans="1:8" x14ac:dyDescent="0.2">
      <c r="A164" s="127" t="s">
        <v>2819</v>
      </c>
      <c r="B164" s="127" t="s">
        <v>2836</v>
      </c>
      <c r="C164" s="127" t="s">
        <v>2837</v>
      </c>
      <c r="D164" s="127" t="s">
        <v>1050</v>
      </c>
      <c r="E164" s="132">
        <v>1.68</v>
      </c>
      <c r="F164" s="127" t="s">
        <v>1049</v>
      </c>
      <c r="G164" s="127" t="s">
        <v>640</v>
      </c>
      <c r="H164" s="129">
        <v>503</v>
      </c>
    </row>
    <row r="165" spans="1:8" x14ac:dyDescent="0.2">
      <c r="A165" s="127" t="s">
        <v>2819</v>
      </c>
      <c r="B165" s="127" t="s">
        <v>2838</v>
      </c>
      <c r="C165" s="127" t="s">
        <v>2839</v>
      </c>
      <c r="D165" s="127" t="s">
        <v>1333</v>
      </c>
      <c r="E165" s="132">
        <v>8.5399999999999991</v>
      </c>
      <c r="F165" s="127" t="s">
        <v>1332</v>
      </c>
      <c r="G165" s="127" t="s">
        <v>640</v>
      </c>
      <c r="H165" s="129">
        <v>504</v>
      </c>
    </row>
    <row r="166" spans="1:8" x14ac:dyDescent="0.2">
      <c r="A166" s="127" t="s">
        <v>2819</v>
      </c>
      <c r="B166" s="127" t="s">
        <v>2840</v>
      </c>
      <c r="C166" s="127" t="s">
        <v>2841</v>
      </c>
      <c r="D166" s="127" t="s">
        <v>962</v>
      </c>
      <c r="E166" s="132">
        <v>5.66</v>
      </c>
      <c r="F166" s="127" t="s">
        <v>961</v>
      </c>
      <c r="G166" s="127" t="s">
        <v>640</v>
      </c>
      <c r="H166" s="129">
        <v>505</v>
      </c>
    </row>
    <row r="167" spans="1:8" x14ac:dyDescent="0.2">
      <c r="A167" s="127" t="s">
        <v>2819</v>
      </c>
      <c r="B167" s="127" t="s">
        <v>2842</v>
      </c>
      <c r="C167" s="127" t="s">
        <v>2843</v>
      </c>
      <c r="D167" s="127" t="s">
        <v>942</v>
      </c>
      <c r="E167" s="132">
        <v>3.36</v>
      </c>
      <c r="F167" s="127" t="s">
        <v>941</v>
      </c>
      <c r="G167" s="127" t="s">
        <v>640</v>
      </c>
      <c r="H167" s="129">
        <v>506</v>
      </c>
    </row>
    <row r="168" spans="1:8" x14ac:dyDescent="0.2">
      <c r="A168" s="127" t="s">
        <v>2819</v>
      </c>
      <c r="B168" s="127" t="s">
        <v>2844</v>
      </c>
      <c r="C168" s="127" t="s">
        <v>2845</v>
      </c>
      <c r="D168" s="127" t="s">
        <v>644</v>
      </c>
      <c r="E168" s="132">
        <v>9.5399999999999991</v>
      </c>
      <c r="F168" s="127" t="s">
        <v>643</v>
      </c>
      <c r="G168" s="127" t="s">
        <v>640</v>
      </c>
      <c r="H168" s="129">
        <v>507</v>
      </c>
    </row>
    <row r="169" spans="1:8" x14ac:dyDescent="0.2">
      <c r="A169" s="127" t="s">
        <v>2819</v>
      </c>
      <c r="B169" s="127" t="s">
        <v>2846</v>
      </c>
      <c r="C169" s="127" t="s">
        <v>2847</v>
      </c>
      <c r="D169" s="127" t="s">
        <v>861</v>
      </c>
      <c r="E169" s="132">
        <v>5.26</v>
      </c>
      <c r="F169" s="127" t="s">
        <v>860</v>
      </c>
      <c r="G169" s="127" t="s">
        <v>640</v>
      </c>
      <c r="H169" s="129">
        <v>508</v>
      </c>
    </row>
    <row r="170" spans="1:8" x14ac:dyDescent="0.2">
      <c r="A170" s="127" t="s">
        <v>2819</v>
      </c>
      <c r="B170" s="127" t="s">
        <v>2848</v>
      </c>
      <c r="C170" s="127" t="s">
        <v>2849</v>
      </c>
      <c r="D170" s="127" t="s">
        <v>1448</v>
      </c>
      <c r="E170" s="132">
        <v>6.89</v>
      </c>
      <c r="F170" s="127" t="s">
        <v>1447</v>
      </c>
      <c r="G170" s="127" t="s">
        <v>640</v>
      </c>
      <c r="H170" s="129">
        <v>509</v>
      </c>
    </row>
    <row r="171" spans="1:8" x14ac:dyDescent="0.2">
      <c r="A171" s="127" t="s">
        <v>2819</v>
      </c>
      <c r="B171" s="127" t="s">
        <v>2850</v>
      </c>
      <c r="C171" s="127" t="s">
        <v>2851</v>
      </c>
      <c r="D171" s="127" t="s">
        <v>1210</v>
      </c>
      <c r="E171" s="132">
        <v>5.67</v>
      </c>
      <c r="F171" s="127" t="s">
        <v>1209</v>
      </c>
      <c r="G171" s="127" t="s">
        <v>640</v>
      </c>
      <c r="H171" s="129">
        <v>510</v>
      </c>
    </row>
    <row r="172" spans="1:8" x14ac:dyDescent="0.2">
      <c r="A172" s="127" t="s">
        <v>2819</v>
      </c>
      <c r="B172" s="127" t="s">
        <v>1523</v>
      </c>
      <c r="C172" s="127" t="s">
        <v>2852</v>
      </c>
      <c r="D172" s="127" t="s">
        <v>2853</v>
      </c>
      <c r="E172" s="132">
        <v>6.23</v>
      </c>
      <c r="F172" s="127" t="s">
        <v>2854</v>
      </c>
      <c r="G172" s="127" t="s">
        <v>640</v>
      </c>
      <c r="H172" s="129">
        <v>511</v>
      </c>
    </row>
    <row r="173" spans="1:8" x14ac:dyDescent="0.2">
      <c r="A173" s="127" t="s">
        <v>2819</v>
      </c>
      <c r="B173" s="127" t="s">
        <v>2855</v>
      </c>
      <c r="C173" s="127" t="s">
        <v>2856</v>
      </c>
      <c r="D173" s="127" t="s">
        <v>1471</v>
      </c>
      <c r="E173" s="132">
        <v>31.5</v>
      </c>
      <c r="F173" s="127" t="s">
        <v>1470</v>
      </c>
      <c r="G173" s="127" t="s">
        <v>640</v>
      </c>
      <c r="H173" s="129">
        <v>512</v>
      </c>
    </row>
    <row r="174" spans="1:8" x14ac:dyDescent="0.2">
      <c r="A174" s="127" t="s">
        <v>2819</v>
      </c>
      <c r="B174" s="127" t="s">
        <v>2857</v>
      </c>
      <c r="C174" s="127" t="s">
        <v>2858</v>
      </c>
      <c r="D174" s="127" t="s">
        <v>681</v>
      </c>
      <c r="E174" s="132">
        <v>6.52</v>
      </c>
      <c r="F174" s="127" t="s">
        <v>680</v>
      </c>
      <c r="G174" s="127" t="s">
        <v>640</v>
      </c>
      <c r="H174" s="129">
        <v>514</v>
      </c>
    </row>
    <row r="175" spans="1:8" x14ac:dyDescent="0.2">
      <c r="A175" s="127" t="s">
        <v>2819</v>
      </c>
      <c r="B175" s="127" t="s">
        <v>1310</v>
      </c>
      <c r="C175" s="127" t="s">
        <v>2859</v>
      </c>
      <c r="D175" s="127" t="s">
        <v>1213</v>
      </c>
      <c r="E175" s="132">
        <v>3.97</v>
      </c>
      <c r="F175" s="127" t="s">
        <v>1212</v>
      </c>
      <c r="G175" s="127" t="s">
        <v>640</v>
      </c>
      <c r="H175" s="129">
        <v>515</v>
      </c>
    </row>
    <row r="176" spans="1:8" x14ac:dyDescent="0.2">
      <c r="A176" s="127" t="s">
        <v>2819</v>
      </c>
      <c r="B176" s="127" t="s">
        <v>2860</v>
      </c>
      <c r="C176" s="127" t="s">
        <v>2861</v>
      </c>
      <c r="D176" s="127" t="s">
        <v>2862</v>
      </c>
      <c r="E176" s="132">
        <v>47.94</v>
      </c>
      <c r="F176" s="127" t="s">
        <v>2863</v>
      </c>
      <c r="G176" s="127" t="s">
        <v>640</v>
      </c>
      <c r="H176" s="129">
        <v>516</v>
      </c>
    </row>
    <row r="177" spans="1:8" x14ac:dyDescent="0.2">
      <c r="A177" s="127" t="s">
        <v>2819</v>
      </c>
      <c r="B177" s="127" t="s">
        <v>2864</v>
      </c>
      <c r="C177" s="127" t="s">
        <v>2865</v>
      </c>
      <c r="D177" s="127" t="s">
        <v>1243</v>
      </c>
      <c r="E177" s="132">
        <v>4.3600000000000003</v>
      </c>
      <c r="F177" s="127" t="s">
        <v>1242</v>
      </c>
      <c r="G177" s="127" t="s">
        <v>640</v>
      </c>
      <c r="H177" s="129">
        <v>517</v>
      </c>
    </row>
    <row r="178" spans="1:8" x14ac:dyDescent="0.2">
      <c r="A178" s="127" t="s">
        <v>2819</v>
      </c>
      <c r="B178" s="127" t="s">
        <v>2866</v>
      </c>
      <c r="C178" s="127" t="s">
        <v>2867</v>
      </c>
      <c r="D178" s="127" t="s">
        <v>2868</v>
      </c>
      <c r="E178" s="132">
        <v>36.369999999999997</v>
      </c>
      <c r="F178" s="127" t="s">
        <v>2869</v>
      </c>
      <c r="G178" s="127" t="s">
        <v>640</v>
      </c>
      <c r="H178" s="129">
        <v>518</v>
      </c>
    </row>
    <row r="179" spans="1:8" x14ac:dyDescent="0.2">
      <c r="A179" s="127" t="s">
        <v>2819</v>
      </c>
      <c r="B179" s="127" t="s">
        <v>2870</v>
      </c>
      <c r="C179" s="127" t="s">
        <v>2871</v>
      </c>
      <c r="D179" s="127" t="s">
        <v>974</v>
      </c>
      <c r="E179" s="132">
        <v>11.78</v>
      </c>
      <c r="F179" s="127" t="s">
        <v>973</v>
      </c>
      <c r="G179" s="127" t="s">
        <v>640</v>
      </c>
      <c r="H179" s="129">
        <v>519</v>
      </c>
    </row>
    <row r="180" spans="1:8" x14ac:dyDescent="0.2">
      <c r="A180" s="127" t="s">
        <v>2819</v>
      </c>
      <c r="B180" s="127" t="s">
        <v>2872</v>
      </c>
      <c r="C180" s="127" t="s">
        <v>2873</v>
      </c>
      <c r="D180" s="127" t="s">
        <v>1218</v>
      </c>
      <c r="E180" s="132">
        <v>6.87</v>
      </c>
      <c r="F180" s="127" t="s">
        <v>1217</v>
      </c>
      <c r="G180" s="127" t="s">
        <v>640</v>
      </c>
      <c r="H180" s="129">
        <v>520</v>
      </c>
    </row>
    <row r="181" spans="1:8" x14ac:dyDescent="0.2">
      <c r="A181" s="127"/>
      <c r="B181" s="127"/>
      <c r="C181" s="127"/>
      <c r="D181" s="135" t="s">
        <v>3738</v>
      </c>
      <c r="E181" s="98">
        <f>SUM(E48:E180)</f>
        <v>1339.61</v>
      </c>
      <c r="F181" s="127"/>
      <c r="G181" s="127"/>
      <c r="H181" s="129"/>
    </row>
    <row r="182" spans="1:8" x14ac:dyDescent="0.2">
      <c r="A182" s="127"/>
      <c r="B182" s="127"/>
      <c r="C182" s="127"/>
      <c r="D182" s="127"/>
      <c r="E182" s="132"/>
      <c r="F182" s="127"/>
      <c r="G182" s="127"/>
      <c r="H182" s="129"/>
    </row>
    <row r="183" spans="1:8" x14ac:dyDescent="0.2">
      <c r="A183" s="127" t="s">
        <v>2874</v>
      </c>
      <c r="B183" s="127" t="s">
        <v>2875</v>
      </c>
      <c r="C183" s="127" t="s">
        <v>2876</v>
      </c>
      <c r="D183" s="127" t="s">
        <v>1580</v>
      </c>
      <c r="E183" s="132">
        <v>13.04</v>
      </c>
      <c r="F183" s="127" t="s">
        <v>1581</v>
      </c>
      <c r="G183" s="127" t="s">
        <v>640</v>
      </c>
      <c r="H183" s="129">
        <v>547</v>
      </c>
    </row>
    <row r="184" spans="1:8" x14ac:dyDescent="0.2">
      <c r="A184" s="127" t="s">
        <v>2874</v>
      </c>
      <c r="B184" s="127" t="s">
        <v>2877</v>
      </c>
      <c r="C184" s="127" t="s">
        <v>2878</v>
      </c>
      <c r="D184" s="127" t="s">
        <v>1070</v>
      </c>
      <c r="E184" s="132">
        <v>1.69</v>
      </c>
      <c r="F184" s="127" t="s">
        <v>1069</v>
      </c>
      <c r="G184" s="127" t="s">
        <v>640</v>
      </c>
      <c r="H184" s="129">
        <v>548</v>
      </c>
    </row>
    <row r="185" spans="1:8" x14ac:dyDescent="0.2">
      <c r="A185" s="127" t="s">
        <v>2874</v>
      </c>
      <c r="B185" s="127" t="s">
        <v>2879</v>
      </c>
      <c r="C185" s="127" t="s">
        <v>2880</v>
      </c>
      <c r="D185" s="127" t="s">
        <v>905</v>
      </c>
      <c r="E185" s="132">
        <v>23.14</v>
      </c>
      <c r="F185" s="127" t="s">
        <v>904</v>
      </c>
      <c r="G185" s="127" t="s">
        <v>640</v>
      </c>
      <c r="H185" s="129">
        <v>549</v>
      </c>
    </row>
    <row r="186" spans="1:8" x14ac:dyDescent="0.2">
      <c r="A186" s="127" t="s">
        <v>2874</v>
      </c>
      <c r="B186" s="127" t="s">
        <v>891</v>
      </c>
      <c r="C186" s="127" t="s">
        <v>2881</v>
      </c>
      <c r="D186" s="127" t="s">
        <v>934</v>
      </c>
      <c r="E186" s="132">
        <v>12.44</v>
      </c>
      <c r="F186" s="127" t="s">
        <v>933</v>
      </c>
      <c r="G186" s="127" t="s">
        <v>640</v>
      </c>
      <c r="H186" s="129">
        <v>550</v>
      </c>
    </row>
    <row r="187" spans="1:8" x14ac:dyDescent="0.2">
      <c r="A187" s="127" t="s">
        <v>2874</v>
      </c>
      <c r="B187" s="127" t="s">
        <v>2882</v>
      </c>
      <c r="C187" s="127" t="s">
        <v>2883</v>
      </c>
      <c r="D187" s="127" t="s">
        <v>1184</v>
      </c>
      <c r="E187" s="132">
        <v>6.72</v>
      </c>
      <c r="F187" s="127" t="s">
        <v>1183</v>
      </c>
      <c r="G187" s="127" t="s">
        <v>640</v>
      </c>
      <c r="H187" s="129">
        <v>551</v>
      </c>
    </row>
    <row r="188" spans="1:8" x14ac:dyDescent="0.2">
      <c r="A188" s="127" t="s">
        <v>2874</v>
      </c>
      <c r="B188" s="127" t="s">
        <v>2884</v>
      </c>
      <c r="C188" s="127" t="s">
        <v>2885</v>
      </c>
      <c r="D188" s="127" t="s">
        <v>930</v>
      </c>
      <c r="E188" s="132">
        <v>15.08</v>
      </c>
      <c r="F188" s="127" t="s">
        <v>929</v>
      </c>
      <c r="G188" s="127" t="s">
        <v>640</v>
      </c>
      <c r="H188" s="129">
        <v>552</v>
      </c>
    </row>
    <row r="189" spans="1:8" x14ac:dyDescent="0.2">
      <c r="A189" s="127" t="s">
        <v>2874</v>
      </c>
      <c r="B189" s="127" t="s">
        <v>2886</v>
      </c>
      <c r="C189" s="127" t="s">
        <v>2887</v>
      </c>
      <c r="D189" s="127" t="s">
        <v>747</v>
      </c>
      <c r="E189" s="132">
        <v>3.37</v>
      </c>
      <c r="F189" s="127" t="s">
        <v>746</v>
      </c>
      <c r="G189" s="127" t="s">
        <v>640</v>
      </c>
      <c r="H189" s="129">
        <v>553</v>
      </c>
    </row>
    <row r="190" spans="1:8" x14ac:dyDescent="0.2">
      <c r="A190" s="127" t="s">
        <v>2874</v>
      </c>
      <c r="B190" s="127" t="s">
        <v>2888</v>
      </c>
      <c r="C190" s="127" t="s">
        <v>2889</v>
      </c>
      <c r="D190" s="127" t="s">
        <v>706</v>
      </c>
      <c r="E190" s="132">
        <v>8.3800000000000008</v>
      </c>
      <c r="F190" s="127" t="s">
        <v>705</v>
      </c>
      <c r="G190" s="127" t="s">
        <v>640</v>
      </c>
      <c r="H190" s="129">
        <v>554</v>
      </c>
    </row>
    <row r="191" spans="1:8" x14ac:dyDescent="0.2">
      <c r="A191" s="127" t="s">
        <v>2874</v>
      </c>
      <c r="B191" s="127" t="s">
        <v>2890</v>
      </c>
      <c r="C191" s="127" t="s">
        <v>2891</v>
      </c>
      <c r="D191" s="127" t="s">
        <v>1361</v>
      </c>
      <c r="E191" s="132">
        <v>12.3</v>
      </c>
      <c r="F191" s="127" t="s">
        <v>1360</v>
      </c>
      <c r="G191" s="127" t="s">
        <v>640</v>
      </c>
      <c r="H191" s="129">
        <v>555</v>
      </c>
    </row>
    <row r="192" spans="1:8" x14ac:dyDescent="0.2">
      <c r="A192" s="127" t="s">
        <v>2874</v>
      </c>
      <c r="B192" s="127" t="s">
        <v>2892</v>
      </c>
      <c r="C192" s="127" t="s">
        <v>2893</v>
      </c>
      <c r="D192" s="127" t="s">
        <v>917</v>
      </c>
      <c r="E192" s="132">
        <v>2.39</v>
      </c>
      <c r="F192" s="127" t="s">
        <v>916</v>
      </c>
      <c r="G192" s="127" t="s">
        <v>640</v>
      </c>
      <c r="H192" s="129">
        <v>556</v>
      </c>
    </row>
    <row r="193" spans="1:8" x14ac:dyDescent="0.2">
      <c r="A193" s="127" t="s">
        <v>2874</v>
      </c>
      <c r="B193" s="127" t="s">
        <v>2894</v>
      </c>
      <c r="C193" s="127" t="s">
        <v>2895</v>
      </c>
      <c r="D193" s="127" t="s">
        <v>718</v>
      </c>
      <c r="E193" s="132">
        <v>5.14</v>
      </c>
      <c r="F193" s="127" t="s">
        <v>717</v>
      </c>
      <c r="G193" s="127" t="s">
        <v>640</v>
      </c>
      <c r="H193" s="129">
        <v>557</v>
      </c>
    </row>
    <row r="194" spans="1:8" x14ac:dyDescent="0.2">
      <c r="A194" s="127" t="s">
        <v>2874</v>
      </c>
      <c r="B194" s="127" t="s">
        <v>2896</v>
      </c>
      <c r="C194" s="127" t="s">
        <v>2897</v>
      </c>
      <c r="D194" s="127" t="s">
        <v>903</v>
      </c>
      <c r="E194" s="132">
        <v>4.8600000000000003</v>
      </c>
      <c r="F194" s="127" t="s">
        <v>902</v>
      </c>
      <c r="G194" s="127" t="s">
        <v>640</v>
      </c>
      <c r="H194" s="129">
        <v>558</v>
      </c>
    </row>
    <row r="195" spans="1:8" x14ac:dyDescent="0.2">
      <c r="A195" s="127" t="s">
        <v>2874</v>
      </c>
      <c r="B195" s="127" t="s">
        <v>2898</v>
      </c>
      <c r="C195" s="127" t="s">
        <v>2899</v>
      </c>
      <c r="D195" s="127" t="s">
        <v>735</v>
      </c>
      <c r="E195" s="132">
        <v>8.1999999999999993</v>
      </c>
      <c r="F195" s="127" t="s">
        <v>734</v>
      </c>
      <c r="G195" s="127" t="s">
        <v>640</v>
      </c>
      <c r="H195" s="129">
        <v>559</v>
      </c>
    </row>
    <row r="196" spans="1:8" x14ac:dyDescent="0.2">
      <c r="A196" s="127" t="s">
        <v>2874</v>
      </c>
      <c r="B196" s="127" t="s">
        <v>2900</v>
      </c>
      <c r="C196" s="127" t="s">
        <v>2901</v>
      </c>
      <c r="D196" s="127" t="s">
        <v>2902</v>
      </c>
      <c r="E196" s="132">
        <v>8.24</v>
      </c>
      <c r="F196" s="127" t="s">
        <v>2903</v>
      </c>
      <c r="G196" s="127" t="s">
        <v>640</v>
      </c>
      <c r="H196" s="129">
        <v>560</v>
      </c>
    </row>
    <row r="197" spans="1:8" x14ac:dyDescent="0.2">
      <c r="A197" s="127" t="s">
        <v>2874</v>
      </c>
      <c r="B197" s="127" t="s">
        <v>2904</v>
      </c>
      <c r="C197" s="127" t="s">
        <v>2905</v>
      </c>
      <c r="D197" s="127" t="s">
        <v>1289</v>
      </c>
      <c r="E197" s="132">
        <v>20.63</v>
      </c>
      <c r="F197" s="127" t="s">
        <v>1288</v>
      </c>
      <c r="G197" s="127" t="s">
        <v>640</v>
      </c>
      <c r="H197" s="129">
        <v>561</v>
      </c>
    </row>
    <row r="198" spans="1:8" x14ac:dyDescent="0.2">
      <c r="A198" s="127" t="s">
        <v>2874</v>
      </c>
      <c r="B198" s="127" t="s">
        <v>2906</v>
      </c>
      <c r="C198" s="127" t="s">
        <v>2907</v>
      </c>
      <c r="D198" s="127" t="s">
        <v>745</v>
      </c>
      <c r="E198" s="132">
        <v>11.41</v>
      </c>
      <c r="F198" s="127" t="s">
        <v>744</v>
      </c>
      <c r="G198" s="127" t="s">
        <v>640</v>
      </c>
      <c r="H198" s="129">
        <v>562</v>
      </c>
    </row>
    <row r="199" spans="1:8" x14ac:dyDescent="0.2">
      <c r="A199" s="127" t="s">
        <v>2874</v>
      </c>
      <c r="B199" s="127" t="s">
        <v>2908</v>
      </c>
      <c r="C199" s="127" t="s">
        <v>2909</v>
      </c>
      <c r="D199" s="127" t="s">
        <v>1573</v>
      </c>
      <c r="E199" s="132">
        <v>20.260000000000002</v>
      </c>
      <c r="F199" s="127" t="s">
        <v>1572</v>
      </c>
      <c r="G199" s="127" t="s">
        <v>640</v>
      </c>
      <c r="H199" s="129">
        <v>563</v>
      </c>
    </row>
    <row r="200" spans="1:8" x14ac:dyDescent="0.2">
      <c r="A200" s="127" t="s">
        <v>2910</v>
      </c>
      <c r="B200" s="127" t="s">
        <v>2911</v>
      </c>
      <c r="C200" s="127" t="s">
        <v>2912</v>
      </c>
      <c r="D200" s="127" t="s">
        <v>1353</v>
      </c>
      <c r="E200" s="132">
        <v>2.9</v>
      </c>
      <c r="F200" s="127" t="s">
        <v>1352</v>
      </c>
      <c r="G200" s="127" t="s">
        <v>640</v>
      </c>
      <c r="H200" s="129">
        <v>584</v>
      </c>
    </row>
    <row r="201" spans="1:8" x14ac:dyDescent="0.2">
      <c r="A201" s="127" t="s">
        <v>2910</v>
      </c>
      <c r="B201" s="127" t="s">
        <v>2913</v>
      </c>
      <c r="C201" s="127" t="s">
        <v>2914</v>
      </c>
      <c r="D201" s="127" t="s">
        <v>729</v>
      </c>
      <c r="E201" s="132">
        <v>1.76</v>
      </c>
      <c r="F201" s="127" t="s">
        <v>728</v>
      </c>
      <c r="G201" s="127" t="s">
        <v>640</v>
      </c>
      <c r="H201" s="129">
        <v>585</v>
      </c>
    </row>
    <row r="202" spans="1:8" x14ac:dyDescent="0.2">
      <c r="A202" s="127" t="s">
        <v>2910</v>
      </c>
      <c r="B202" s="127" t="s">
        <v>2915</v>
      </c>
      <c r="C202" s="127" t="s">
        <v>2916</v>
      </c>
      <c r="D202" s="127" t="s">
        <v>1261</v>
      </c>
      <c r="E202" s="132">
        <v>7.82</v>
      </c>
      <c r="F202" s="127" t="s">
        <v>1260</v>
      </c>
      <c r="G202" s="127" t="s">
        <v>640</v>
      </c>
      <c r="H202" s="129">
        <v>586</v>
      </c>
    </row>
    <row r="203" spans="1:8" x14ac:dyDescent="0.2">
      <c r="A203" s="127" t="s">
        <v>2910</v>
      </c>
      <c r="B203" s="127" t="s">
        <v>2917</v>
      </c>
      <c r="C203" s="127" t="s">
        <v>2918</v>
      </c>
      <c r="D203" s="127" t="s">
        <v>2919</v>
      </c>
      <c r="E203" s="132">
        <v>49.24</v>
      </c>
      <c r="F203" s="127" t="s">
        <v>2920</v>
      </c>
      <c r="G203" s="127" t="s">
        <v>640</v>
      </c>
      <c r="H203" s="129">
        <v>587</v>
      </c>
    </row>
    <row r="204" spans="1:8" x14ac:dyDescent="0.2">
      <c r="A204" s="127" t="s">
        <v>2910</v>
      </c>
      <c r="B204" s="127" t="s">
        <v>2921</v>
      </c>
      <c r="C204" s="127" t="s">
        <v>2922</v>
      </c>
      <c r="D204" s="127" t="s">
        <v>1444</v>
      </c>
      <c r="E204" s="132">
        <v>8.6199999999999992</v>
      </c>
      <c r="F204" s="127" t="s">
        <v>1443</v>
      </c>
      <c r="G204" s="127" t="s">
        <v>640</v>
      </c>
      <c r="H204" s="129">
        <v>588</v>
      </c>
    </row>
    <row r="205" spans="1:8" x14ac:dyDescent="0.2">
      <c r="A205" s="127" t="s">
        <v>2910</v>
      </c>
      <c r="B205" s="127" t="s">
        <v>2923</v>
      </c>
      <c r="C205" s="127" t="s">
        <v>2924</v>
      </c>
      <c r="D205" s="127" t="s">
        <v>886</v>
      </c>
      <c r="E205" s="132">
        <v>4.3</v>
      </c>
      <c r="F205" s="127" t="s">
        <v>884</v>
      </c>
      <c r="G205" s="127" t="s">
        <v>640</v>
      </c>
      <c r="H205" s="129">
        <v>590</v>
      </c>
    </row>
    <row r="206" spans="1:8" x14ac:dyDescent="0.2">
      <c r="A206" s="127" t="s">
        <v>2910</v>
      </c>
      <c r="B206" s="127" t="s">
        <v>2925</v>
      </c>
      <c r="C206" s="127" t="s">
        <v>2926</v>
      </c>
      <c r="D206" s="127" t="s">
        <v>885</v>
      </c>
      <c r="E206" s="132">
        <v>2.0299999999999998</v>
      </c>
      <c r="F206" s="127" t="s">
        <v>884</v>
      </c>
      <c r="G206" s="127" t="s">
        <v>640</v>
      </c>
      <c r="H206" s="129">
        <v>589</v>
      </c>
    </row>
    <row r="207" spans="1:8" x14ac:dyDescent="0.2">
      <c r="A207" s="127" t="s">
        <v>2927</v>
      </c>
      <c r="B207" s="127" t="s">
        <v>2928</v>
      </c>
      <c r="C207" s="127" t="s">
        <v>2929</v>
      </c>
      <c r="D207" s="127" t="s">
        <v>1160</v>
      </c>
      <c r="E207" s="132">
        <v>25.59</v>
      </c>
      <c r="F207" s="127" t="s">
        <v>1159</v>
      </c>
      <c r="G207" s="127" t="s">
        <v>640</v>
      </c>
      <c r="H207" s="129">
        <v>591</v>
      </c>
    </row>
    <row r="208" spans="1:8" x14ac:dyDescent="0.2">
      <c r="A208" s="127" t="s">
        <v>2927</v>
      </c>
      <c r="B208" s="127" t="s">
        <v>2930</v>
      </c>
      <c r="C208" s="127" t="s">
        <v>2931</v>
      </c>
      <c r="D208" s="127" t="s">
        <v>1068</v>
      </c>
      <c r="E208" s="132">
        <v>5.56</v>
      </c>
      <c r="F208" s="127" t="s">
        <v>1067</v>
      </c>
      <c r="G208" s="127" t="s">
        <v>640</v>
      </c>
      <c r="H208" s="129">
        <v>592</v>
      </c>
    </row>
    <row r="209" spans="1:8" x14ac:dyDescent="0.2">
      <c r="A209" s="127" t="s">
        <v>2927</v>
      </c>
      <c r="B209" s="127" t="s">
        <v>2932</v>
      </c>
      <c r="C209" s="127" t="s">
        <v>2933</v>
      </c>
      <c r="D209" s="127" t="s">
        <v>1349</v>
      </c>
      <c r="E209" s="132">
        <v>11.01</v>
      </c>
      <c r="F209" s="127" t="s">
        <v>1348</v>
      </c>
      <c r="G209" s="127" t="s">
        <v>640</v>
      </c>
      <c r="H209" s="129">
        <v>593</v>
      </c>
    </row>
    <row r="210" spans="1:8" x14ac:dyDescent="0.2">
      <c r="A210" s="127" t="s">
        <v>2934</v>
      </c>
      <c r="B210" s="127" t="s">
        <v>2935</v>
      </c>
      <c r="C210" s="127" t="s">
        <v>2936</v>
      </c>
      <c r="D210" s="127" t="s">
        <v>909</v>
      </c>
      <c r="E210" s="132">
        <v>7.16</v>
      </c>
      <c r="F210" s="127" t="s">
        <v>908</v>
      </c>
      <c r="G210" s="127" t="s">
        <v>640</v>
      </c>
      <c r="H210" s="129">
        <v>726</v>
      </c>
    </row>
    <row r="211" spans="1:8" x14ac:dyDescent="0.2">
      <c r="A211" s="127" t="s">
        <v>2934</v>
      </c>
      <c r="B211" s="127" t="s">
        <v>2937</v>
      </c>
      <c r="C211" s="127" t="s">
        <v>2938</v>
      </c>
      <c r="D211" s="127" t="s">
        <v>1263</v>
      </c>
      <c r="E211" s="132">
        <v>14.19</v>
      </c>
      <c r="F211" s="127" t="s">
        <v>1262</v>
      </c>
      <c r="G211" s="127" t="s">
        <v>640</v>
      </c>
      <c r="H211" s="129">
        <v>727</v>
      </c>
    </row>
    <row r="212" spans="1:8" x14ac:dyDescent="0.2">
      <c r="A212" s="127" t="s">
        <v>2934</v>
      </c>
      <c r="B212" s="127" t="s">
        <v>2939</v>
      </c>
      <c r="C212" s="127" t="s">
        <v>2940</v>
      </c>
      <c r="D212" s="127" t="s">
        <v>832</v>
      </c>
      <c r="E212" s="132">
        <v>5.03</v>
      </c>
      <c r="F212" s="127" t="s">
        <v>831</v>
      </c>
      <c r="G212" s="127" t="s">
        <v>640</v>
      </c>
      <c r="H212" s="129">
        <v>728</v>
      </c>
    </row>
    <row r="213" spans="1:8" x14ac:dyDescent="0.2">
      <c r="A213" s="127" t="s">
        <v>2934</v>
      </c>
      <c r="B213" s="127" t="s">
        <v>2941</v>
      </c>
      <c r="C213" s="127" t="s">
        <v>2942</v>
      </c>
      <c r="D213" s="127" t="s">
        <v>907</v>
      </c>
      <c r="E213" s="132">
        <v>10.34</v>
      </c>
      <c r="F213" s="127" t="s">
        <v>906</v>
      </c>
      <c r="G213" s="127" t="s">
        <v>640</v>
      </c>
      <c r="H213" s="129">
        <v>729</v>
      </c>
    </row>
    <row r="214" spans="1:8" x14ac:dyDescent="0.2">
      <c r="A214" s="127" t="s">
        <v>2934</v>
      </c>
      <c r="B214" s="127" t="s">
        <v>2943</v>
      </c>
      <c r="C214" s="127" t="s">
        <v>2944</v>
      </c>
      <c r="D214" s="127" t="s">
        <v>2945</v>
      </c>
      <c r="E214" s="132">
        <v>2.7</v>
      </c>
      <c r="F214" s="127" t="s">
        <v>2946</v>
      </c>
      <c r="G214" s="127" t="s">
        <v>640</v>
      </c>
      <c r="H214" s="129">
        <v>730</v>
      </c>
    </row>
    <row r="215" spans="1:8" x14ac:dyDescent="0.2">
      <c r="A215" s="127" t="s">
        <v>2934</v>
      </c>
      <c r="B215" s="127" t="s">
        <v>2947</v>
      </c>
      <c r="C215" s="127" t="s">
        <v>2948</v>
      </c>
      <c r="D215" s="127" t="s">
        <v>964</v>
      </c>
      <c r="E215" s="132">
        <v>4.6900000000000004</v>
      </c>
      <c r="F215" s="127" t="s">
        <v>963</v>
      </c>
      <c r="G215" s="127" t="s">
        <v>640</v>
      </c>
      <c r="H215" s="129">
        <v>731</v>
      </c>
    </row>
    <row r="216" spans="1:8" x14ac:dyDescent="0.2">
      <c r="A216" s="127" t="s">
        <v>2934</v>
      </c>
      <c r="B216" s="127" t="s">
        <v>2949</v>
      </c>
      <c r="C216" s="127" t="s">
        <v>2950</v>
      </c>
      <c r="D216" s="127" t="s">
        <v>810</v>
      </c>
      <c r="E216" s="132">
        <v>7.17</v>
      </c>
      <c r="F216" s="127" t="s">
        <v>809</v>
      </c>
      <c r="G216" s="127" t="s">
        <v>640</v>
      </c>
      <c r="H216" s="129">
        <v>732</v>
      </c>
    </row>
    <row r="217" spans="1:8" x14ac:dyDescent="0.2">
      <c r="A217" s="127" t="s">
        <v>2934</v>
      </c>
      <c r="B217" s="127" t="s">
        <v>2951</v>
      </c>
      <c r="C217" s="127" t="s">
        <v>2952</v>
      </c>
      <c r="D217" s="127" t="s">
        <v>1511</v>
      </c>
      <c r="E217" s="132">
        <v>2.17</v>
      </c>
      <c r="F217" s="127" t="s">
        <v>1510</v>
      </c>
      <c r="G217" s="127" t="s">
        <v>640</v>
      </c>
      <c r="H217" s="129">
        <v>733</v>
      </c>
    </row>
    <row r="218" spans="1:8" x14ac:dyDescent="0.2">
      <c r="A218" s="127" t="s">
        <v>2934</v>
      </c>
      <c r="B218" s="127" t="s">
        <v>2953</v>
      </c>
      <c r="C218" s="127" t="s">
        <v>2954</v>
      </c>
      <c r="D218" s="127" t="s">
        <v>1249</v>
      </c>
      <c r="E218" s="132">
        <v>20.56</v>
      </c>
      <c r="F218" s="127" t="s">
        <v>1248</v>
      </c>
      <c r="G218" s="127" t="s">
        <v>640</v>
      </c>
      <c r="H218" s="129">
        <v>734</v>
      </c>
    </row>
    <row r="219" spans="1:8" x14ac:dyDescent="0.2">
      <c r="A219" s="127" t="s">
        <v>2934</v>
      </c>
      <c r="B219" s="127" t="s">
        <v>2955</v>
      </c>
      <c r="C219" s="127" t="s">
        <v>2956</v>
      </c>
      <c r="D219" s="127" t="s">
        <v>1259</v>
      </c>
      <c r="E219" s="132">
        <v>3.04</v>
      </c>
      <c r="F219" s="127" t="s">
        <v>1258</v>
      </c>
      <c r="G219" s="127" t="s">
        <v>640</v>
      </c>
      <c r="H219" s="129">
        <v>735</v>
      </c>
    </row>
    <row r="220" spans="1:8" x14ac:dyDescent="0.2">
      <c r="A220" s="127" t="s">
        <v>2934</v>
      </c>
      <c r="B220" s="127" t="s">
        <v>2957</v>
      </c>
      <c r="C220" s="127" t="s">
        <v>2958</v>
      </c>
      <c r="D220" s="127" t="s">
        <v>1392</v>
      </c>
      <c r="E220" s="132">
        <v>33.94</v>
      </c>
      <c r="F220" s="127" t="s">
        <v>1391</v>
      </c>
      <c r="G220" s="127" t="s">
        <v>640</v>
      </c>
      <c r="H220" s="129">
        <v>736</v>
      </c>
    </row>
    <row r="221" spans="1:8" x14ac:dyDescent="0.2">
      <c r="A221" s="127" t="s">
        <v>2934</v>
      </c>
      <c r="B221" s="127" t="s">
        <v>2959</v>
      </c>
      <c r="C221" s="127" t="s">
        <v>2960</v>
      </c>
      <c r="D221" s="127" t="s">
        <v>825</v>
      </c>
      <c r="E221" s="132">
        <v>7.16</v>
      </c>
      <c r="F221" s="127" t="s">
        <v>824</v>
      </c>
      <c r="G221" s="127" t="s">
        <v>640</v>
      </c>
      <c r="H221" s="129">
        <v>737</v>
      </c>
    </row>
    <row r="222" spans="1:8" x14ac:dyDescent="0.2">
      <c r="A222" s="127" t="s">
        <v>2934</v>
      </c>
      <c r="B222" s="127" t="s">
        <v>2961</v>
      </c>
      <c r="C222" s="127" t="s">
        <v>2962</v>
      </c>
      <c r="D222" s="127" t="s">
        <v>1083</v>
      </c>
      <c r="E222" s="132">
        <v>47.44</v>
      </c>
      <c r="F222" s="127" t="s">
        <v>1385</v>
      </c>
      <c r="G222" s="127" t="s">
        <v>640</v>
      </c>
      <c r="H222" s="129">
        <v>738</v>
      </c>
    </row>
    <row r="223" spans="1:8" x14ac:dyDescent="0.2">
      <c r="A223" s="127" t="s">
        <v>2934</v>
      </c>
      <c r="B223" s="127" t="s">
        <v>1206</v>
      </c>
      <c r="C223" s="127" t="s">
        <v>2963</v>
      </c>
      <c r="D223" s="127" t="s">
        <v>1220</v>
      </c>
      <c r="E223" s="132">
        <v>8.7100000000000009</v>
      </c>
      <c r="F223" s="127" t="s">
        <v>1219</v>
      </c>
      <c r="G223" s="127" t="s">
        <v>640</v>
      </c>
      <c r="H223" s="129">
        <v>739</v>
      </c>
    </row>
    <row r="224" spans="1:8" x14ac:dyDescent="0.2">
      <c r="A224" s="127" t="s">
        <v>2934</v>
      </c>
      <c r="B224" s="127" t="s">
        <v>2964</v>
      </c>
      <c r="C224" s="127" t="s">
        <v>2965</v>
      </c>
      <c r="D224" s="127" t="s">
        <v>1519</v>
      </c>
      <c r="E224" s="132">
        <v>8.3800000000000008</v>
      </c>
      <c r="F224" s="127" t="s">
        <v>1518</v>
      </c>
      <c r="G224" s="127" t="s">
        <v>640</v>
      </c>
      <c r="H224" s="129">
        <v>740</v>
      </c>
    </row>
    <row r="225" spans="1:8" x14ac:dyDescent="0.2">
      <c r="A225" s="127" t="s">
        <v>2934</v>
      </c>
      <c r="B225" s="127" t="s">
        <v>2966</v>
      </c>
      <c r="C225" s="127" t="s">
        <v>2967</v>
      </c>
      <c r="D225" s="127" t="s">
        <v>1072</v>
      </c>
      <c r="E225" s="132">
        <v>11.71</v>
      </c>
      <c r="F225" s="127" t="s">
        <v>1071</v>
      </c>
      <c r="G225" s="127" t="s">
        <v>640</v>
      </c>
      <c r="H225" s="129">
        <v>741</v>
      </c>
    </row>
    <row r="226" spans="1:8" x14ac:dyDescent="0.2">
      <c r="A226" s="127" t="s">
        <v>2934</v>
      </c>
      <c r="B226" s="127" t="s">
        <v>2968</v>
      </c>
      <c r="C226" s="127" t="s">
        <v>2969</v>
      </c>
      <c r="D226" s="127" t="s">
        <v>778</v>
      </c>
      <c r="E226" s="132">
        <v>5.36</v>
      </c>
      <c r="F226" s="127" t="s">
        <v>777</v>
      </c>
      <c r="G226" s="127" t="s">
        <v>640</v>
      </c>
      <c r="H226" s="129">
        <v>742</v>
      </c>
    </row>
    <row r="227" spans="1:8" x14ac:dyDescent="0.2">
      <c r="A227" s="127" t="s">
        <v>2934</v>
      </c>
      <c r="B227" s="127" t="s">
        <v>2970</v>
      </c>
      <c r="C227" s="127" t="s">
        <v>2971</v>
      </c>
      <c r="D227" s="127" t="s">
        <v>999</v>
      </c>
      <c r="E227" s="132">
        <v>4.54</v>
      </c>
      <c r="F227" s="127" t="s">
        <v>998</v>
      </c>
      <c r="G227" s="127" t="s">
        <v>640</v>
      </c>
      <c r="H227" s="129">
        <v>743</v>
      </c>
    </row>
    <row r="228" spans="1:8" x14ac:dyDescent="0.2">
      <c r="A228" s="127" t="s">
        <v>2934</v>
      </c>
      <c r="B228" s="127" t="s">
        <v>2972</v>
      </c>
      <c r="C228" s="127" t="s">
        <v>2973</v>
      </c>
      <c r="D228" s="127" t="s">
        <v>936</v>
      </c>
      <c r="E228" s="132">
        <v>3.07</v>
      </c>
      <c r="F228" s="127" t="s">
        <v>935</v>
      </c>
      <c r="G228" s="127" t="s">
        <v>640</v>
      </c>
      <c r="H228" s="129">
        <v>744</v>
      </c>
    </row>
    <row r="229" spans="1:8" x14ac:dyDescent="0.2">
      <c r="A229" s="127" t="s">
        <v>2934</v>
      </c>
      <c r="B229" s="127" t="s">
        <v>1257</v>
      </c>
      <c r="C229" s="127" t="s">
        <v>2974</v>
      </c>
      <c r="D229" s="127" t="s">
        <v>1417</v>
      </c>
      <c r="E229" s="132">
        <v>9.2100000000000009</v>
      </c>
      <c r="F229" s="127" t="s">
        <v>1416</v>
      </c>
      <c r="G229" s="127" t="s">
        <v>640</v>
      </c>
      <c r="H229" s="129">
        <v>745</v>
      </c>
    </row>
    <row r="230" spans="1:8" x14ac:dyDescent="0.2">
      <c r="A230" s="127" t="s">
        <v>2934</v>
      </c>
      <c r="B230" s="127" t="s">
        <v>2975</v>
      </c>
      <c r="C230" s="127" t="s">
        <v>2976</v>
      </c>
      <c r="D230" s="127" t="s">
        <v>1418</v>
      </c>
      <c r="E230" s="132">
        <v>1.94</v>
      </c>
      <c r="F230" s="127" t="s">
        <v>1416</v>
      </c>
      <c r="G230" s="127" t="s">
        <v>640</v>
      </c>
      <c r="H230" s="129">
        <v>746</v>
      </c>
    </row>
    <row r="231" spans="1:8" x14ac:dyDescent="0.2">
      <c r="A231" s="127" t="s">
        <v>2934</v>
      </c>
      <c r="B231" s="127" t="s">
        <v>2977</v>
      </c>
      <c r="C231" s="127" t="s">
        <v>2978</v>
      </c>
      <c r="D231" s="127" t="s">
        <v>2979</v>
      </c>
      <c r="E231" s="132">
        <v>8.3800000000000008</v>
      </c>
      <c r="F231" s="127" t="s">
        <v>2980</v>
      </c>
      <c r="G231" s="127" t="s">
        <v>640</v>
      </c>
      <c r="H231" s="129">
        <v>747</v>
      </c>
    </row>
    <row r="232" spans="1:8" x14ac:dyDescent="0.2">
      <c r="A232" s="127" t="s">
        <v>2934</v>
      </c>
      <c r="B232" s="127" t="s">
        <v>2981</v>
      </c>
      <c r="C232" s="127" t="s">
        <v>2982</v>
      </c>
      <c r="D232" s="127" t="s">
        <v>1247</v>
      </c>
      <c r="E232" s="132">
        <v>4.05</v>
      </c>
      <c r="F232" s="127" t="s">
        <v>1246</v>
      </c>
      <c r="G232" s="127" t="s">
        <v>640</v>
      </c>
      <c r="H232" s="129">
        <v>748</v>
      </c>
    </row>
    <row r="233" spans="1:8" x14ac:dyDescent="0.2">
      <c r="A233" s="127" t="s">
        <v>2983</v>
      </c>
      <c r="B233" s="127" t="s">
        <v>1582</v>
      </c>
      <c r="C233" s="127" t="s">
        <v>2984</v>
      </c>
      <c r="D233" s="127" t="s">
        <v>1224</v>
      </c>
      <c r="E233" s="132">
        <v>3.36</v>
      </c>
      <c r="F233" s="127" t="s">
        <v>1223</v>
      </c>
      <c r="G233" s="127" t="s">
        <v>640</v>
      </c>
      <c r="H233" s="129">
        <v>749</v>
      </c>
    </row>
    <row r="234" spans="1:8" x14ac:dyDescent="0.2">
      <c r="A234" s="127" t="s">
        <v>2983</v>
      </c>
      <c r="B234" s="127" t="s">
        <v>2985</v>
      </c>
      <c r="C234" s="127" t="s">
        <v>2986</v>
      </c>
      <c r="D234" s="127" t="s">
        <v>1225</v>
      </c>
      <c r="E234" s="132">
        <v>7.64</v>
      </c>
      <c r="F234" s="127" t="s">
        <v>1223</v>
      </c>
      <c r="G234" s="127" t="s">
        <v>640</v>
      </c>
      <c r="H234" s="129">
        <v>750</v>
      </c>
    </row>
    <row r="235" spans="1:8" x14ac:dyDescent="0.2">
      <c r="A235" s="127" t="s">
        <v>2983</v>
      </c>
      <c r="B235" s="127" t="s">
        <v>2987</v>
      </c>
      <c r="C235" s="127" t="s">
        <v>2988</v>
      </c>
      <c r="D235" s="127" t="s">
        <v>920</v>
      </c>
      <c r="E235" s="132">
        <v>7.17</v>
      </c>
      <c r="F235" s="127" t="s">
        <v>919</v>
      </c>
      <c r="G235" s="127" t="s">
        <v>640</v>
      </c>
      <c r="H235" s="129">
        <v>751</v>
      </c>
    </row>
    <row r="236" spans="1:8" x14ac:dyDescent="0.2">
      <c r="A236" s="127" t="s">
        <v>2983</v>
      </c>
      <c r="B236" s="127" t="s">
        <v>2989</v>
      </c>
      <c r="C236" s="127" t="s">
        <v>2990</v>
      </c>
      <c r="D236" s="127" t="s">
        <v>1216</v>
      </c>
      <c r="E236" s="132">
        <v>16.649999999999999</v>
      </c>
      <c r="F236" s="127" t="s">
        <v>1215</v>
      </c>
      <c r="G236" s="127" t="s">
        <v>640</v>
      </c>
      <c r="H236" s="129">
        <v>752</v>
      </c>
    </row>
    <row r="237" spans="1:8" x14ac:dyDescent="0.2">
      <c r="A237" s="127" t="s">
        <v>2983</v>
      </c>
      <c r="B237" s="127" t="s">
        <v>1012</v>
      </c>
      <c r="C237" s="127" t="s">
        <v>2991</v>
      </c>
      <c r="D237" s="127" t="s">
        <v>789</v>
      </c>
      <c r="E237" s="132">
        <v>16.97</v>
      </c>
      <c r="F237" s="127" t="s">
        <v>788</v>
      </c>
      <c r="G237" s="127" t="s">
        <v>640</v>
      </c>
      <c r="H237" s="129">
        <v>753</v>
      </c>
    </row>
    <row r="238" spans="1:8" x14ac:dyDescent="0.2">
      <c r="A238" s="127" t="s">
        <v>2983</v>
      </c>
      <c r="B238" s="127" t="s">
        <v>1520</v>
      </c>
      <c r="C238" s="127" t="s">
        <v>2992</v>
      </c>
      <c r="D238" s="127" t="s">
        <v>842</v>
      </c>
      <c r="E238" s="132">
        <v>8.14</v>
      </c>
      <c r="F238" s="127" t="s">
        <v>841</v>
      </c>
      <c r="G238" s="127" t="s">
        <v>640</v>
      </c>
      <c r="H238" s="129">
        <v>754</v>
      </c>
    </row>
    <row r="239" spans="1:8" x14ac:dyDescent="0.2">
      <c r="A239" s="127" t="s">
        <v>2983</v>
      </c>
      <c r="B239" s="127" t="s">
        <v>2993</v>
      </c>
      <c r="C239" s="127" t="s">
        <v>2994</v>
      </c>
      <c r="D239" s="127" t="s">
        <v>1411</v>
      </c>
      <c r="E239" s="132">
        <v>8.8699999999999992</v>
      </c>
      <c r="F239" s="127" t="s">
        <v>1410</v>
      </c>
      <c r="G239" s="127" t="s">
        <v>640</v>
      </c>
      <c r="H239" s="129">
        <v>755</v>
      </c>
    </row>
    <row r="240" spans="1:8" x14ac:dyDescent="0.2">
      <c r="A240" s="127" t="s">
        <v>2983</v>
      </c>
      <c r="B240" s="127" t="s">
        <v>2995</v>
      </c>
      <c r="C240" s="127" t="s">
        <v>2996</v>
      </c>
      <c r="D240" s="127" t="s">
        <v>1323</v>
      </c>
      <c r="E240" s="132">
        <v>3.36</v>
      </c>
      <c r="F240" s="127" t="s">
        <v>1322</v>
      </c>
      <c r="G240" s="127" t="s">
        <v>640</v>
      </c>
      <c r="H240" s="129">
        <v>756</v>
      </c>
    </row>
    <row r="241" spans="1:8" x14ac:dyDescent="0.2">
      <c r="A241" s="127" t="s">
        <v>2983</v>
      </c>
      <c r="B241" s="127" t="s">
        <v>1197</v>
      </c>
      <c r="C241" s="127" t="s">
        <v>2997</v>
      </c>
      <c r="D241" s="127" t="s">
        <v>1208</v>
      </c>
      <c r="E241" s="132">
        <v>1.68</v>
      </c>
      <c r="F241" s="127" t="s">
        <v>1207</v>
      </c>
      <c r="G241" s="127" t="s">
        <v>640</v>
      </c>
      <c r="H241" s="129">
        <v>757</v>
      </c>
    </row>
    <row r="242" spans="1:8" x14ac:dyDescent="0.2">
      <c r="A242" s="127" t="s">
        <v>2983</v>
      </c>
      <c r="B242" s="127" t="s">
        <v>2998</v>
      </c>
      <c r="C242" s="127" t="s">
        <v>2999</v>
      </c>
      <c r="D242" s="127" t="s">
        <v>3000</v>
      </c>
      <c r="E242" s="132">
        <v>9.0299999999999994</v>
      </c>
      <c r="F242" s="127" t="s">
        <v>3001</v>
      </c>
      <c r="G242" s="127" t="s">
        <v>640</v>
      </c>
      <c r="H242" s="129">
        <v>758</v>
      </c>
    </row>
    <row r="243" spans="1:8" x14ac:dyDescent="0.2">
      <c r="A243" s="127" t="s">
        <v>2983</v>
      </c>
      <c r="B243" s="127" t="s">
        <v>3002</v>
      </c>
      <c r="C243" s="127" t="s">
        <v>3003</v>
      </c>
      <c r="D243" s="127" t="s">
        <v>944</v>
      </c>
      <c r="E243" s="132">
        <v>5.87</v>
      </c>
      <c r="F243" s="127" t="s">
        <v>943</v>
      </c>
      <c r="G243" s="127" t="s">
        <v>640</v>
      </c>
      <c r="H243" s="129">
        <v>759</v>
      </c>
    </row>
    <row r="244" spans="1:8" x14ac:dyDescent="0.2">
      <c r="A244" s="127" t="s">
        <v>2983</v>
      </c>
      <c r="B244" s="127" t="s">
        <v>3004</v>
      </c>
      <c r="C244" s="127" t="s">
        <v>3005</v>
      </c>
      <c r="D244" s="127" t="s">
        <v>1373</v>
      </c>
      <c r="E244" s="132">
        <v>12.57</v>
      </c>
      <c r="F244" s="127" t="s">
        <v>1372</v>
      </c>
      <c r="G244" s="127" t="s">
        <v>640</v>
      </c>
      <c r="H244" s="129">
        <v>760</v>
      </c>
    </row>
    <row r="245" spans="1:8" x14ac:dyDescent="0.2">
      <c r="A245" s="127" t="s">
        <v>2983</v>
      </c>
      <c r="B245" s="127" t="s">
        <v>3006</v>
      </c>
      <c r="C245" s="127" t="s">
        <v>3007</v>
      </c>
      <c r="D245" s="127" t="s">
        <v>1456</v>
      </c>
      <c r="E245" s="132">
        <v>3.36</v>
      </c>
      <c r="F245" s="127" t="s">
        <v>1455</v>
      </c>
      <c r="G245" s="127" t="s">
        <v>640</v>
      </c>
      <c r="H245" s="129">
        <v>761</v>
      </c>
    </row>
    <row r="246" spans="1:8" x14ac:dyDescent="0.2">
      <c r="A246" s="127" t="s">
        <v>2983</v>
      </c>
      <c r="B246" s="127" t="s">
        <v>3008</v>
      </c>
      <c r="C246" s="127" t="s">
        <v>3009</v>
      </c>
      <c r="D246" s="127" t="s">
        <v>1267</v>
      </c>
      <c r="E246" s="132">
        <v>2.27</v>
      </c>
      <c r="F246" s="127" t="s">
        <v>1266</v>
      </c>
      <c r="G246" s="127" t="s">
        <v>640</v>
      </c>
      <c r="H246" s="129">
        <v>762</v>
      </c>
    </row>
    <row r="247" spans="1:8" x14ac:dyDescent="0.2">
      <c r="A247" s="127" t="s">
        <v>2983</v>
      </c>
      <c r="B247" s="127" t="s">
        <v>1350</v>
      </c>
      <c r="C247" s="127" t="s">
        <v>3010</v>
      </c>
      <c r="D247" s="127" t="s">
        <v>1345</v>
      </c>
      <c r="E247" s="132">
        <v>39.299999999999997</v>
      </c>
      <c r="F247" s="127" t="s">
        <v>1344</v>
      </c>
      <c r="G247" s="127" t="s">
        <v>640</v>
      </c>
      <c r="H247" s="129">
        <v>763</v>
      </c>
    </row>
    <row r="248" spans="1:8" x14ac:dyDescent="0.2">
      <c r="A248" s="127" t="s">
        <v>2983</v>
      </c>
      <c r="B248" s="127" t="s">
        <v>1462</v>
      </c>
      <c r="C248" s="127" t="s">
        <v>3011</v>
      </c>
      <c r="D248" s="127" t="s">
        <v>928</v>
      </c>
      <c r="E248" s="132">
        <v>3.55</v>
      </c>
      <c r="F248" s="127" t="s">
        <v>927</v>
      </c>
      <c r="G248" s="127" t="s">
        <v>640</v>
      </c>
      <c r="H248" s="129">
        <v>764</v>
      </c>
    </row>
    <row r="249" spans="1:8" x14ac:dyDescent="0.2">
      <c r="A249" s="127" t="s">
        <v>2983</v>
      </c>
      <c r="B249" s="127" t="s">
        <v>3012</v>
      </c>
      <c r="C249" s="127" t="s">
        <v>3013</v>
      </c>
      <c r="D249" s="127" t="s">
        <v>1193</v>
      </c>
      <c r="E249" s="132">
        <v>18.690000000000001</v>
      </c>
      <c r="F249" s="127" t="s">
        <v>1192</v>
      </c>
      <c r="G249" s="127" t="s">
        <v>640</v>
      </c>
      <c r="H249" s="129">
        <v>765</v>
      </c>
    </row>
    <row r="250" spans="1:8" x14ac:dyDescent="0.2">
      <c r="A250" s="127" t="s">
        <v>2983</v>
      </c>
      <c r="B250" s="127" t="s">
        <v>3014</v>
      </c>
      <c r="C250" s="127" t="s">
        <v>3015</v>
      </c>
      <c r="D250" s="127" t="s">
        <v>958</v>
      </c>
      <c r="E250" s="132">
        <v>5.23</v>
      </c>
      <c r="F250" s="127" t="s">
        <v>957</v>
      </c>
      <c r="G250" s="127" t="s">
        <v>640</v>
      </c>
      <c r="H250" s="129">
        <v>766</v>
      </c>
    </row>
    <row r="251" spans="1:8" x14ac:dyDescent="0.2">
      <c r="A251" s="127" t="s">
        <v>2983</v>
      </c>
      <c r="B251" s="127" t="s">
        <v>1058</v>
      </c>
      <c r="C251" s="127" t="s">
        <v>3016</v>
      </c>
      <c r="D251" s="127" t="s">
        <v>1271</v>
      </c>
      <c r="E251" s="132">
        <v>3.68</v>
      </c>
      <c r="F251" s="127" t="s">
        <v>1270</v>
      </c>
      <c r="G251" s="127" t="s">
        <v>640</v>
      </c>
      <c r="H251" s="129">
        <v>767</v>
      </c>
    </row>
    <row r="252" spans="1:8" x14ac:dyDescent="0.2">
      <c r="A252" s="127" t="s">
        <v>2983</v>
      </c>
      <c r="B252" s="127" t="s">
        <v>3017</v>
      </c>
      <c r="C252" s="127" t="s">
        <v>3018</v>
      </c>
      <c r="D252" s="127" t="s">
        <v>970</v>
      </c>
      <c r="E252" s="132">
        <v>8.3800000000000008</v>
      </c>
      <c r="F252" s="127" t="s">
        <v>969</v>
      </c>
      <c r="G252" s="127" t="s">
        <v>640</v>
      </c>
      <c r="H252" s="129">
        <v>768</v>
      </c>
    </row>
    <row r="253" spans="1:8" x14ac:dyDescent="0.2">
      <c r="A253" s="127" t="s">
        <v>2983</v>
      </c>
      <c r="B253" s="127" t="s">
        <v>3019</v>
      </c>
      <c r="C253" s="127" t="s">
        <v>3020</v>
      </c>
      <c r="D253" s="127" t="s">
        <v>1227</v>
      </c>
      <c r="E253" s="132">
        <v>4.8899999999999997</v>
      </c>
      <c r="F253" s="127" t="s">
        <v>1226</v>
      </c>
      <c r="G253" s="127" t="s">
        <v>640</v>
      </c>
      <c r="H253" s="129">
        <v>769</v>
      </c>
    </row>
    <row r="254" spans="1:8" x14ac:dyDescent="0.2">
      <c r="A254" s="127" t="s">
        <v>3021</v>
      </c>
      <c r="B254" s="127" t="s">
        <v>3022</v>
      </c>
      <c r="C254" s="127" t="s">
        <v>3023</v>
      </c>
      <c r="D254" s="127" t="s">
        <v>1277</v>
      </c>
      <c r="E254" s="132">
        <v>6.18</v>
      </c>
      <c r="F254" s="127" t="s">
        <v>1276</v>
      </c>
      <c r="G254" s="127" t="s">
        <v>640</v>
      </c>
      <c r="H254" s="129">
        <v>803</v>
      </c>
    </row>
    <row r="255" spans="1:8" x14ac:dyDescent="0.2">
      <c r="A255" s="127" t="s">
        <v>3021</v>
      </c>
      <c r="B255" s="127" t="s">
        <v>3024</v>
      </c>
      <c r="C255" s="127" t="s">
        <v>3025</v>
      </c>
      <c r="D255" s="127" t="s">
        <v>1318</v>
      </c>
      <c r="E255" s="132">
        <v>3.09</v>
      </c>
      <c r="F255" s="127" t="s">
        <v>1317</v>
      </c>
      <c r="G255" s="127" t="s">
        <v>640</v>
      </c>
      <c r="H255" s="129">
        <v>804</v>
      </c>
    </row>
    <row r="256" spans="1:8" x14ac:dyDescent="0.2">
      <c r="A256" s="127" t="s">
        <v>3021</v>
      </c>
      <c r="B256" s="127" t="s">
        <v>3026</v>
      </c>
      <c r="C256" s="127" t="s">
        <v>3027</v>
      </c>
      <c r="D256" s="127" t="s">
        <v>1355</v>
      </c>
      <c r="E256" s="132">
        <v>5.33</v>
      </c>
      <c r="F256" s="127" t="s">
        <v>1354</v>
      </c>
      <c r="G256" s="127" t="s">
        <v>640</v>
      </c>
      <c r="H256" s="129">
        <v>805</v>
      </c>
    </row>
    <row r="257" spans="1:8" x14ac:dyDescent="0.2">
      <c r="A257" s="127" t="s">
        <v>3021</v>
      </c>
      <c r="B257" s="127" t="s">
        <v>3028</v>
      </c>
      <c r="C257" s="127" t="s">
        <v>3029</v>
      </c>
      <c r="D257" s="127" t="s">
        <v>1291</v>
      </c>
      <c r="E257" s="132">
        <v>3.25</v>
      </c>
      <c r="F257" s="127" t="s">
        <v>1290</v>
      </c>
      <c r="G257" s="127" t="s">
        <v>640</v>
      </c>
      <c r="H257" s="129">
        <v>806</v>
      </c>
    </row>
    <row r="258" spans="1:8" x14ac:dyDescent="0.2">
      <c r="A258" s="127" t="s">
        <v>3021</v>
      </c>
      <c r="B258" s="127" t="s">
        <v>3030</v>
      </c>
      <c r="C258" s="127" t="s">
        <v>3031</v>
      </c>
      <c r="D258" s="127" t="s">
        <v>1150</v>
      </c>
      <c r="E258" s="132">
        <v>3.81</v>
      </c>
      <c r="F258" s="127" t="s">
        <v>1149</v>
      </c>
      <c r="G258" s="127" t="s">
        <v>640</v>
      </c>
      <c r="H258" s="129">
        <v>807</v>
      </c>
    </row>
    <row r="259" spans="1:8" x14ac:dyDescent="0.2">
      <c r="A259" s="127" t="s">
        <v>3021</v>
      </c>
      <c r="B259" s="127" t="s">
        <v>3032</v>
      </c>
      <c r="C259" s="127" t="s">
        <v>3033</v>
      </c>
      <c r="D259" s="127" t="s">
        <v>1347</v>
      </c>
      <c r="E259" s="132">
        <v>4.16</v>
      </c>
      <c r="F259" s="127" t="s">
        <v>1346</v>
      </c>
      <c r="G259" s="127" t="s">
        <v>640</v>
      </c>
      <c r="H259" s="129">
        <v>808</v>
      </c>
    </row>
    <row r="260" spans="1:8" x14ac:dyDescent="0.2">
      <c r="A260" s="127" t="s">
        <v>3021</v>
      </c>
      <c r="B260" s="127" t="s">
        <v>3034</v>
      </c>
      <c r="C260" s="127" t="s">
        <v>3035</v>
      </c>
      <c r="D260" s="127" t="s">
        <v>3036</v>
      </c>
      <c r="E260" s="132">
        <v>4.71</v>
      </c>
      <c r="F260" s="127" t="s">
        <v>3037</v>
      </c>
      <c r="G260" s="127" t="s">
        <v>640</v>
      </c>
      <c r="H260" s="129">
        <v>809</v>
      </c>
    </row>
    <row r="261" spans="1:8" x14ac:dyDescent="0.2">
      <c r="A261" s="127" t="s">
        <v>3021</v>
      </c>
      <c r="B261" s="127" t="s">
        <v>3038</v>
      </c>
      <c r="C261" s="127" t="s">
        <v>3039</v>
      </c>
      <c r="D261" s="127" t="s">
        <v>1312</v>
      </c>
      <c r="E261" s="132">
        <v>8.4</v>
      </c>
      <c r="F261" s="127" t="s">
        <v>1311</v>
      </c>
      <c r="G261" s="127" t="s">
        <v>640</v>
      </c>
      <c r="H261" s="129">
        <v>810</v>
      </c>
    </row>
    <row r="262" spans="1:8" x14ac:dyDescent="0.2">
      <c r="A262" s="127" t="s">
        <v>3021</v>
      </c>
      <c r="B262" s="127" t="s">
        <v>3040</v>
      </c>
      <c r="C262" s="127" t="s">
        <v>3041</v>
      </c>
      <c r="D262" s="127" t="s">
        <v>1309</v>
      </c>
      <c r="E262" s="132">
        <v>10.64</v>
      </c>
      <c r="F262" s="127" t="s">
        <v>1308</v>
      </c>
      <c r="G262" s="127" t="s">
        <v>640</v>
      </c>
      <c r="H262" s="129">
        <v>811</v>
      </c>
    </row>
    <row r="263" spans="1:8" x14ac:dyDescent="0.2">
      <c r="A263" s="127" t="s">
        <v>3021</v>
      </c>
      <c r="B263" s="127" t="s">
        <v>3042</v>
      </c>
      <c r="C263" s="127" t="s">
        <v>3043</v>
      </c>
      <c r="D263" s="127" t="s">
        <v>1005</v>
      </c>
      <c r="E263" s="132">
        <v>8.42</v>
      </c>
      <c r="F263" s="127" t="s">
        <v>1004</v>
      </c>
      <c r="G263" s="127" t="s">
        <v>640</v>
      </c>
      <c r="H263" s="129">
        <v>812</v>
      </c>
    </row>
    <row r="264" spans="1:8" x14ac:dyDescent="0.2">
      <c r="A264" s="127" t="s">
        <v>3021</v>
      </c>
      <c r="B264" s="127" t="s">
        <v>3044</v>
      </c>
      <c r="C264" s="127" t="s">
        <v>3045</v>
      </c>
      <c r="D264" s="127" t="s">
        <v>960</v>
      </c>
      <c r="E264" s="132">
        <v>10.8</v>
      </c>
      <c r="F264" s="127" t="s">
        <v>959</v>
      </c>
      <c r="G264" s="127" t="s">
        <v>640</v>
      </c>
      <c r="H264" s="129">
        <v>813</v>
      </c>
    </row>
    <row r="265" spans="1:8" x14ac:dyDescent="0.2">
      <c r="A265" s="127" t="s">
        <v>3021</v>
      </c>
      <c r="B265" s="127" t="s">
        <v>3046</v>
      </c>
      <c r="C265" s="127" t="s">
        <v>3047</v>
      </c>
      <c r="D265" s="127" t="s">
        <v>888</v>
      </c>
      <c r="E265" s="132">
        <v>2.34</v>
      </c>
      <c r="F265" s="127" t="s">
        <v>887</v>
      </c>
      <c r="G265" s="127" t="s">
        <v>640</v>
      </c>
      <c r="H265" s="129">
        <v>814</v>
      </c>
    </row>
    <row r="266" spans="1:8" x14ac:dyDescent="0.2">
      <c r="A266" s="127" t="s">
        <v>3021</v>
      </c>
      <c r="B266" s="127" t="s">
        <v>3048</v>
      </c>
      <c r="C266" s="127" t="s">
        <v>3049</v>
      </c>
      <c r="D266" s="127" t="s">
        <v>812</v>
      </c>
      <c r="E266" s="132">
        <v>1.88</v>
      </c>
      <c r="F266" s="127" t="s">
        <v>811</v>
      </c>
      <c r="G266" s="127" t="s">
        <v>640</v>
      </c>
      <c r="H266" s="129">
        <v>815</v>
      </c>
    </row>
    <row r="267" spans="1:8" x14ac:dyDescent="0.2">
      <c r="A267" s="127" t="s">
        <v>3021</v>
      </c>
      <c r="B267" s="127" t="s">
        <v>1429</v>
      </c>
      <c r="C267" s="127" t="s">
        <v>3050</v>
      </c>
      <c r="D267" s="127" t="s">
        <v>1433</v>
      </c>
      <c r="E267" s="132">
        <v>4.63</v>
      </c>
      <c r="F267" s="127" t="s">
        <v>1432</v>
      </c>
      <c r="G267" s="127" t="s">
        <v>640</v>
      </c>
      <c r="H267" s="129">
        <v>816</v>
      </c>
    </row>
    <row r="268" spans="1:8" x14ac:dyDescent="0.2">
      <c r="A268" s="127" t="s">
        <v>3051</v>
      </c>
      <c r="B268" s="127" t="s">
        <v>3052</v>
      </c>
      <c r="C268" s="127" t="s">
        <v>3053</v>
      </c>
      <c r="D268" s="127" t="s">
        <v>772</v>
      </c>
      <c r="E268" s="132">
        <v>0.87</v>
      </c>
      <c r="F268" s="127" t="s">
        <v>771</v>
      </c>
      <c r="G268" s="127" t="s">
        <v>640</v>
      </c>
      <c r="H268" s="129">
        <v>854</v>
      </c>
    </row>
    <row r="269" spans="1:8" x14ac:dyDescent="0.2">
      <c r="A269" s="127" t="s">
        <v>3051</v>
      </c>
      <c r="B269" s="127" t="s">
        <v>3054</v>
      </c>
      <c r="C269" s="127" t="s">
        <v>3055</v>
      </c>
      <c r="D269" s="127" t="s">
        <v>3056</v>
      </c>
      <c r="E269" s="132">
        <v>6.12</v>
      </c>
      <c r="F269" s="127" t="s">
        <v>3057</v>
      </c>
      <c r="G269" s="127" t="s">
        <v>640</v>
      </c>
      <c r="H269" s="129">
        <v>855</v>
      </c>
    </row>
    <row r="270" spans="1:8" x14ac:dyDescent="0.2">
      <c r="A270" s="127" t="s">
        <v>3051</v>
      </c>
      <c r="B270" s="127" t="s">
        <v>3058</v>
      </c>
      <c r="C270" s="127" t="s">
        <v>3059</v>
      </c>
      <c r="D270" s="127" t="s">
        <v>3060</v>
      </c>
      <c r="E270" s="132">
        <v>8.42</v>
      </c>
      <c r="F270" s="127" t="s">
        <v>3061</v>
      </c>
      <c r="G270" s="127" t="s">
        <v>640</v>
      </c>
      <c r="H270" s="129">
        <v>856</v>
      </c>
    </row>
    <row r="271" spans="1:8" x14ac:dyDescent="0.2">
      <c r="A271" s="127" t="s">
        <v>3051</v>
      </c>
      <c r="B271" s="127" t="s">
        <v>1476</v>
      </c>
      <c r="C271" s="127" t="s">
        <v>3062</v>
      </c>
      <c r="D271" s="127" t="s">
        <v>1467</v>
      </c>
      <c r="E271" s="132">
        <v>21.74</v>
      </c>
      <c r="F271" s="127" t="s">
        <v>1466</v>
      </c>
      <c r="G271" s="127" t="s">
        <v>640</v>
      </c>
      <c r="H271" s="129">
        <v>857</v>
      </c>
    </row>
    <row r="272" spans="1:8" x14ac:dyDescent="0.2">
      <c r="A272" s="127" t="s">
        <v>3051</v>
      </c>
      <c r="B272" s="127" t="s">
        <v>3063</v>
      </c>
      <c r="C272" s="127" t="s">
        <v>3064</v>
      </c>
      <c r="D272" s="127" t="s">
        <v>1428</v>
      </c>
      <c r="E272" s="132">
        <v>15.18</v>
      </c>
      <c r="F272" s="127" t="s">
        <v>1427</v>
      </c>
      <c r="G272" s="127" t="s">
        <v>640</v>
      </c>
      <c r="H272" s="129">
        <v>858</v>
      </c>
    </row>
    <row r="273" spans="1:8" x14ac:dyDescent="0.2">
      <c r="A273" s="127" t="s">
        <v>3051</v>
      </c>
      <c r="B273" s="127" t="s">
        <v>1461</v>
      </c>
      <c r="C273" s="127" t="s">
        <v>3065</v>
      </c>
      <c r="D273" s="127" t="s">
        <v>1275</v>
      </c>
      <c r="E273" s="132">
        <v>6.29</v>
      </c>
      <c r="F273" s="127" t="s">
        <v>1274</v>
      </c>
      <c r="G273" s="127" t="s">
        <v>640</v>
      </c>
      <c r="H273" s="129">
        <v>859</v>
      </c>
    </row>
    <row r="274" spans="1:8" x14ac:dyDescent="0.2">
      <c r="A274" s="127" t="s">
        <v>3051</v>
      </c>
      <c r="B274" s="127" t="s">
        <v>3066</v>
      </c>
      <c r="C274" s="127" t="s">
        <v>3067</v>
      </c>
      <c r="D274" s="127" t="s">
        <v>940</v>
      </c>
      <c r="E274" s="132">
        <v>20.85</v>
      </c>
      <c r="F274" s="127" t="s">
        <v>939</v>
      </c>
      <c r="G274" s="127" t="s">
        <v>640</v>
      </c>
      <c r="H274" s="129">
        <v>860</v>
      </c>
    </row>
    <row r="275" spans="1:8" x14ac:dyDescent="0.2">
      <c r="A275" s="127" t="s">
        <v>3051</v>
      </c>
      <c r="B275" s="127" t="s">
        <v>3068</v>
      </c>
      <c r="C275" s="127" t="s">
        <v>3069</v>
      </c>
      <c r="D275" s="127" t="s">
        <v>978</v>
      </c>
      <c r="E275" s="132">
        <v>2.02</v>
      </c>
      <c r="F275" s="127" t="s">
        <v>977</v>
      </c>
      <c r="G275" s="127" t="s">
        <v>640</v>
      </c>
      <c r="H275" s="129">
        <v>861</v>
      </c>
    </row>
    <row r="276" spans="1:8" x14ac:dyDescent="0.2">
      <c r="A276" s="127" t="s">
        <v>3051</v>
      </c>
      <c r="B276" s="127" t="s">
        <v>3070</v>
      </c>
      <c r="C276" s="127" t="s">
        <v>3071</v>
      </c>
      <c r="D276" s="127" t="s">
        <v>901</v>
      </c>
      <c r="E276" s="132">
        <v>36.119999999999997</v>
      </c>
      <c r="F276" s="127" t="s">
        <v>900</v>
      </c>
      <c r="G276" s="127" t="s">
        <v>640</v>
      </c>
      <c r="H276" s="129">
        <v>862</v>
      </c>
    </row>
    <row r="277" spans="1:8" x14ac:dyDescent="0.2">
      <c r="A277" s="127" t="s">
        <v>3051</v>
      </c>
      <c r="B277" s="127" t="s">
        <v>3072</v>
      </c>
      <c r="C277" s="127" t="s">
        <v>3073</v>
      </c>
      <c r="D277" s="127" t="s">
        <v>1460</v>
      </c>
      <c r="E277" s="132">
        <v>17.45</v>
      </c>
      <c r="F277" s="127" t="s">
        <v>1459</v>
      </c>
      <c r="G277" s="127" t="s">
        <v>640</v>
      </c>
      <c r="H277" s="129">
        <v>863</v>
      </c>
    </row>
    <row r="278" spans="1:8" x14ac:dyDescent="0.2">
      <c r="A278" s="127" t="s">
        <v>3051</v>
      </c>
      <c r="B278" s="127" t="s">
        <v>3074</v>
      </c>
      <c r="C278" s="127" t="s">
        <v>3075</v>
      </c>
      <c r="D278" s="127" t="s">
        <v>792</v>
      </c>
      <c r="E278" s="132">
        <v>9.1300000000000008</v>
      </c>
      <c r="F278" s="127" t="s">
        <v>791</v>
      </c>
      <c r="G278" s="127" t="s">
        <v>640</v>
      </c>
      <c r="H278" s="129">
        <v>864</v>
      </c>
    </row>
    <row r="279" spans="1:8" x14ac:dyDescent="0.2">
      <c r="A279" s="127" t="s">
        <v>3051</v>
      </c>
      <c r="B279" s="127" t="s">
        <v>3076</v>
      </c>
      <c r="C279" s="127" t="s">
        <v>3077</v>
      </c>
      <c r="D279" s="127" t="s">
        <v>840</v>
      </c>
      <c r="E279" s="132">
        <v>1.69</v>
      </c>
      <c r="F279" s="127" t="s">
        <v>839</v>
      </c>
      <c r="G279" s="127" t="s">
        <v>640</v>
      </c>
      <c r="H279" s="129">
        <v>865</v>
      </c>
    </row>
    <row r="280" spans="1:8" x14ac:dyDescent="0.2">
      <c r="A280" s="127" t="s">
        <v>3051</v>
      </c>
      <c r="B280" s="127" t="s">
        <v>3078</v>
      </c>
      <c r="C280" s="127" t="s">
        <v>3079</v>
      </c>
      <c r="D280" s="127" t="s">
        <v>794</v>
      </c>
      <c r="E280" s="132">
        <v>8.3800000000000008</v>
      </c>
      <c r="F280" s="127" t="s">
        <v>793</v>
      </c>
      <c r="G280" s="127" t="s">
        <v>640</v>
      </c>
      <c r="H280" s="129">
        <v>866</v>
      </c>
    </row>
    <row r="281" spans="1:8" x14ac:dyDescent="0.2">
      <c r="A281" s="127" t="s">
        <v>3051</v>
      </c>
      <c r="B281" s="127" t="s">
        <v>3080</v>
      </c>
      <c r="C281" s="127" t="s">
        <v>3081</v>
      </c>
      <c r="D281" s="127" t="s">
        <v>1174</v>
      </c>
      <c r="E281" s="132">
        <v>6.56</v>
      </c>
      <c r="F281" s="127" t="s">
        <v>1173</v>
      </c>
      <c r="G281" s="127" t="s">
        <v>640</v>
      </c>
      <c r="H281" s="129">
        <v>867</v>
      </c>
    </row>
    <row r="282" spans="1:8" x14ac:dyDescent="0.2">
      <c r="A282" s="127" t="s">
        <v>3051</v>
      </c>
      <c r="B282" s="127" t="s">
        <v>1401</v>
      </c>
      <c r="C282" s="127" t="s">
        <v>3082</v>
      </c>
      <c r="D282" s="127" t="s">
        <v>677</v>
      </c>
      <c r="E282" s="132">
        <v>5.95</v>
      </c>
      <c r="F282" s="127" t="s">
        <v>676</v>
      </c>
      <c r="G282" s="127" t="s">
        <v>640</v>
      </c>
      <c r="H282" s="129">
        <v>868</v>
      </c>
    </row>
    <row r="283" spans="1:8" x14ac:dyDescent="0.2">
      <c r="A283" s="127" t="s">
        <v>3051</v>
      </c>
      <c r="B283" s="127" t="s">
        <v>1395</v>
      </c>
      <c r="C283" s="127" t="s">
        <v>3083</v>
      </c>
      <c r="D283" s="127" t="s">
        <v>3084</v>
      </c>
      <c r="E283" s="132">
        <v>0.2</v>
      </c>
      <c r="F283" s="127" t="s">
        <v>3085</v>
      </c>
      <c r="G283" s="127" t="s">
        <v>640</v>
      </c>
      <c r="H283" s="129">
        <v>869</v>
      </c>
    </row>
    <row r="284" spans="1:8" x14ac:dyDescent="0.2">
      <c r="A284" s="127"/>
      <c r="B284" s="127"/>
      <c r="C284" s="127"/>
      <c r="D284" s="135" t="s">
        <v>3578</v>
      </c>
      <c r="E284" s="98">
        <f>SUM(E183:E283)</f>
        <v>962.32999999999981</v>
      </c>
      <c r="F284" s="127"/>
      <c r="G284" s="127"/>
      <c r="H284" s="129"/>
    </row>
    <row r="285" spans="1:8" ht="38.25" x14ac:dyDescent="0.2">
      <c r="A285" s="127"/>
      <c r="B285" s="127"/>
      <c r="C285" s="127"/>
      <c r="D285" s="136" t="s">
        <v>3739</v>
      </c>
      <c r="E285" s="98">
        <v>82.15</v>
      </c>
      <c r="F285" s="127"/>
      <c r="G285" s="127"/>
      <c r="H285" s="129"/>
    </row>
    <row r="286" spans="1:8" x14ac:dyDescent="0.2">
      <c r="A286" s="127"/>
      <c r="B286" s="127"/>
      <c r="C286" s="127"/>
      <c r="D286" s="136"/>
      <c r="E286" s="98">
        <f>+E284-E285</f>
        <v>880.17999999999984</v>
      </c>
      <c r="F286" s="127"/>
      <c r="G286" s="127"/>
      <c r="H286" s="129"/>
    </row>
    <row r="287" spans="1:8" x14ac:dyDescent="0.2">
      <c r="A287" s="127"/>
      <c r="B287" s="127"/>
      <c r="C287" s="127"/>
      <c r="D287" s="127"/>
      <c r="E287" s="132"/>
      <c r="F287" s="127"/>
      <c r="G287" s="127"/>
      <c r="H287" s="129"/>
    </row>
    <row r="288" spans="1:8" x14ac:dyDescent="0.2">
      <c r="A288" s="127" t="s">
        <v>3086</v>
      </c>
      <c r="B288" s="127" t="s">
        <v>3087</v>
      </c>
      <c r="C288" s="127" t="s">
        <v>3088</v>
      </c>
      <c r="D288" s="127" t="s">
        <v>3089</v>
      </c>
      <c r="E288" s="132">
        <v>5.04</v>
      </c>
      <c r="F288" s="127" t="s">
        <v>3090</v>
      </c>
      <c r="G288" s="127" t="s">
        <v>640</v>
      </c>
      <c r="H288" s="129">
        <v>909</v>
      </c>
    </row>
    <row r="289" spans="1:8" x14ac:dyDescent="0.2">
      <c r="A289" s="127" t="s">
        <v>3086</v>
      </c>
      <c r="B289" s="127" t="s">
        <v>3091</v>
      </c>
      <c r="C289" s="127" t="s">
        <v>3092</v>
      </c>
      <c r="D289" s="127" t="s">
        <v>814</v>
      </c>
      <c r="E289" s="132">
        <v>3.12</v>
      </c>
      <c r="F289" s="127" t="s">
        <v>813</v>
      </c>
      <c r="G289" s="127" t="s">
        <v>640</v>
      </c>
      <c r="H289" s="129">
        <v>910</v>
      </c>
    </row>
    <row r="290" spans="1:8" x14ac:dyDescent="0.2">
      <c r="A290" s="127" t="s">
        <v>3086</v>
      </c>
      <c r="B290" s="127" t="s">
        <v>1321</v>
      </c>
      <c r="C290" s="127" t="s">
        <v>3093</v>
      </c>
      <c r="D290" s="127" t="s">
        <v>954</v>
      </c>
      <c r="E290" s="132">
        <v>2.2200000000000002</v>
      </c>
      <c r="F290" s="127" t="s">
        <v>953</v>
      </c>
      <c r="G290" s="127" t="s">
        <v>640</v>
      </c>
      <c r="H290" s="129">
        <v>911</v>
      </c>
    </row>
    <row r="291" spans="1:8" x14ac:dyDescent="0.2">
      <c r="A291" s="127" t="s">
        <v>3086</v>
      </c>
      <c r="B291" s="127" t="s">
        <v>3094</v>
      </c>
      <c r="C291" s="127" t="s">
        <v>3095</v>
      </c>
      <c r="D291" s="127" t="s">
        <v>1182</v>
      </c>
      <c r="E291" s="132">
        <v>8.3800000000000008</v>
      </c>
      <c r="F291" s="127" t="s">
        <v>1181</v>
      </c>
      <c r="G291" s="127" t="s">
        <v>640</v>
      </c>
      <c r="H291" s="129">
        <v>912</v>
      </c>
    </row>
    <row r="292" spans="1:8" x14ac:dyDescent="0.2">
      <c r="A292" s="127" t="s">
        <v>3086</v>
      </c>
      <c r="B292" s="127" t="s">
        <v>3096</v>
      </c>
      <c r="C292" s="127" t="s">
        <v>3097</v>
      </c>
      <c r="D292" s="127" t="s">
        <v>997</v>
      </c>
      <c r="E292" s="132">
        <v>7.64</v>
      </c>
      <c r="F292" s="127" t="s">
        <v>996</v>
      </c>
      <c r="G292" s="127" t="s">
        <v>640</v>
      </c>
      <c r="H292" s="129">
        <v>913</v>
      </c>
    </row>
    <row r="293" spans="1:8" x14ac:dyDescent="0.2">
      <c r="A293" s="127" t="s">
        <v>3086</v>
      </c>
      <c r="B293" s="127" t="s">
        <v>3098</v>
      </c>
      <c r="C293" s="127" t="s">
        <v>3099</v>
      </c>
      <c r="D293" s="127" t="s">
        <v>1036</v>
      </c>
      <c r="E293" s="132">
        <v>1.83</v>
      </c>
      <c r="F293" s="127" t="s">
        <v>1035</v>
      </c>
      <c r="G293" s="127" t="s">
        <v>640</v>
      </c>
      <c r="H293" s="129">
        <v>914</v>
      </c>
    </row>
    <row r="294" spans="1:8" x14ac:dyDescent="0.2">
      <c r="A294" s="127" t="s">
        <v>3086</v>
      </c>
      <c r="B294" s="127" t="s">
        <v>3100</v>
      </c>
      <c r="C294" s="127" t="s">
        <v>3101</v>
      </c>
      <c r="D294" s="127" t="s">
        <v>956</v>
      </c>
      <c r="E294" s="132">
        <v>2.56</v>
      </c>
      <c r="F294" s="127" t="s">
        <v>955</v>
      </c>
      <c r="G294" s="127" t="s">
        <v>640</v>
      </c>
      <c r="H294" s="129">
        <v>915</v>
      </c>
    </row>
    <row r="295" spans="1:8" x14ac:dyDescent="0.2">
      <c r="A295" s="127" t="s">
        <v>3086</v>
      </c>
      <c r="B295" s="127" t="s">
        <v>1586</v>
      </c>
      <c r="C295" s="127" t="s">
        <v>3102</v>
      </c>
      <c r="D295" s="127" t="s">
        <v>1164</v>
      </c>
      <c r="E295" s="132">
        <v>2.84</v>
      </c>
      <c r="F295" s="127" t="s">
        <v>1163</v>
      </c>
      <c r="G295" s="127" t="s">
        <v>640</v>
      </c>
      <c r="H295" s="129">
        <v>916</v>
      </c>
    </row>
    <row r="296" spans="1:8" x14ac:dyDescent="0.2">
      <c r="A296" s="127" t="s">
        <v>3086</v>
      </c>
      <c r="B296" s="127" t="s">
        <v>3103</v>
      </c>
      <c r="C296" s="127" t="s">
        <v>3104</v>
      </c>
      <c r="D296" s="127" t="s">
        <v>875</v>
      </c>
      <c r="E296" s="132">
        <v>6.74</v>
      </c>
      <c r="F296" s="127" t="s">
        <v>874</v>
      </c>
      <c r="G296" s="127" t="s">
        <v>640</v>
      </c>
      <c r="H296" s="129">
        <v>917</v>
      </c>
    </row>
    <row r="297" spans="1:8" x14ac:dyDescent="0.2">
      <c r="A297" s="127" t="s">
        <v>3086</v>
      </c>
      <c r="B297" s="127" t="s">
        <v>3105</v>
      </c>
      <c r="C297" s="127" t="s">
        <v>3106</v>
      </c>
      <c r="D297" s="127" t="s">
        <v>1038</v>
      </c>
      <c r="E297" s="132">
        <v>9</v>
      </c>
      <c r="F297" s="127" t="s">
        <v>1037</v>
      </c>
      <c r="G297" s="127" t="s">
        <v>640</v>
      </c>
      <c r="H297" s="129">
        <v>918</v>
      </c>
    </row>
    <row r="298" spans="1:8" x14ac:dyDescent="0.2">
      <c r="A298" s="127" t="s">
        <v>3086</v>
      </c>
      <c r="B298" s="127" t="s">
        <v>3107</v>
      </c>
      <c r="C298" s="127" t="s">
        <v>3108</v>
      </c>
      <c r="D298" s="127" t="s">
        <v>1458</v>
      </c>
      <c r="E298" s="132">
        <v>1.95</v>
      </c>
      <c r="F298" s="127" t="s">
        <v>1457</v>
      </c>
      <c r="G298" s="127" t="s">
        <v>640</v>
      </c>
      <c r="H298" s="129">
        <v>919</v>
      </c>
    </row>
    <row r="299" spans="1:8" x14ac:dyDescent="0.2">
      <c r="A299" s="127" t="s">
        <v>3086</v>
      </c>
      <c r="B299" s="127" t="s">
        <v>3109</v>
      </c>
      <c r="C299" s="127" t="s">
        <v>3110</v>
      </c>
      <c r="D299" s="127" t="s">
        <v>1241</v>
      </c>
      <c r="E299" s="132">
        <v>3.98</v>
      </c>
      <c r="F299" s="127" t="s">
        <v>1240</v>
      </c>
      <c r="G299" s="127" t="s">
        <v>640</v>
      </c>
      <c r="H299" s="129">
        <v>920</v>
      </c>
    </row>
    <row r="300" spans="1:8" x14ac:dyDescent="0.2">
      <c r="A300" s="127" t="s">
        <v>3086</v>
      </c>
      <c r="B300" s="127" t="s">
        <v>3111</v>
      </c>
      <c r="C300" s="127" t="s">
        <v>3112</v>
      </c>
      <c r="D300" s="127" t="s">
        <v>761</v>
      </c>
      <c r="E300" s="132">
        <v>6.32</v>
      </c>
      <c r="F300" s="127" t="s">
        <v>760</v>
      </c>
      <c r="G300" s="127" t="s">
        <v>640</v>
      </c>
      <c r="H300" s="129">
        <v>921</v>
      </c>
    </row>
    <row r="301" spans="1:8" x14ac:dyDescent="0.2">
      <c r="A301" s="127" t="s">
        <v>3086</v>
      </c>
      <c r="B301" s="127" t="s">
        <v>3113</v>
      </c>
      <c r="C301" s="127" t="s">
        <v>3114</v>
      </c>
      <c r="D301" s="127" t="s">
        <v>821</v>
      </c>
      <c r="E301" s="132">
        <v>7.01</v>
      </c>
      <c r="F301" s="127" t="s">
        <v>820</v>
      </c>
      <c r="G301" s="127" t="s">
        <v>640</v>
      </c>
      <c r="H301" s="129">
        <v>922</v>
      </c>
    </row>
    <row r="302" spans="1:8" x14ac:dyDescent="0.2">
      <c r="A302" s="127" t="s">
        <v>3086</v>
      </c>
      <c r="B302" s="127" t="s">
        <v>3115</v>
      </c>
      <c r="C302" s="127" t="s">
        <v>3116</v>
      </c>
      <c r="D302" s="127" t="s">
        <v>1141</v>
      </c>
      <c r="E302" s="132">
        <v>1.71</v>
      </c>
      <c r="F302" s="127" t="s">
        <v>1140</v>
      </c>
      <c r="G302" s="127" t="s">
        <v>640</v>
      </c>
      <c r="H302" s="129">
        <v>923</v>
      </c>
    </row>
    <row r="303" spans="1:8" x14ac:dyDescent="0.2">
      <c r="A303" s="127" t="s">
        <v>3117</v>
      </c>
      <c r="B303" s="127" t="s">
        <v>3118</v>
      </c>
      <c r="C303" s="127" t="s">
        <v>3119</v>
      </c>
      <c r="D303" s="127" t="s">
        <v>1277</v>
      </c>
      <c r="E303" s="132">
        <v>6.18</v>
      </c>
      <c r="F303" s="127" t="s">
        <v>1276</v>
      </c>
      <c r="G303" s="127" t="s">
        <v>640</v>
      </c>
      <c r="H303" s="129" t="s">
        <v>3120</v>
      </c>
    </row>
    <row r="304" spans="1:8" x14ac:dyDescent="0.2">
      <c r="A304" s="127" t="s">
        <v>3117</v>
      </c>
      <c r="B304" s="127" t="s">
        <v>3121</v>
      </c>
      <c r="C304" s="127" t="s">
        <v>3122</v>
      </c>
      <c r="D304" s="127" t="s">
        <v>1299</v>
      </c>
      <c r="E304" s="132">
        <v>1.75</v>
      </c>
      <c r="F304" s="127" t="s">
        <v>1298</v>
      </c>
      <c r="G304" s="127" t="s">
        <v>640</v>
      </c>
      <c r="H304" s="129">
        <v>924</v>
      </c>
    </row>
    <row r="305" spans="1:8" x14ac:dyDescent="0.2">
      <c r="A305" s="127" t="s">
        <v>3117</v>
      </c>
      <c r="B305" s="127" t="s">
        <v>3123</v>
      </c>
      <c r="C305" s="127" t="s">
        <v>3124</v>
      </c>
      <c r="D305" s="127" t="s">
        <v>739</v>
      </c>
      <c r="E305" s="132">
        <v>60.31</v>
      </c>
      <c r="F305" s="127" t="s">
        <v>738</v>
      </c>
      <c r="G305" s="127" t="s">
        <v>640</v>
      </c>
      <c r="H305" s="129">
        <v>925</v>
      </c>
    </row>
    <row r="306" spans="1:8" x14ac:dyDescent="0.2">
      <c r="A306" s="127" t="s">
        <v>3117</v>
      </c>
      <c r="B306" s="127" t="s">
        <v>3125</v>
      </c>
      <c r="C306" s="127" t="s">
        <v>3126</v>
      </c>
      <c r="D306" s="127" t="s">
        <v>1239</v>
      </c>
      <c r="E306" s="132">
        <v>1.68</v>
      </c>
      <c r="F306" s="127" t="s">
        <v>1238</v>
      </c>
      <c r="G306" s="127" t="s">
        <v>640</v>
      </c>
      <c r="H306" s="129">
        <v>926</v>
      </c>
    </row>
    <row r="307" spans="1:8" x14ac:dyDescent="0.2">
      <c r="A307" s="127" t="s">
        <v>3117</v>
      </c>
      <c r="B307" s="127" t="s">
        <v>3127</v>
      </c>
      <c r="C307" s="127" t="s">
        <v>3128</v>
      </c>
      <c r="D307" s="127" t="s">
        <v>1237</v>
      </c>
      <c r="E307" s="132">
        <v>6.38</v>
      </c>
      <c r="F307" s="127" t="s">
        <v>1236</v>
      </c>
      <c r="G307" s="127" t="s">
        <v>640</v>
      </c>
      <c r="H307" s="129">
        <v>927</v>
      </c>
    </row>
    <row r="308" spans="1:8" x14ac:dyDescent="0.2">
      <c r="A308" s="127" t="s">
        <v>3117</v>
      </c>
      <c r="B308" s="127" t="s">
        <v>3129</v>
      </c>
      <c r="C308" s="127" t="s">
        <v>3130</v>
      </c>
      <c r="D308" s="127" t="s">
        <v>1024</v>
      </c>
      <c r="E308" s="132">
        <v>26.39</v>
      </c>
      <c r="F308" s="127" t="s">
        <v>1023</v>
      </c>
      <c r="G308" s="127" t="s">
        <v>640</v>
      </c>
      <c r="H308" s="129">
        <v>928</v>
      </c>
    </row>
    <row r="309" spans="1:8" x14ac:dyDescent="0.2">
      <c r="A309" s="127" t="s">
        <v>3117</v>
      </c>
      <c r="B309" s="127" t="s">
        <v>3131</v>
      </c>
      <c r="C309" s="127" t="s">
        <v>3132</v>
      </c>
      <c r="D309" s="127" t="s">
        <v>786</v>
      </c>
      <c r="E309" s="132">
        <v>2.2200000000000002</v>
      </c>
      <c r="F309" s="127" t="s">
        <v>785</v>
      </c>
      <c r="G309" s="127" t="s">
        <v>640</v>
      </c>
      <c r="H309" s="129">
        <v>929</v>
      </c>
    </row>
    <row r="310" spans="1:8" x14ac:dyDescent="0.2">
      <c r="A310" s="127" t="s">
        <v>3117</v>
      </c>
      <c r="B310" s="127" t="s">
        <v>3133</v>
      </c>
      <c r="C310" s="127" t="s">
        <v>3134</v>
      </c>
      <c r="D310" s="127" t="s">
        <v>787</v>
      </c>
      <c r="E310" s="132">
        <v>11.09</v>
      </c>
      <c r="F310" s="127" t="s">
        <v>785</v>
      </c>
      <c r="G310" s="127" t="s">
        <v>640</v>
      </c>
      <c r="H310" s="129">
        <v>930</v>
      </c>
    </row>
    <row r="311" spans="1:8" x14ac:dyDescent="0.2">
      <c r="A311" s="127" t="s">
        <v>3117</v>
      </c>
      <c r="B311" s="127" t="s">
        <v>3135</v>
      </c>
      <c r="C311" s="127" t="s">
        <v>3136</v>
      </c>
      <c r="D311" s="127" t="s">
        <v>1235</v>
      </c>
      <c r="E311" s="132">
        <v>2.2400000000000002</v>
      </c>
      <c r="F311" s="127" t="s">
        <v>1234</v>
      </c>
      <c r="G311" s="127" t="s">
        <v>640</v>
      </c>
      <c r="H311" s="129">
        <v>931</v>
      </c>
    </row>
    <row r="312" spans="1:8" x14ac:dyDescent="0.2">
      <c r="A312" s="127" t="s">
        <v>3117</v>
      </c>
      <c r="B312" s="127" t="s">
        <v>3137</v>
      </c>
      <c r="C312" s="127" t="s">
        <v>3138</v>
      </c>
      <c r="D312" s="127" t="s">
        <v>3139</v>
      </c>
      <c r="E312" s="132">
        <v>8.3800000000000008</v>
      </c>
      <c r="F312" s="127" t="s">
        <v>3140</v>
      </c>
      <c r="G312" s="127" t="s">
        <v>640</v>
      </c>
      <c r="H312" s="129">
        <v>932</v>
      </c>
    </row>
    <row r="313" spans="1:8" x14ac:dyDescent="0.2">
      <c r="A313" s="127" t="s">
        <v>3117</v>
      </c>
      <c r="B313" s="127" t="s">
        <v>3141</v>
      </c>
      <c r="C313" s="127" t="s">
        <v>3142</v>
      </c>
      <c r="D313" s="127" t="s">
        <v>3143</v>
      </c>
      <c r="E313" s="132">
        <v>8.3800000000000008</v>
      </c>
      <c r="F313" s="127" t="s">
        <v>3144</v>
      </c>
      <c r="G313" s="127" t="s">
        <v>640</v>
      </c>
      <c r="H313" s="129">
        <v>933</v>
      </c>
    </row>
    <row r="314" spans="1:8" x14ac:dyDescent="0.2">
      <c r="A314" s="127" t="s">
        <v>3117</v>
      </c>
      <c r="B314" s="127" t="s">
        <v>3145</v>
      </c>
      <c r="C314" s="127" t="s">
        <v>3146</v>
      </c>
      <c r="D314" s="127" t="s">
        <v>1074</v>
      </c>
      <c r="E314" s="132">
        <v>4.8</v>
      </c>
      <c r="F314" s="127" t="s">
        <v>1073</v>
      </c>
      <c r="G314" s="127" t="s">
        <v>640</v>
      </c>
      <c r="H314" s="129">
        <v>934</v>
      </c>
    </row>
    <row r="315" spans="1:8" x14ac:dyDescent="0.2">
      <c r="A315" s="127" t="s">
        <v>3117</v>
      </c>
      <c r="B315" s="127" t="s">
        <v>3147</v>
      </c>
      <c r="C315" s="127" t="s">
        <v>3148</v>
      </c>
      <c r="D315" s="127" t="s">
        <v>763</v>
      </c>
      <c r="E315" s="132">
        <v>5.78</v>
      </c>
      <c r="F315" s="127" t="s">
        <v>762</v>
      </c>
      <c r="G315" s="127" t="s">
        <v>640</v>
      </c>
      <c r="H315" s="129">
        <v>935</v>
      </c>
    </row>
    <row r="316" spans="1:8" x14ac:dyDescent="0.2">
      <c r="A316" s="127" t="s">
        <v>3117</v>
      </c>
      <c r="B316" s="127" t="s">
        <v>3149</v>
      </c>
      <c r="C316" s="127" t="s">
        <v>3150</v>
      </c>
      <c r="D316" s="127" t="s">
        <v>844</v>
      </c>
      <c r="E316" s="132">
        <v>1.76</v>
      </c>
      <c r="F316" s="127" t="s">
        <v>843</v>
      </c>
      <c r="G316" s="127" t="s">
        <v>640</v>
      </c>
      <c r="H316" s="129">
        <v>936</v>
      </c>
    </row>
    <row r="317" spans="1:8" x14ac:dyDescent="0.2">
      <c r="A317" s="127" t="s">
        <v>3117</v>
      </c>
      <c r="B317" s="127" t="s">
        <v>3151</v>
      </c>
      <c r="C317" s="127" t="s">
        <v>3152</v>
      </c>
      <c r="D317" s="127" t="s">
        <v>1251</v>
      </c>
      <c r="E317" s="132">
        <v>3.28</v>
      </c>
      <c r="F317" s="127" t="s">
        <v>1250</v>
      </c>
      <c r="G317" s="127" t="s">
        <v>640</v>
      </c>
      <c r="H317" s="129">
        <v>937</v>
      </c>
    </row>
    <row r="318" spans="1:8" x14ac:dyDescent="0.2">
      <c r="A318" s="127" t="s">
        <v>3153</v>
      </c>
      <c r="B318" s="127" t="s">
        <v>3154</v>
      </c>
      <c r="C318" s="127" t="s">
        <v>3155</v>
      </c>
      <c r="D318" s="127" t="s">
        <v>731</v>
      </c>
      <c r="E318" s="132">
        <v>7.65</v>
      </c>
      <c r="F318" s="127" t="s">
        <v>730</v>
      </c>
      <c r="G318" s="127" t="s">
        <v>640</v>
      </c>
      <c r="H318" s="129">
        <v>938</v>
      </c>
    </row>
    <row r="319" spans="1:8" x14ac:dyDescent="0.2">
      <c r="A319" s="127" t="s">
        <v>3153</v>
      </c>
      <c r="B319" s="127" t="s">
        <v>3156</v>
      </c>
      <c r="C319" s="127" t="s">
        <v>3157</v>
      </c>
      <c r="D319" s="127" t="s">
        <v>1222</v>
      </c>
      <c r="E319" s="132">
        <v>11.25</v>
      </c>
      <c r="F319" s="127" t="s">
        <v>1221</v>
      </c>
      <c r="G319" s="127" t="s">
        <v>640</v>
      </c>
      <c r="H319" s="129">
        <v>939</v>
      </c>
    </row>
    <row r="320" spans="1:8" x14ac:dyDescent="0.2">
      <c r="A320" s="127" t="s">
        <v>3153</v>
      </c>
      <c r="B320" s="127" t="s">
        <v>3158</v>
      </c>
      <c r="C320" s="127" t="s">
        <v>3159</v>
      </c>
      <c r="D320" s="127" t="s">
        <v>1454</v>
      </c>
      <c r="E320" s="132">
        <v>7.55</v>
      </c>
      <c r="F320" s="127" t="s">
        <v>1453</v>
      </c>
      <c r="G320" s="127" t="s">
        <v>640</v>
      </c>
      <c r="H320" s="129">
        <v>940</v>
      </c>
    </row>
    <row r="321" spans="1:8" x14ac:dyDescent="0.2">
      <c r="A321" s="127" t="s">
        <v>3160</v>
      </c>
      <c r="B321" s="127" t="s">
        <v>3161</v>
      </c>
      <c r="C321" s="127" t="s">
        <v>3162</v>
      </c>
      <c r="D321" s="127" t="s">
        <v>1320</v>
      </c>
      <c r="E321" s="132">
        <v>23.45</v>
      </c>
      <c r="F321" s="127" t="s">
        <v>1319</v>
      </c>
      <c r="G321" s="127" t="s">
        <v>640</v>
      </c>
      <c r="H321" s="129">
        <v>976</v>
      </c>
    </row>
    <row r="322" spans="1:8" x14ac:dyDescent="0.2">
      <c r="A322" s="127" t="s">
        <v>3160</v>
      </c>
      <c r="B322" s="127" t="s">
        <v>3163</v>
      </c>
      <c r="C322" s="127" t="s">
        <v>3164</v>
      </c>
      <c r="D322" s="127" t="s">
        <v>1517</v>
      </c>
      <c r="E322" s="132">
        <v>3.36</v>
      </c>
      <c r="F322" s="127" t="s">
        <v>1516</v>
      </c>
      <c r="G322" s="127" t="s">
        <v>640</v>
      </c>
      <c r="H322" s="129">
        <v>977</v>
      </c>
    </row>
    <row r="323" spans="1:8" x14ac:dyDescent="0.2">
      <c r="A323" s="127" t="s">
        <v>3160</v>
      </c>
      <c r="B323" s="127" t="s">
        <v>3165</v>
      </c>
      <c r="C323" s="127" t="s">
        <v>3166</v>
      </c>
      <c r="D323" s="127" t="s">
        <v>1583</v>
      </c>
      <c r="E323" s="132">
        <v>36.69</v>
      </c>
      <c r="F323" s="127" t="s">
        <v>1584</v>
      </c>
      <c r="G323" s="127" t="s">
        <v>640</v>
      </c>
      <c r="H323" s="129">
        <v>978</v>
      </c>
    </row>
    <row r="324" spans="1:8" x14ac:dyDescent="0.2">
      <c r="A324" s="127" t="s">
        <v>3160</v>
      </c>
      <c r="B324" s="127" t="s">
        <v>3167</v>
      </c>
      <c r="C324" s="127" t="s">
        <v>3168</v>
      </c>
      <c r="D324" s="127" t="s">
        <v>765</v>
      </c>
      <c r="E324" s="132">
        <v>1.95</v>
      </c>
      <c r="F324" s="127" t="s">
        <v>764</v>
      </c>
      <c r="G324" s="127" t="s">
        <v>640</v>
      </c>
      <c r="H324" s="129">
        <v>979</v>
      </c>
    </row>
    <row r="325" spans="1:8" x14ac:dyDescent="0.2">
      <c r="A325" s="127" t="s">
        <v>3160</v>
      </c>
      <c r="B325" s="127" t="s">
        <v>3169</v>
      </c>
      <c r="C325" s="127" t="s">
        <v>3170</v>
      </c>
      <c r="D325" s="127" t="s">
        <v>1575</v>
      </c>
      <c r="E325" s="132">
        <v>11.01</v>
      </c>
      <c r="F325" s="127" t="s">
        <v>1574</v>
      </c>
      <c r="G325" s="127" t="s">
        <v>640</v>
      </c>
      <c r="H325" s="129">
        <v>980</v>
      </c>
    </row>
    <row r="326" spans="1:8" x14ac:dyDescent="0.2">
      <c r="A326" s="127" t="s">
        <v>3160</v>
      </c>
      <c r="B326" s="127" t="s">
        <v>3171</v>
      </c>
      <c r="C326" s="127" t="s">
        <v>3172</v>
      </c>
      <c r="D326" s="127" t="s">
        <v>1178</v>
      </c>
      <c r="E326" s="132">
        <v>3.49</v>
      </c>
      <c r="F326" s="127" t="s">
        <v>1177</v>
      </c>
      <c r="G326" s="127" t="s">
        <v>640</v>
      </c>
      <c r="H326" s="129">
        <v>981</v>
      </c>
    </row>
    <row r="327" spans="1:8" x14ac:dyDescent="0.2">
      <c r="A327" s="127" t="s">
        <v>3160</v>
      </c>
      <c r="B327" s="127" t="s">
        <v>1568</v>
      </c>
      <c r="C327" s="127" t="s">
        <v>3173</v>
      </c>
      <c r="D327" s="127" t="s">
        <v>968</v>
      </c>
      <c r="E327" s="132">
        <v>1.94</v>
      </c>
      <c r="F327" s="127" t="s">
        <v>967</v>
      </c>
      <c r="G327" s="127" t="s">
        <v>640</v>
      </c>
      <c r="H327" s="129">
        <v>982</v>
      </c>
    </row>
    <row r="328" spans="1:8" x14ac:dyDescent="0.2">
      <c r="A328" s="127" t="s">
        <v>3160</v>
      </c>
      <c r="B328" s="127" t="s">
        <v>3174</v>
      </c>
      <c r="C328" s="127" t="s">
        <v>3175</v>
      </c>
      <c r="D328" s="127" t="s">
        <v>857</v>
      </c>
      <c r="E328" s="132">
        <v>1.68</v>
      </c>
      <c r="F328" s="127" t="s">
        <v>856</v>
      </c>
      <c r="G328" s="127" t="s">
        <v>640</v>
      </c>
      <c r="H328" s="129">
        <v>983</v>
      </c>
    </row>
    <row r="329" spans="1:8" x14ac:dyDescent="0.2">
      <c r="A329" s="127" t="s">
        <v>3160</v>
      </c>
      <c r="B329" s="127" t="s">
        <v>3176</v>
      </c>
      <c r="C329" s="127" t="s">
        <v>3177</v>
      </c>
      <c r="D329" s="127" t="s">
        <v>938</v>
      </c>
      <c r="E329" s="132">
        <v>3.36</v>
      </c>
      <c r="F329" s="127" t="s">
        <v>937</v>
      </c>
      <c r="G329" s="127" t="s">
        <v>640</v>
      </c>
      <c r="H329" s="129">
        <v>984</v>
      </c>
    </row>
    <row r="330" spans="1:8" x14ac:dyDescent="0.2">
      <c r="A330" s="127" t="s">
        <v>3160</v>
      </c>
      <c r="B330" s="127" t="s">
        <v>3178</v>
      </c>
      <c r="C330" s="127" t="s">
        <v>3179</v>
      </c>
      <c r="D330" s="127" t="s">
        <v>683</v>
      </c>
      <c r="E330" s="132">
        <v>1.78</v>
      </c>
      <c r="F330" s="127" t="s">
        <v>682</v>
      </c>
      <c r="G330" s="127" t="s">
        <v>640</v>
      </c>
      <c r="H330" s="129">
        <v>985</v>
      </c>
    </row>
    <row r="331" spans="1:8" x14ac:dyDescent="0.2">
      <c r="A331" s="127" t="s">
        <v>3180</v>
      </c>
      <c r="B331" s="127" t="s">
        <v>3181</v>
      </c>
      <c r="C331" s="127" t="s">
        <v>3182</v>
      </c>
      <c r="D331" s="127" t="s">
        <v>1337</v>
      </c>
      <c r="E331" s="132">
        <v>1.68</v>
      </c>
      <c r="F331" s="127" t="s">
        <v>1336</v>
      </c>
      <c r="G331" s="127" t="s">
        <v>640</v>
      </c>
      <c r="H331" s="129">
        <v>986</v>
      </c>
    </row>
    <row r="332" spans="1:8" x14ac:dyDescent="0.2">
      <c r="A332" s="127" t="s">
        <v>3180</v>
      </c>
      <c r="B332" s="127" t="s">
        <v>3183</v>
      </c>
      <c r="C332" s="127" t="s">
        <v>3184</v>
      </c>
      <c r="D332" s="127" t="s">
        <v>1191</v>
      </c>
      <c r="E332" s="132">
        <v>3.36</v>
      </c>
      <c r="F332" s="127" t="s">
        <v>1190</v>
      </c>
      <c r="G332" s="127" t="s">
        <v>640</v>
      </c>
      <c r="H332" s="129">
        <v>987</v>
      </c>
    </row>
    <row r="333" spans="1:8" x14ac:dyDescent="0.2">
      <c r="A333" s="127" t="s">
        <v>3180</v>
      </c>
      <c r="B333" s="127" t="s">
        <v>3185</v>
      </c>
      <c r="C333" s="127" t="s">
        <v>3186</v>
      </c>
      <c r="D333" s="127" t="s">
        <v>890</v>
      </c>
      <c r="E333" s="132">
        <v>5.84</v>
      </c>
      <c r="F333" s="127" t="s">
        <v>889</v>
      </c>
      <c r="G333" s="127" t="s">
        <v>640</v>
      </c>
      <c r="H333" s="129">
        <v>988</v>
      </c>
    </row>
    <row r="334" spans="1:8" x14ac:dyDescent="0.2">
      <c r="A334" s="127" t="s">
        <v>3180</v>
      </c>
      <c r="B334" s="127" t="s">
        <v>3187</v>
      </c>
      <c r="C334" s="127" t="s">
        <v>3188</v>
      </c>
      <c r="D334" s="127" t="s">
        <v>1176</v>
      </c>
      <c r="E334" s="132">
        <v>2.02</v>
      </c>
      <c r="F334" s="127" t="s">
        <v>1175</v>
      </c>
      <c r="G334" s="127" t="s">
        <v>640</v>
      </c>
      <c r="H334" s="129">
        <v>989</v>
      </c>
    </row>
    <row r="335" spans="1:8" x14ac:dyDescent="0.2">
      <c r="A335" s="127" t="s">
        <v>3180</v>
      </c>
      <c r="B335" s="127" t="s">
        <v>3189</v>
      </c>
      <c r="C335" s="127" t="s">
        <v>3190</v>
      </c>
      <c r="D335" s="127" t="s">
        <v>924</v>
      </c>
      <c r="E335" s="132">
        <v>2</v>
      </c>
      <c r="F335" s="127" t="s">
        <v>923</v>
      </c>
      <c r="G335" s="127" t="s">
        <v>640</v>
      </c>
      <c r="H335" s="129">
        <v>990</v>
      </c>
    </row>
    <row r="336" spans="1:8" x14ac:dyDescent="0.2">
      <c r="A336" s="127" t="s">
        <v>3180</v>
      </c>
      <c r="B336" s="127" t="s">
        <v>3191</v>
      </c>
      <c r="C336" s="127" t="s">
        <v>3192</v>
      </c>
      <c r="D336" s="127" t="s">
        <v>894</v>
      </c>
      <c r="E336" s="132">
        <v>9.76</v>
      </c>
      <c r="F336" s="127" t="s">
        <v>893</v>
      </c>
      <c r="G336" s="127" t="s">
        <v>640</v>
      </c>
      <c r="H336" s="129">
        <v>991</v>
      </c>
    </row>
    <row r="337" spans="1:8" x14ac:dyDescent="0.2">
      <c r="A337" s="127" t="s">
        <v>3180</v>
      </c>
      <c r="B337" s="127" t="s">
        <v>3193</v>
      </c>
      <c r="C337" s="127" t="s">
        <v>3194</v>
      </c>
      <c r="D337" s="127" t="s">
        <v>1245</v>
      </c>
      <c r="E337" s="132">
        <v>11.09</v>
      </c>
      <c r="F337" s="127" t="s">
        <v>1244</v>
      </c>
      <c r="G337" s="127" t="s">
        <v>640</v>
      </c>
      <c r="H337" s="129">
        <v>992</v>
      </c>
    </row>
    <row r="338" spans="1:8" x14ac:dyDescent="0.2">
      <c r="A338" s="127" t="s">
        <v>3180</v>
      </c>
      <c r="B338" s="127" t="s">
        <v>3195</v>
      </c>
      <c r="C338" s="127" t="s">
        <v>3196</v>
      </c>
      <c r="D338" s="127" t="s">
        <v>648</v>
      </c>
      <c r="E338" s="132">
        <v>1.8</v>
      </c>
      <c r="F338" s="127" t="s">
        <v>647</v>
      </c>
      <c r="G338" s="127" t="s">
        <v>640</v>
      </c>
      <c r="H338" s="129">
        <v>993</v>
      </c>
    </row>
    <row r="339" spans="1:8" x14ac:dyDescent="0.2">
      <c r="A339" s="127" t="s">
        <v>3180</v>
      </c>
      <c r="B339" s="127" t="s">
        <v>3197</v>
      </c>
      <c r="C339" s="127" t="s">
        <v>3198</v>
      </c>
      <c r="D339" s="127" t="s">
        <v>3199</v>
      </c>
      <c r="E339" s="132">
        <v>5.04</v>
      </c>
      <c r="F339" s="127" t="s">
        <v>3200</v>
      </c>
      <c r="G339" s="127" t="s">
        <v>640</v>
      </c>
      <c r="H339" s="129">
        <v>994</v>
      </c>
    </row>
    <row r="340" spans="1:8" x14ac:dyDescent="0.2">
      <c r="A340" s="127" t="s">
        <v>3180</v>
      </c>
      <c r="B340" s="127" t="s">
        <v>3201</v>
      </c>
      <c r="C340" s="127" t="s">
        <v>3202</v>
      </c>
      <c r="D340" s="127" t="s">
        <v>784</v>
      </c>
      <c r="E340" s="132">
        <v>11.14</v>
      </c>
      <c r="F340" s="127" t="s">
        <v>783</v>
      </c>
      <c r="G340" s="127" t="s">
        <v>640</v>
      </c>
      <c r="H340" s="129">
        <v>995</v>
      </c>
    </row>
    <row r="341" spans="1:8" x14ac:dyDescent="0.2">
      <c r="A341" s="127" t="s">
        <v>3180</v>
      </c>
      <c r="B341" s="127" t="s">
        <v>3203</v>
      </c>
      <c r="C341" s="127" t="s">
        <v>3204</v>
      </c>
      <c r="D341" s="127" t="s">
        <v>3205</v>
      </c>
      <c r="E341" s="132">
        <v>0.09</v>
      </c>
      <c r="F341" s="127" t="s">
        <v>3206</v>
      </c>
      <c r="G341" s="127" t="s">
        <v>640</v>
      </c>
      <c r="H341" s="129">
        <v>996</v>
      </c>
    </row>
    <row r="342" spans="1:8" x14ac:dyDescent="0.2">
      <c r="A342" s="127" t="s">
        <v>3180</v>
      </c>
      <c r="B342" s="127" t="s">
        <v>3207</v>
      </c>
      <c r="C342" s="127" t="s">
        <v>3208</v>
      </c>
      <c r="D342" s="127" t="s">
        <v>1403</v>
      </c>
      <c r="E342" s="132">
        <v>4.33</v>
      </c>
      <c r="F342" s="127" t="s">
        <v>1402</v>
      </c>
      <c r="G342" s="127" t="s">
        <v>640</v>
      </c>
      <c r="H342" s="129">
        <v>997</v>
      </c>
    </row>
    <row r="343" spans="1:8" x14ac:dyDescent="0.2">
      <c r="A343" s="127" t="s">
        <v>3180</v>
      </c>
      <c r="B343" s="127" t="s">
        <v>3209</v>
      </c>
      <c r="C343" s="127" t="s">
        <v>3210</v>
      </c>
      <c r="D343" s="127" t="s">
        <v>3211</v>
      </c>
      <c r="E343" s="132">
        <v>4.2</v>
      </c>
      <c r="F343" s="127" t="s">
        <v>3212</v>
      </c>
      <c r="G343" s="127" t="s">
        <v>640</v>
      </c>
      <c r="H343" s="129">
        <v>998</v>
      </c>
    </row>
    <row r="344" spans="1:8" x14ac:dyDescent="0.2">
      <c r="A344" s="127" t="s">
        <v>3180</v>
      </c>
      <c r="B344" s="127" t="s">
        <v>3213</v>
      </c>
      <c r="C344" s="127" t="s">
        <v>3214</v>
      </c>
      <c r="D344" s="127" t="s">
        <v>1439</v>
      </c>
      <c r="E344" s="132">
        <v>5.63</v>
      </c>
      <c r="F344" s="127" t="s">
        <v>1438</v>
      </c>
      <c r="G344" s="127" t="s">
        <v>640</v>
      </c>
      <c r="H344" s="129">
        <v>999</v>
      </c>
    </row>
    <row r="345" spans="1:8" x14ac:dyDescent="0.2">
      <c r="A345" s="127" t="s">
        <v>3215</v>
      </c>
      <c r="B345" s="127" t="s">
        <v>1512</v>
      </c>
      <c r="C345" s="127" t="s">
        <v>3216</v>
      </c>
      <c r="D345" s="127" t="s">
        <v>855</v>
      </c>
      <c r="E345" s="132">
        <v>8.61</v>
      </c>
      <c r="F345" s="127" t="s">
        <v>854</v>
      </c>
      <c r="G345" s="127" t="s">
        <v>640</v>
      </c>
      <c r="H345" s="129">
        <v>1051</v>
      </c>
    </row>
    <row r="346" spans="1:8" x14ac:dyDescent="0.2">
      <c r="A346" s="127" t="s">
        <v>3215</v>
      </c>
      <c r="B346" s="127" t="s">
        <v>3217</v>
      </c>
      <c r="C346" s="127" t="s">
        <v>3218</v>
      </c>
      <c r="D346" s="127" t="s">
        <v>654</v>
      </c>
      <c r="E346" s="132">
        <v>6.92</v>
      </c>
      <c r="F346" s="127" t="s">
        <v>653</v>
      </c>
      <c r="G346" s="127" t="s">
        <v>640</v>
      </c>
      <c r="H346" s="129">
        <v>1052</v>
      </c>
    </row>
    <row r="347" spans="1:8" x14ac:dyDescent="0.2">
      <c r="A347" s="127" t="s">
        <v>3215</v>
      </c>
      <c r="B347" s="127" t="s">
        <v>3219</v>
      </c>
      <c r="C347" s="127" t="s">
        <v>3220</v>
      </c>
      <c r="D347" s="127" t="s">
        <v>1483</v>
      </c>
      <c r="E347" s="132">
        <v>1.94</v>
      </c>
      <c r="F347" s="127" t="s">
        <v>1482</v>
      </c>
      <c r="G347" s="127" t="s">
        <v>640</v>
      </c>
      <c r="H347" s="129">
        <v>1053</v>
      </c>
    </row>
    <row r="348" spans="1:8" x14ac:dyDescent="0.2">
      <c r="A348" s="127" t="s">
        <v>3215</v>
      </c>
      <c r="B348" s="127" t="s">
        <v>3221</v>
      </c>
      <c r="C348" s="127" t="s">
        <v>3222</v>
      </c>
      <c r="D348" s="127" t="s">
        <v>1269</v>
      </c>
      <c r="E348" s="132">
        <v>5.73</v>
      </c>
      <c r="F348" s="127" t="s">
        <v>1268</v>
      </c>
      <c r="G348" s="127" t="s">
        <v>640</v>
      </c>
      <c r="H348" s="129">
        <v>1054</v>
      </c>
    </row>
    <row r="349" spans="1:8" x14ac:dyDescent="0.2">
      <c r="A349" s="127" t="s">
        <v>3215</v>
      </c>
      <c r="B349" s="127" t="s">
        <v>3223</v>
      </c>
      <c r="C349" s="127" t="s">
        <v>3224</v>
      </c>
      <c r="D349" s="127" t="s">
        <v>1170</v>
      </c>
      <c r="E349" s="132">
        <v>7.68</v>
      </c>
      <c r="F349" s="127" t="s">
        <v>1169</v>
      </c>
      <c r="G349" s="127" t="s">
        <v>640</v>
      </c>
      <c r="H349" s="129">
        <v>1055</v>
      </c>
    </row>
    <row r="350" spans="1:8" x14ac:dyDescent="0.2">
      <c r="A350" s="127" t="s">
        <v>3215</v>
      </c>
      <c r="B350" s="127" t="s">
        <v>3225</v>
      </c>
      <c r="C350" s="127" t="s">
        <v>3226</v>
      </c>
      <c r="D350" s="127" t="s">
        <v>1172</v>
      </c>
      <c r="E350" s="132">
        <v>3.17</v>
      </c>
      <c r="F350" s="127" t="s">
        <v>1171</v>
      </c>
      <c r="G350" s="127" t="s">
        <v>640</v>
      </c>
      <c r="H350" s="129">
        <v>1056</v>
      </c>
    </row>
    <row r="351" spans="1:8" x14ac:dyDescent="0.2">
      <c r="A351" s="127" t="s">
        <v>3215</v>
      </c>
      <c r="B351" s="127" t="s">
        <v>3227</v>
      </c>
      <c r="C351" s="127" t="s">
        <v>3228</v>
      </c>
      <c r="D351" s="127" t="s">
        <v>1450</v>
      </c>
      <c r="E351" s="132">
        <v>4.92</v>
      </c>
      <c r="F351" s="127" t="s">
        <v>1449</v>
      </c>
      <c r="G351" s="127" t="s">
        <v>640</v>
      </c>
      <c r="H351" s="129">
        <v>1057</v>
      </c>
    </row>
    <row r="352" spans="1:8" x14ac:dyDescent="0.2">
      <c r="A352" s="127" t="s">
        <v>3215</v>
      </c>
      <c r="B352" s="127" t="s">
        <v>3229</v>
      </c>
      <c r="C352" s="127" t="s">
        <v>3230</v>
      </c>
      <c r="D352" s="127" t="s">
        <v>3231</v>
      </c>
      <c r="E352" s="132">
        <v>25.14</v>
      </c>
      <c r="F352" s="127" t="s">
        <v>3232</v>
      </c>
      <c r="G352" s="127" t="s">
        <v>640</v>
      </c>
      <c r="H352" s="129">
        <v>1058</v>
      </c>
    </row>
    <row r="353" spans="1:8" x14ac:dyDescent="0.2">
      <c r="A353" s="127" t="s">
        <v>3215</v>
      </c>
      <c r="B353" s="127" t="s">
        <v>1440</v>
      </c>
      <c r="C353" s="127" t="s">
        <v>3233</v>
      </c>
      <c r="D353" s="127" t="s">
        <v>3234</v>
      </c>
      <c r="E353" s="132">
        <v>22.3</v>
      </c>
      <c r="F353" s="127" t="s">
        <v>3235</v>
      </c>
      <c r="G353" s="127" t="s">
        <v>640</v>
      </c>
      <c r="H353" s="129">
        <v>1059</v>
      </c>
    </row>
    <row r="354" spans="1:8" x14ac:dyDescent="0.2">
      <c r="A354" s="127" t="s">
        <v>3215</v>
      </c>
      <c r="B354" s="127" t="s">
        <v>3236</v>
      </c>
      <c r="C354" s="127" t="s">
        <v>3237</v>
      </c>
      <c r="D354" s="127" t="s">
        <v>1255</v>
      </c>
      <c r="E354" s="132">
        <v>6.35</v>
      </c>
      <c r="F354" s="127" t="s">
        <v>1254</v>
      </c>
      <c r="G354" s="127" t="s">
        <v>640</v>
      </c>
      <c r="H354" s="133">
        <v>1060</v>
      </c>
    </row>
    <row r="355" spans="1:8" x14ac:dyDescent="0.2">
      <c r="A355" s="127" t="s">
        <v>3238</v>
      </c>
      <c r="B355" s="127" t="s">
        <v>3239</v>
      </c>
      <c r="C355" s="127" t="s">
        <v>3240</v>
      </c>
      <c r="D355" s="127" t="s">
        <v>804</v>
      </c>
      <c r="E355" s="132">
        <v>1.88</v>
      </c>
      <c r="F355" s="127" t="s">
        <v>803</v>
      </c>
      <c r="G355" s="127" t="s">
        <v>640</v>
      </c>
      <c r="H355" s="129">
        <v>1082</v>
      </c>
    </row>
    <row r="356" spans="1:8" x14ac:dyDescent="0.2">
      <c r="A356" s="127" t="s">
        <v>3238</v>
      </c>
      <c r="B356" s="127" t="s">
        <v>3241</v>
      </c>
      <c r="C356" s="127" t="s">
        <v>3242</v>
      </c>
      <c r="D356" s="127" t="s">
        <v>892</v>
      </c>
      <c r="E356" s="132">
        <v>7.79</v>
      </c>
      <c r="F356" s="127" t="s">
        <v>1302</v>
      </c>
      <c r="G356" s="127" t="s">
        <v>640</v>
      </c>
      <c r="H356" s="129">
        <v>1083</v>
      </c>
    </row>
    <row r="357" spans="1:8" x14ac:dyDescent="0.2">
      <c r="A357" s="127" t="s">
        <v>3238</v>
      </c>
      <c r="B357" s="127" t="s">
        <v>3243</v>
      </c>
      <c r="C357" s="127" t="s">
        <v>3244</v>
      </c>
      <c r="D357" s="127" t="s">
        <v>1009</v>
      </c>
      <c r="E357" s="132">
        <v>7.6</v>
      </c>
      <c r="F357" s="127" t="s">
        <v>1008</v>
      </c>
      <c r="G357" s="127" t="s">
        <v>640</v>
      </c>
      <c r="H357" s="129">
        <v>1084</v>
      </c>
    </row>
    <row r="358" spans="1:8" x14ac:dyDescent="0.2">
      <c r="A358" s="127" t="s">
        <v>3238</v>
      </c>
      <c r="B358" s="127" t="s">
        <v>3245</v>
      </c>
      <c r="C358" s="127" t="s">
        <v>3246</v>
      </c>
      <c r="D358" s="127" t="s">
        <v>3247</v>
      </c>
      <c r="E358" s="132">
        <v>9.7899999999999991</v>
      </c>
      <c r="F358" s="127" t="s">
        <v>3248</v>
      </c>
      <c r="G358" s="127" t="s">
        <v>640</v>
      </c>
      <c r="H358" s="129">
        <v>1085</v>
      </c>
    </row>
    <row r="359" spans="1:8" x14ac:dyDescent="0.2">
      <c r="A359" s="127" t="s">
        <v>3238</v>
      </c>
      <c r="B359" s="127" t="s">
        <v>3249</v>
      </c>
      <c r="C359" s="127" t="s">
        <v>3250</v>
      </c>
      <c r="D359" s="127" t="s">
        <v>1367</v>
      </c>
      <c r="E359" s="132">
        <v>98.45</v>
      </c>
      <c r="F359" s="127" t="s">
        <v>1366</v>
      </c>
      <c r="G359" s="127" t="s">
        <v>640</v>
      </c>
      <c r="H359" s="129">
        <v>1086</v>
      </c>
    </row>
    <row r="360" spans="1:8" x14ac:dyDescent="0.2">
      <c r="A360" s="127" t="s">
        <v>3238</v>
      </c>
      <c r="B360" s="127" t="s">
        <v>3251</v>
      </c>
      <c r="C360" s="127" t="s">
        <v>3252</v>
      </c>
      <c r="D360" s="127" t="s">
        <v>1578</v>
      </c>
      <c r="E360" s="132">
        <v>13.48</v>
      </c>
      <c r="F360" s="127" t="s">
        <v>661</v>
      </c>
      <c r="G360" s="127" t="s">
        <v>640</v>
      </c>
      <c r="H360" s="129">
        <v>1087</v>
      </c>
    </row>
    <row r="361" spans="1:8" x14ac:dyDescent="0.2">
      <c r="A361" s="127" t="s">
        <v>3238</v>
      </c>
      <c r="B361" s="127" t="s">
        <v>3253</v>
      </c>
      <c r="C361" s="127" t="s">
        <v>3254</v>
      </c>
      <c r="D361" s="127" t="s">
        <v>755</v>
      </c>
      <c r="E361" s="132">
        <v>5.28</v>
      </c>
      <c r="F361" s="127" t="s">
        <v>754</v>
      </c>
      <c r="G361" s="127" t="s">
        <v>640</v>
      </c>
      <c r="H361" s="129">
        <v>1088</v>
      </c>
    </row>
    <row r="362" spans="1:8" x14ac:dyDescent="0.2">
      <c r="A362" s="127" t="s">
        <v>3238</v>
      </c>
      <c r="B362" s="127" t="s">
        <v>3255</v>
      </c>
      <c r="C362" s="127" t="s">
        <v>3256</v>
      </c>
      <c r="D362" s="127" t="s">
        <v>1273</v>
      </c>
      <c r="E362" s="132">
        <v>2.52</v>
      </c>
      <c r="F362" s="127" t="s">
        <v>1272</v>
      </c>
      <c r="G362" s="127" t="s">
        <v>640</v>
      </c>
      <c r="H362" s="129">
        <v>1089</v>
      </c>
    </row>
    <row r="363" spans="1:8" x14ac:dyDescent="0.2">
      <c r="A363" s="127" t="s">
        <v>3238</v>
      </c>
      <c r="B363" s="127" t="s">
        <v>3257</v>
      </c>
      <c r="C363" s="127" t="s">
        <v>3258</v>
      </c>
      <c r="D363" s="127" t="s">
        <v>1485</v>
      </c>
      <c r="E363" s="132">
        <v>2.64</v>
      </c>
      <c r="F363" s="127" t="s">
        <v>1484</v>
      </c>
      <c r="G363" s="127" t="s">
        <v>640</v>
      </c>
      <c r="H363" s="129">
        <v>1090</v>
      </c>
    </row>
    <row r="364" spans="1:8" x14ac:dyDescent="0.2">
      <c r="A364" s="127" t="s">
        <v>3238</v>
      </c>
      <c r="B364" s="127" t="s">
        <v>3259</v>
      </c>
      <c r="C364" s="127" t="s">
        <v>3260</v>
      </c>
      <c r="D364" s="127" t="s">
        <v>853</v>
      </c>
      <c r="E364" s="132">
        <v>38.39</v>
      </c>
      <c r="F364" s="127" t="s">
        <v>852</v>
      </c>
      <c r="G364" s="127" t="s">
        <v>640</v>
      </c>
      <c r="H364" s="129">
        <v>1091</v>
      </c>
    </row>
    <row r="365" spans="1:8" x14ac:dyDescent="0.2">
      <c r="A365" s="127" t="s">
        <v>3238</v>
      </c>
      <c r="B365" s="127" t="s">
        <v>3261</v>
      </c>
      <c r="C365" s="127" t="s">
        <v>3262</v>
      </c>
      <c r="D365" s="127" t="s">
        <v>932</v>
      </c>
      <c r="E365" s="132">
        <v>6</v>
      </c>
      <c r="F365" s="127" t="s">
        <v>931</v>
      </c>
      <c r="G365" s="127" t="s">
        <v>640</v>
      </c>
      <c r="H365" s="129">
        <v>1092</v>
      </c>
    </row>
    <row r="366" spans="1:8" x14ac:dyDescent="0.2">
      <c r="A366" s="127" t="s">
        <v>3238</v>
      </c>
      <c r="B366" s="127" t="s">
        <v>1396</v>
      </c>
      <c r="C366" s="127" t="s">
        <v>3263</v>
      </c>
      <c r="D366" s="127" t="s">
        <v>664</v>
      </c>
      <c r="E366" s="132">
        <v>9.26</v>
      </c>
      <c r="F366" s="127" t="s">
        <v>663</v>
      </c>
      <c r="G366" s="127" t="s">
        <v>640</v>
      </c>
      <c r="H366" s="129">
        <v>1093</v>
      </c>
    </row>
    <row r="367" spans="1:8" x14ac:dyDescent="0.2">
      <c r="A367" s="127"/>
      <c r="B367" s="127"/>
      <c r="C367" s="127"/>
      <c r="D367" s="135" t="s">
        <v>3579</v>
      </c>
      <c r="E367" s="98">
        <f>SUM(E288:E366)</f>
        <v>699.94</v>
      </c>
      <c r="F367" s="127"/>
      <c r="G367" s="127"/>
      <c r="H367" s="129"/>
    </row>
    <row r="368" spans="1:8" x14ac:dyDescent="0.2">
      <c r="A368" s="127"/>
      <c r="B368" s="127"/>
      <c r="C368" s="127"/>
      <c r="D368" s="127"/>
      <c r="E368" s="132"/>
      <c r="F368" s="127"/>
      <c r="G368" s="127"/>
      <c r="H368" s="129"/>
    </row>
    <row r="369" spans="1:8" x14ac:dyDescent="0.2">
      <c r="A369" s="127" t="s">
        <v>3264</v>
      </c>
      <c r="B369" s="127" t="s">
        <v>3265</v>
      </c>
      <c r="C369" s="127" t="s">
        <v>3266</v>
      </c>
      <c r="D369" s="127" t="s">
        <v>774</v>
      </c>
      <c r="E369" s="132">
        <v>12.23</v>
      </c>
      <c r="F369" s="127" t="s">
        <v>773</v>
      </c>
      <c r="G369" s="127" t="s">
        <v>640</v>
      </c>
      <c r="H369" s="129">
        <v>1119</v>
      </c>
    </row>
    <row r="370" spans="1:8" x14ac:dyDescent="0.2">
      <c r="A370" s="127" t="s">
        <v>3264</v>
      </c>
      <c r="B370" s="127" t="s">
        <v>3267</v>
      </c>
      <c r="C370" s="127" t="s">
        <v>3268</v>
      </c>
      <c r="D370" s="127" t="s">
        <v>1148</v>
      </c>
      <c r="E370" s="132">
        <v>28.98</v>
      </c>
      <c r="F370" s="127" t="s">
        <v>1147</v>
      </c>
      <c r="G370" s="127" t="s">
        <v>640</v>
      </c>
      <c r="H370" s="129">
        <v>1120</v>
      </c>
    </row>
    <row r="371" spans="1:8" x14ac:dyDescent="0.2">
      <c r="A371" s="127" t="s">
        <v>3264</v>
      </c>
      <c r="B371" s="127" t="s">
        <v>3269</v>
      </c>
      <c r="C371" s="127" t="s">
        <v>3270</v>
      </c>
      <c r="D371" s="127" t="s">
        <v>1341</v>
      </c>
      <c r="E371" s="132">
        <v>5.04</v>
      </c>
      <c r="F371" s="127" t="s">
        <v>1340</v>
      </c>
      <c r="G371" s="127" t="s">
        <v>640</v>
      </c>
      <c r="H371" s="129">
        <v>1121</v>
      </c>
    </row>
    <row r="372" spans="1:8" x14ac:dyDescent="0.2">
      <c r="A372" s="127" t="s">
        <v>3264</v>
      </c>
      <c r="B372" s="127" t="s">
        <v>1305</v>
      </c>
      <c r="C372" s="127" t="s">
        <v>3271</v>
      </c>
      <c r="D372" s="127" t="s">
        <v>883</v>
      </c>
      <c r="E372" s="132">
        <v>5.31</v>
      </c>
      <c r="F372" s="127" t="s">
        <v>882</v>
      </c>
      <c r="G372" s="127" t="s">
        <v>640</v>
      </c>
      <c r="H372" s="129">
        <v>1122</v>
      </c>
    </row>
    <row r="373" spans="1:8" x14ac:dyDescent="0.2">
      <c r="A373" s="127" t="s">
        <v>3264</v>
      </c>
      <c r="B373" s="127" t="s">
        <v>3272</v>
      </c>
      <c r="C373" s="127" t="s">
        <v>3273</v>
      </c>
      <c r="D373" s="127" t="s">
        <v>802</v>
      </c>
      <c r="E373" s="132">
        <v>5.04</v>
      </c>
      <c r="F373" s="127" t="s">
        <v>801</v>
      </c>
      <c r="G373" s="127" t="s">
        <v>640</v>
      </c>
      <c r="H373" s="129">
        <v>1123</v>
      </c>
    </row>
    <row r="374" spans="1:8" x14ac:dyDescent="0.2">
      <c r="A374" s="127" t="s">
        <v>3274</v>
      </c>
      <c r="B374" s="127" t="s">
        <v>3275</v>
      </c>
      <c r="C374" s="127" t="s">
        <v>3276</v>
      </c>
      <c r="D374" s="127" t="s">
        <v>689</v>
      </c>
      <c r="E374" s="132">
        <v>5.04</v>
      </c>
      <c r="F374" s="127" t="s">
        <v>688</v>
      </c>
      <c r="G374" s="127" t="s">
        <v>640</v>
      </c>
      <c r="H374" s="129">
        <v>1126</v>
      </c>
    </row>
    <row r="375" spans="1:8" x14ac:dyDescent="0.2">
      <c r="A375" s="127" t="s">
        <v>3274</v>
      </c>
      <c r="B375" s="127" t="s">
        <v>3277</v>
      </c>
      <c r="C375" s="127" t="s">
        <v>3278</v>
      </c>
      <c r="D375" s="127" t="s">
        <v>790</v>
      </c>
      <c r="E375" s="132">
        <v>4.6500000000000004</v>
      </c>
      <c r="F375" s="127" t="s">
        <v>1468</v>
      </c>
      <c r="G375" s="127" t="s">
        <v>640</v>
      </c>
      <c r="H375" s="129">
        <v>1127</v>
      </c>
    </row>
    <row r="376" spans="1:8" x14ac:dyDescent="0.2">
      <c r="A376" s="127" t="s">
        <v>3274</v>
      </c>
      <c r="B376" s="127" t="s">
        <v>1469</v>
      </c>
      <c r="C376" s="127" t="s">
        <v>3279</v>
      </c>
      <c r="D376" s="127" t="s">
        <v>1503</v>
      </c>
      <c r="E376" s="132">
        <v>19.43</v>
      </c>
      <c r="F376" s="127" t="s">
        <v>1502</v>
      </c>
      <c r="G376" s="127" t="s">
        <v>640</v>
      </c>
      <c r="H376" s="129">
        <v>1128</v>
      </c>
    </row>
    <row r="377" spans="1:8" x14ac:dyDescent="0.2">
      <c r="A377" s="127" t="s">
        <v>3274</v>
      </c>
      <c r="B377" s="127" t="s">
        <v>3280</v>
      </c>
      <c r="C377" s="127" t="s">
        <v>3281</v>
      </c>
      <c r="D377" s="127" t="s">
        <v>1329</v>
      </c>
      <c r="E377" s="132">
        <v>6.32</v>
      </c>
      <c r="F377" s="127" t="s">
        <v>1328</v>
      </c>
      <c r="G377" s="127" t="s">
        <v>640</v>
      </c>
      <c r="H377" s="129">
        <v>1129</v>
      </c>
    </row>
    <row r="378" spans="1:8" x14ac:dyDescent="0.2">
      <c r="A378" s="127" t="s">
        <v>3274</v>
      </c>
      <c r="B378" s="127" t="s">
        <v>3282</v>
      </c>
      <c r="C378" s="127" t="s">
        <v>3283</v>
      </c>
      <c r="D378" s="127" t="s">
        <v>727</v>
      </c>
      <c r="E378" s="132">
        <v>1.68</v>
      </c>
      <c r="F378" s="127" t="s">
        <v>726</v>
      </c>
      <c r="G378" s="127" t="s">
        <v>640</v>
      </c>
      <c r="H378" s="129">
        <v>1130</v>
      </c>
    </row>
    <row r="379" spans="1:8" x14ac:dyDescent="0.2">
      <c r="A379" s="127" t="s">
        <v>3274</v>
      </c>
      <c r="B379" s="127" t="s">
        <v>3284</v>
      </c>
      <c r="C379" s="127" t="s">
        <v>3285</v>
      </c>
      <c r="D379" s="127" t="s">
        <v>873</v>
      </c>
      <c r="E379" s="132">
        <v>5.05</v>
      </c>
      <c r="F379" s="127" t="s">
        <v>872</v>
      </c>
      <c r="G379" s="127" t="s">
        <v>640</v>
      </c>
      <c r="H379" s="129">
        <v>1131</v>
      </c>
    </row>
    <row r="380" spans="1:8" x14ac:dyDescent="0.2">
      <c r="A380" s="127" t="s">
        <v>3274</v>
      </c>
      <c r="B380" s="127" t="s">
        <v>3286</v>
      </c>
      <c r="C380" s="127" t="s">
        <v>3287</v>
      </c>
      <c r="D380" s="127" t="s">
        <v>1211</v>
      </c>
      <c r="E380" s="132">
        <v>17.73</v>
      </c>
      <c r="F380" s="127" t="s">
        <v>3288</v>
      </c>
      <c r="G380" s="127" t="s">
        <v>640</v>
      </c>
      <c r="H380" s="129">
        <v>1132</v>
      </c>
    </row>
    <row r="381" spans="1:8" x14ac:dyDescent="0.2">
      <c r="A381" s="127" t="s">
        <v>3274</v>
      </c>
      <c r="B381" s="127" t="s">
        <v>3289</v>
      </c>
      <c r="C381" s="127" t="s">
        <v>3290</v>
      </c>
      <c r="D381" s="127" t="s">
        <v>668</v>
      </c>
      <c r="E381" s="132">
        <v>1.68</v>
      </c>
      <c r="F381" s="127" t="s">
        <v>667</v>
      </c>
      <c r="G381" s="127" t="s">
        <v>640</v>
      </c>
      <c r="H381" s="129">
        <v>1133</v>
      </c>
    </row>
    <row r="382" spans="1:8" x14ac:dyDescent="0.2">
      <c r="A382" s="127" t="s">
        <v>3291</v>
      </c>
      <c r="B382" s="127" t="s">
        <v>3292</v>
      </c>
      <c r="C382" s="127" t="s">
        <v>3293</v>
      </c>
      <c r="D382" s="127" t="s">
        <v>1052</v>
      </c>
      <c r="E382" s="132">
        <v>5.16</v>
      </c>
      <c r="F382" s="127" t="s">
        <v>1051</v>
      </c>
      <c r="G382" s="127" t="s">
        <v>640</v>
      </c>
      <c r="H382" s="129">
        <v>1134</v>
      </c>
    </row>
    <row r="383" spans="1:8" x14ac:dyDescent="0.2">
      <c r="A383" s="127" t="s">
        <v>3291</v>
      </c>
      <c r="B383" s="127" t="s">
        <v>3294</v>
      </c>
      <c r="C383" s="127" t="s">
        <v>3295</v>
      </c>
      <c r="D383" s="127" t="s">
        <v>1229</v>
      </c>
      <c r="E383" s="132">
        <v>3.56</v>
      </c>
      <c r="F383" s="127" t="s">
        <v>1228</v>
      </c>
      <c r="G383" s="127" t="s">
        <v>640</v>
      </c>
      <c r="H383" s="129">
        <v>1135</v>
      </c>
    </row>
    <row r="384" spans="1:8" x14ac:dyDescent="0.2">
      <c r="A384" s="127" t="s">
        <v>3291</v>
      </c>
      <c r="B384" s="127" t="s">
        <v>3296</v>
      </c>
      <c r="C384" s="127" t="s">
        <v>3297</v>
      </c>
      <c r="D384" s="127" t="s">
        <v>712</v>
      </c>
      <c r="E384" s="132">
        <v>4.07</v>
      </c>
      <c r="F384" s="127" t="s">
        <v>711</v>
      </c>
      <c r="G384" s="127" t="s">
        <v>640</v>
      </c>
      <c r="H384" s="129">
        <v>1136</v>
      </c>
    </row>
    <row r="385" spans="1:8" x14ac:dyDescent="0.2">
      <c r="A385" s="127" t="s">
        <v>3291</v>
      </c>
      <c r="B385" s="127" t="s">
        <v>1421</v>
      </c>
      <c r="C385" s="127" t="s">
        <v>3298</v>
      </c>
      <c r="D385" s="127" t="s">
        <v>849</v>
      </c>
      <c r="E385" s="132">
        <v>48.82</v>
      </c>
      <c r="F385" s="127" t="s">
        <v>848</v>
      </c>
      <c r="G385" s="127" t="s">
        <v>640</v>
      </c>
      <c r="H385" s="129">
        <v>1137</v>
      </c>
    </row>
    <row r="386" spans="1:8" x14ac:dyDescent="0.2">
      <c r="A386" s="127" t="s">
        <v>3291</v>
      </c>
      <c r="B386" s="127" t="s">
        <v>3299</v>
      </c>
      <c r="C386" s="127" t="s">
        <v>3300</v>
      </c>
      <c r="D386" s="127" t="s">
        <v>1379</v>
      </c>
      <c r="E386" s="132">
        <v>5.12</v>
      </c>
      <c r="F386" s="127" t="s">
        <v>1378</v>
      </c>
      <c r="G386" s="127" t="s">
        <v>640</v>
      </c>
      <c r="H386" s="129">
        <v>1138</v>
      </c>
    </row>
    <row r="387" spans="1:8" x14ac:dyDescent="0.2">
      <c r="A387" s="127" t="s">
        <v>3291</v>
      </c>
      <c r="B387" s="127" t="s">
        <v>3301</v>
      </c>
      <c r="C387" s="127" t="s">
        <v>3302</v>
      </c>
      <c r="D387" s="127" t="s">
        <v>1158</v>
      </c>
      <c r="E387" s="132">
        <v>16.059999999999999</v>
      </c>
      <c r="F387" s="127" t="s">
        <v>1157</v>
      </c>
      <c r="G387" s="127" t="s">
        <v>640</v>
      </c>
      <c r="H387" s="129">
        <v>1139</v>
      </c>
    </row>
    <row r="388" spans="1:8" x14ac:dyDescent="0.2">
      <c r="A388" s="127" t="s">
        <v>3291</v>
      </c>
      <c r="B388" s="127" t="s">
        <v>3303</v>
      </c>
      <c r="C388" s="127" t="s">
        <v>3304</v>
      </c>
      <c r="D388" s="127" t="s">
        <v>1007</v>
      </c>
      <c r="E388" s="132">
        <v>1.68</v>
      </c>
      <c r="F388" s="127" t="s">
        <v>1006</v>
      </c>
      <c r="G388" s="127" t="s">
        <v>640</v>
      </c>
      <c r="H388" s="129">
        <v>1140</v>
      </c>
    </row>
    <row r="389" spans="1:8" x14ac:dyDescent="0.2">
      <c r="A389" s="127" t="s">
        <v>3291</v>
      </c>
      <c r="B389" s="127" t="s">
        <v>3305</v>
      </c>
      <c r="C389" s="127" t="s">
        <v>3306</v>
      </c>
      <c r="D389" s="127" t="s">
        <v>1293</v>
      </c>
      <c r="E389" s="132">
        <v>5.34</v>
      </c>
      <c r="F389" s="127" t="s">
        <v>1292</v>
      </c>
      <c r="G389" s="127" t="s">
        <v>640</v>
      </c>
      <c r="H389" s="129">
        <v>1141</v>
      </c>
    </row>
    <row r="390" spans="1:8" x14ac:dyDescent="0.2">
      <c r="A390" s="127" t="s">
        <v>3291</v>
      </c>
      <c r="B390" s="127" t="s">
        <v>3307</v>
      </c>
      <c r="C390" s="127" t="s">
        <v>3308</v>
      </c>
      <c r="D390" s="127" t="s">
        <v>1377</v>
      </c>
      <c r="E390" s="132">
        <v>6.11</v>
      </c>
      <c r="F390" s="127" t="s">
        <v>1376</v>
      </c>
      <c r="G390" s="127" t="s">
        <v>640</v>
      </c>
      <c r="H390" s="129">
        <v>1142</v>
      </c>
    </row>
    <row r="391" spans="1:8" x14ac:dyDescent="0.2">
      <c r="A391" s="127" t="s">
        <v>3291</v>
      </c>
      <c r="B391" s="127" t="s">
        <v>3309</v>
      </c>
      <c r="C391" s="127" t="s">
        <v>3310</v>
      </c>
      <c r="D391" s="127" t="s">
        <v>1489</v>
      </c>
      <c r="E391" s="132">
        <v>5.43</v>
      </c>
      <c r="F391" s="127" t="s">
        <v>1488</v>
      </c>
      <c r="G391" s="127" t="s">
        <v>640</v>
      </c>
      <c r="H391" s="129">
        <v>1143</v>
      </c>
    </row>
    <row r="392" spans="1:8" x14ac:dyDescent="0.2">
      <c r="A392" s="127" t="s">
        <v>3291</v>
      </c>
      <c r="B392" s="127" t="s">
        <v>3311</v>
      </c>
      <c r="C392" s="127" t="s">
        <v>3312</v>
      </c>
      <c r="D392" s="127" t="s">
        <v>1304</v>
      </c>
      <c r="E392" s="132">
        <v>6.29</v>
      </c>
      <c r="F392" s="127" t="s">
        <v>1303</v>
      </c>
      <c r="G392" s="127" t="s">
        <v>640</v>
      </c>
      <c r="H392" s="129">
        <v>1144</v>
      </c>
    </row>
    <row r="393" spans="1:8" x14ac:dyDescent="0.2">
      <c r="A393" s="127" t="s">
        <v>3313</v>
      </c>
      <c r="B393" s="127" t="s">
        <v>3314</v>
      </c>
      <c r="C393" s="127" t="s">
        <v>3315</v>
      </c>
      <c r="D393" s="127" t="s">
        <v>1162</v>
      </c>
      <c r="E393" s="132">
        <v>1.71</v>
      </c>
      <c r="F393" s="127" t="s">
        <v>1161</v>
      </c>
      <c r="G393" s="127" t="s">
        <v>640</v>
      </c>
      <c r="H393" s="129">
        <v>1171</v>
      </c>
    </row>
    <row r="394" spans="1:8" x14ac:dyDescent="0.2">
      <c r="A394" s="127" t="s">
        <v>3313</v>
      </c>
      <c r="B394" s="127" t="s">
        <v>3316</v>
      </c>
      <c r="C394" s="127" t="s">
        <v>3317</v>
      </c>
      <c r="D394" s="127" t="s">
        <v>658</v>
      </c>
      <c r="E394" s="132">
        <v>5.45</v>
      </c>
      <c r="F394" s="127" t="s">
        <v>657</v>
      </c>
      <c r="G394" s="127" t="s">
        <v>640</v>
      </c>
      <c r="H394" s="129">
        <v>1172</v>
      </c>
    </row>
    <row r="395" spans="1:8" x14ac:dyDescent="0.2">
      <c r="A395" s="127" t="s">
        <v>3313</v>
      </c>
      <c r="B395" s="127" t="s">
        <v>3318</v>
      </c>
      <c r="C395" s="127" t="s">
        <v>3319</v>
      </c>
      <c r="D395" s="127" t="s">
        <v>1481</v>
      </c>
      <c r="E395" s="132">
        <v>6.73</v>
      </c>
      <c r="F395" s="127" t="s">
        <v>1479</v>
      </c>
      <c r="G395" s="127" t="s">
        <v>640</v>
      </c>
      <c r="H395" s="129">
        <v>1173</v>
      </c>
    </row>
    <row r="396" spans="1:8" x14ac:dyDescent="0.2">
      <c r="A396" s="127" t="s">
        <v>3313</v>
      </c>
      <c r="B396" s="127" t="s">
        <v>3320</v>
      </c>
      <c r="C396" s="127" t="s">
        <v>3321</v>
      </c>
      <c r="D396" s="127" t="s">
        <v>1480</v>
      </c>
      <c r="E396" s="132">
        <v>44.03</v>
      </c>
      <c r="F396" s="127" t="s">
        <v>1479</v>
      </c>
      <c r="G396" s="127" t="s">
        <v>640</v>
      </c>
      <c r="H396" s="129">
        <v>1174</v>
      </c>
    </row>
    <row r="397" spans="1:8" x14ac:dyDescent="0.2">
      <c r="A397" s="127" t="s">
        <v>3313</v>
      </c>
      <c r="B397" s="127" t="s">
        <v>3322</v>
      </c>
      <c r="C397" s="127" t="s">
        <v>3323</v>
      </c>
      <c r="D397" s="127" t="s">
        <v>3324</v>
      </c>
      <c r="E397" s="132">
        <v>0.19</v>
      </c>
      <c r="F397" s="127" t="s">
        <v>3325</v>
      </c>
      <c r="G397" s="127" t="s">
        <v>640</v>
      </c>
      <c r="H397" s="129">
        <v>1175</v>
      </c>
    </row>
    <row r="398" spans="1:8" x14ac:dyDescent="0.2">
      <c r="A398" s="127" t="s">
        <v>3313</v>
      </c>
      <c r="B398" s="127" t="s">
        <v>3326</v>
      </c>
      <c r="C398" s="127" t="s">
        <v>3327</v>
      </c>
      <c r="D398" s="127" t="s">
        <v>1592</v>
      </c>
      <c r="E398" s="132">
        <v>2.71</v>
      </c>
      <c r="F398" s="127" t="s">
        <v>1593</v>
      </c>
      <c r="G398" s="127" t="s">
        <v>640</v>
      </c>
      <c r="H398" s="129">
        <v>1176</v>
      </c>
    </row>
    <row r="399" spans="1:8" x14ac:dyDescent="0.2">
      <c r="A399" s="127" t="s">
        <v>3313</v>
      </c>
      <c r="B399" s="127" t="s">
        <v>3328</v>
      </c>
      <c r="C399" s="127" t="s">
        <v>3329</v>
      </c>
      <c r="D399" s="127" t="s">
        <v>1026</v>
      </c>
      <c r="E399" s="132">
        <v>1.68</v>
      </c>
      <c r="F399" s="127" t="s">
        <v>1025</v>
      </c>
      <c r="G399" s="127" t="s">
        <v>640</v>
      </c>
      <c r="H399" s="129">
        <v>1177</v>
      </c>
    </row>
    <row r="400" spans="1:8" x14ac:dyDescent="0.2">
      <c r="A400" s="127" t="s">
        <v>3313</v>
      </c>
      <c r="B400" s="127" t="s">
        <v>3330</v>
      </c>
      <c r="C400" s="127" t="s">
        <v>3331</v>
      </c>
      <c r="D400" s="127" t="s">
        <v>911</v>
      </c>
      <c r="E400" s="132">
        <v>4.28</v>
      </c>
      <c r="F400" s="127" t="s">
        <v>910</v>
      </c>
      <c r="G400" s="127" t="s">
        <v>640</v>
      </c>
      <c r="H400" s="129">
        <v>1178</v>
      </c>
    </row>
    <row r="401" spans="1:8" x14ac:dyDescent="0.2">
      <c r="A401" s="127" t="s">
        <v>3313</v>
      </c>
      <c r="B401" s="127" t="s">
        <v>983</v>
      </c>
      <c r="C401" s="127" t="s">
        <v>3332</v>
      </c>
      <c r="D401" s="127" t="s">
        <v>1464</v>
      </c>
      <c r="E401" s="132">
        <v>16.760000000000002</v>
      </c>
      <c r="F401" s="127" t="s">
        <v>1463</v>
      </c>
      <c r="G401" s="127" t="s">
        <v>640</v>
      </c>
      <c r="H401" s="129">
        <v>1179</v>
      </c>
    </row>
    <row r="402" spans="1:8" x14ac:dyDescent="0.2">
      <c r="A402" s="127" t="s">
        <v>3313</v>
      </c>
      <c r="B402" s="127" t="s">
        <v>3333</v>
      </c>
      <c r="C402" s="127" t="s">
        <v>3334</v>
      </c>
      <c r="D402" s="127" t="s">
        <v>1186</v>
      </c>
      <c r="E402" s="132">
        <v>7.33</v>
      </c>
      <c r="F402" s="127" t="s">
        <v>1185</v>
      </c>
      <c r="G402" s="127" t="s">
        <v>640</v>
      </c>
      <c r="H402" s="129">
        <v>1180</v>
      </c>
    </row>
    <row r="403" spans="1:8" x14ac:dyDescent="0.2">
      <c r="A403" s="127" t="s">
        <v>3313</v>
      </c>
      <c r="B403" s="127" t="s">
        <v>3335</v>
      </c>
      <c r="C403" s="127" t="s">
        <v>3336</v>
      </c>
      <c r="D403" s="127" t="s">
        <v>1166</v>
      </c>
      <c r="E403" s="132">
        <v>25.15</v>
      </c>
      <c r="F403" s="127" t="s">
        <v>1165</v>
      </c>
      <c r="G403" s="127" t="s">
        <v>640</v>
      </c>
      <c r="H403" s="129">
        <v>1181</v>
      </c>
    </row>
    <row r="404" spans="1:8" x14ac:dyDescent="0.2">
      <c r="A404" s="127" t="s">
        <v>3313</v>
      </c>
      <c r="B404" s="127" t="s">
        <v>3337</v>
      </c>
      <c r="C404" s="127" t="s">
        <v>3338</v>
      </c>
      <c r="D404" s="127" t="s">
        <v>751</v>
      </c>
      <c r="E404" s="132">
        <v>1.68</v>
      </c>
      <c r="F404" s="127" t="s">
        <v>750</v>
      </c>
      <c r="G404" s="127" t="s">
        <v>640</v>
      </c>
      <c r="H404" s="129">
        <v>1182</v>
      </c>
    </row>
    <row r="405" spans="1:8" x14ac:dyDescent="0.2">
      <c r="A405" s="127" t="s">
        <v>3313</v>
      </c>
      <c r="B405" s="127" t="s">
        <v>3339</v>
      </c>
      <c r="C405" s="127" t="s">
        <v>3340</v>
      </c>
      <c r="D405" s="127" t="s">
        <v>1426</v>
      </c>
      <c r="E405" s="132">
        <v>17.34</v>
      </c>
      <c r="F405" s="127" t="s">
        <v>1425</v>
      </c>
      <c r="G405" s="127" t="s">
        <v>640</v>
      </c>
      <c r="H405" s="129">
        <v>1183</v>
      </c>
    </row>
    <row r="406" spans="1:8" x14ac:dyDescent="0.2">
      <c r="A406" s="127" t="s">
        <v>3313</v>
      </c>
      <c r="B406" s="127" t="s">
        <v>3341</v>
      </c>
      <c r="C406" s="127" t="s">
        <v>3342</v>
      </c>
      <c r="D406" s="127" t="s">
        <v>1525</v>
      </c>
      <c r="E406" s="132">
        <v>20.440000000000001</v>
      </c>
      <c r="F406" s="127" t="s">
        <v>1524</v>
      </c>
      <c r="G406" s="127" t="s">
        <v>640</v>
      </c>
      <c r="H406" s="129">
        <v>1184</v>
      </c>
    </row>
    <row r="407" spans="1:8" x14ac:dyDescent="0.2">
      <c r="A407" s="127" t="s">
        <v>3313</v>
      </c>
      <c r="B407" s="127" t="s">
        <v>3343</v>
      </c>
      <c r="C407" s="127" t="s">
        <v>3344</v>
      </c>
      <c r="D407" s="127" t="s">
        <v>1055</v>
      </c>
      <c r="E407" s="132">
        <v>2.13</v>
      </c>
      <c r="F407" s="127" t="s">
        <v>1054</v>
      </c>
      <c r="G407" s="127" t="s">
        <v>640</v>
      </c>
      <c r="H407" s="129">
        <v>1187</v>
      </c>
    </row>
    <row r="408" spans="1:8" x14ac:dyDescent="0.2">
      <c r="A408" s="127" t="s">
        <v>3313</v>
      </c>
      <c r="B408" s="127" t="s">
        <v>3345</v>
      </c>
      <c r="C408" s="127" t="s">
        <v>3346</v>
      </c>
      <c r="D408" s="127" t="s">
        <v>1203</v>
      </c>
      <c r="E408" s="132">
        <v>5.04</v>
      </c>
      <c r="F408" s="127" t="s">
        <v>1202</v>
      </c>
      <c r="G408" s="127" t="s">
        <v>640</v>
      </c>
      <c r="H408" s="129">
        <v>1188</v>
      </c>
    </row>
    <row r="409" spans="1:8" x14ac:dyDescent="0.2">
      <c r="A409" s="127" t="s">
        <v>3313</v>
      </c>
      <c r="B409" s="127" t="s">
        <v>3347</v>
      </c>
      <c r="C409" s="127" t="s">
        <v>3348</v>
      </c>
      <c r="D409" s="127" t="s">
        <v>685</v>
      </c>
      <c r="E409" s="132">
        <v>8.3800000000000008</v>
      </c>
      <c r="F409" s="127" t="s">
        <v>684</v>
      </c>
      <c r="G409" s="127" t="s">
        <v>640</v>
      </c>
      <c r="H409" s="129">
        <v>1189</v>
      </c>
    </row>
    <row r="410" spans="1:8" x14ac:dyDescent="0.2">
      <c r="A410" s="127" t="s">
        <v>3313</v>
      </c>
      <c r="B410" s="127" t="s">
        <v>3349</v>
      </c>
      <c r="C410" s="127" t="s">
        <v>3350</v>
      </c>
      <c r="D410" s="127" t="s">
        <v>683</v>
      </c>
      <c r="E410" s="132">
        <v>2.12</v>
      </c>
      <c r="F410" s="127" t="s">
        <v>682</v>
      </c>
      <c r="G410" s="127" t="s">
        <v>640</v>
      </c>
      <c r="H410" s="129">
        <v>1190</v>
      </c>
    </row>
    <row r="411" spans="1:8" x14ac:dyDescent="0.2">
      <c r="A411" s="127" t="s">
        <v>3313</v>
      </c>
      <c r="B411" s="127" t="s">
        <v>3351</v>
      </c>
      <c r="C411" s="127" t="s">
        <v>3352</v>
      </c>
      <c r="D411" s="127" t="s">
        <v>1327</v>
      </c>
      <c r="E411" s="132">
        <v>18.96</v>
      </c>
      <c r="F411" s="127" t="s">
        <v>1326</v>
      </c>
      <c r="G411" s="127" t="s">
        <v>640</v>
      </c>
      <c r="H411" s="129">
        <v>1191</v>
      </c>
    </row>
    <row r="412" spans="1:8" x14ac:dyDescent="0.2">
      <c r="A412" s="127" t="s">
        <v>3313</v>
      </c>
      <c r="B412" s="127" t="s">
        <v>3353</v>
      </c>
      <c r="C412" s="127" t="s">
        <v>3354</v>
      </c>
      <c r="D412" s="127" t="s">
        <v>1062</v>
      </c>
      <c r="E412" s="132">
        <v>16.760000000000002</v>
      </c>
      <c r="F412" s="127" t="s">
        <v>1061</v>
      </c>
      <c r="G412" s="127" t="s">
        <v>640</v>
      </c>
      <c r="H412" s="129">
        <v>1192</v>
      </c>
    </row>
    <row r="413" spans="1:8" x14ac:dyDescent="0.2">
      <c r="A413" s="127" t="s">
        <v>3313</v>
      </c>
      <c r="B413" s="127" t="s">
        <v>3355</v>
      </c>
      <c r="C413" s="127" t="s">
        <v>3356</v>
      </c>
      <c r="D413" s="127" t="s">
        <v>704</v>
      </c>
      <c r="E413" s="132">
        <v>7.68</v>
      </c>
      <c r="F413" s="127" t="s">
        <v>703</v>
      </c>
      <c r="G413" s="127" t="s">
        <v>640</v>
      </c>
      <c r="H413" s="129">
        <v>1193</v>
      </c>
    </row>
    <row r="414" spans="1:8" x14ac:dyDescent="0.2">
      <c r="A414" s="127" t="s">
        <v>3313</v>
      </c>
      <c r="B414" s="127" t="s">
        <v>3357</v>
      </c>
      <c r="C414" s="127" t="s">
        <v>3358</v>
      </c>
      <c r="D414" s="127" t="s">
        <v>1473</v>
      </c>
      <c r="E414" s="132">
        <v>17.489999999999998</v>
      </c>
      <c r="F414" s="127" t="s">
        <v>1472</v>
      </c>
      <c r="G414" s="127" t="s">
        <v>640</v>
      </c>
      <c r="H414" s="129">
        <v>1211</v>
      </c>
    </row>
    <row r="415" spans="1:8" x14ac:dyDescent="0.2">
      <c r="A415" s="127" t="s">
        <v>3313</v>
      </c>
      <c r="B415" s="127" t="s">
        <v>3359</v>
      </c>
      <c r="C415" s="127" t="s">
        <v>3360</v>
      </c>
      <c r="D415" s="127" t="s">
        <v>991</v>
      </c>
      <c r="E415" s="132">
        <v>4.13</v>
      </c>
      <c r="F415" s="127" t="s">
        <v>990</v>
      </c>
      <c r="G415" s="127" t="s">
        <v>640</v>
      </c>
      <c r="H415" s="129">
        <v>1212</v>
      </c>
    </row>
    <row r="416" spans="1:8" x14ac:dyDescent="0.2">
      <c r="A416" s="127" t="s">
        <v>3313</v>
      </c>
      <c r="B416" s="127" t="s">
        <v>3361</v>
      </c>
      <c r="C416" s="127" t="s">
        <v>3362</v>
      </c>
      <c r="D416" s="127" t="s">
        <v>1314</v>
      </c>
      <c r="E416" s="132">
        <v>4.88</v>
      </c>
      <c r="F416" s="127" t="s">
        <v>1313</v>
      </c>
      <c r="G416" s="127" t="s">
        <v>640</v>
      </c>
      <c r="H416" s="129">
        <v>1213</v>
      </c>
    </row>
    <row r="417" spans="1:8" x14ac:dyDescent="0.2">
      <c r="A417" s="127" t="s">
        <v>3313</v>
      </c>
      <c r="B417" s="127" t="s">
        <v>3363</v>
      </c>
      <c r="C417" s="127" t="s">
        <v>3364</v>
      </c>
      <c r="D417" s="127" t="s">
        <v>737</v>
      </c>
      <c r="E417" s="132">
        <v>10.89</v>
      </c>
      <c r="F417" s="127" t="s">
        <v>736</v>
      </c>
      <c r="G417" s="127" t="s">
        <v>640</v>
      </c>
      <c r="H417" s="129">
        <v>1214</v>
      </c>
    </row>
    <row r="418" spans="1:8" x14ac:dyDescent="0.2">
      <c r="A418" s="127" t="s">
        <v>3313</v>
      </c>
      <c r="B418" s="127" t="s">
        <v>3365</v>
      </c>
      <c r="C418" s="127" t="s">
        <v>3366</v>
      </c>
      <c r="D418" s="127" t="s">
        <v>1145</v>
      </c>
      <c r="E418" s="132">
        <v>1.68</v>
      </c>
      <c r="F418" s="127" t="s">
        <v>1144</v>
      </c>
      <c r="G418" s="127" t="s">
        <v>640</v>
      </c>
      <c r="H418" s="129">
        <v>1215</v>
      </c>
    </row>
    <row r="419" spans="1:8" x14ac:dyDescent="0.2">
      <c r="A419" s="127" t="s">
        <v>3313</v>
      </c>
      <c r="B419" s="127" t="s">
        <v>3367</v>
      </c>
      <c r="C419" s="127" t="s">
        <v>3368</v>
      </c>
      <c r="D419" s="127" t="s">
        <v>960</v>
      </c>
      <c r="E419" s="132">
        <v>4.24</v>
      </c>
      <c r="F419" s="127" t="s">
        <v>959</v>
      </c>
      <c r="G419" s="127" t="s">
        <v>640</v>
      </c>
      <c r="H419" s="129">
        <v>1216</v>
      </c>
    </row>
    <row r="420" spans="1:8" x14ac:dyDescent="0.2">
      <c r="A420" s="127" t="s">
        <v>3313</v>
      </c>
      <c r="B420" s="127" t="s">
        <v>3369</v>
      </c>
      <c r="C420" s="127" t="s">
        <v>3370</v>
      </c>
      <c r="D420" s="127" t="s">
        <v>767</v>
      </c>
      <c r="E420" s="132">
        <v>1.68</v>
      </c>
      <c r="F420" s="127" t="s">
        <v>766</v>
      </c>
      <c r="G420" s="127" t="s">
        <v>640</v>
      </c>
      <c r="H420" s="129">
        <v>1217</v>
      </c>
    </row>
    <row r="421" spans="1:8" x14ac:dyDescent="0.2">
      <c r="A421" s="127" t="s">
        <v>3313</v>
      </c>
      <c r="B421" s="127" t="s">
        <v>3371</v>
      </c>
      <c r="C421" s="127" t="s">
        <v>3372</v>
      </c>
      <c r="D421" s="127" t="s">
        <v>768</v>
      </c>
      <c r="E421" s="132">
        <v>2.21</v>
      </c>
      <c r="F421" s="127" t="s">
        <v>766</v>
      </c>
      <c r="G421" s="127" t="s">
        <v>640</v>
      </c>
      <c r="H421" s="129">
        <v>1218</v>
      </c>
    </row>
    <row r="422" spans="1:8" x14ac:dyDescent="0.2">
      <c r="A422" s="127" t="s">
        <v>3313</v>
      </c>
      <c r="B422" s="127" t="s">
        <v>1515</v>
      </c>
      <c r="C422" s="127" t="s">
        <v>3373</v>
      </c>
      <c r="D422" s="127" t="s">
        <v>1369</v>
      </c>
      <c r="E422" s="132">
        <v>68.45</v>
      </c>
      <c r="F422" s="127" t="s">
        <v>1368</v>
      </c>
      <c r="G422" s="127" t="s">
        <v>640</v>
      </c>
      <c r="H422" s="129">
        <v>1219</v>
      </c>
    </row>
    <row r="423" spans="1:8" x14ac:dyDescent="0.2">
      <c r="A423" s="127" t="s">
        <v>3313</v>
      </c>
      <c r="B423" s="127" t="s">
        <v>3374</v>
      </c>
      <c r="C423" s="127" t="s">
        <v>3375</v>
      </c>
      <c r="D423" s="127" t="s">
        <v>1497</v>
      </c>
      <c r="E423" s="132">
        <v>5.04</v>
      </c>
      <c r="F423" s="127" t="s">
        <v>1496</v>
      </c>
      <c r="G423" s="127" t="s">
        <v>640</v>
      </c>
      <c r="H423" s="129">
        <v>1220</v>
      </c>
    </row>
    <row r="424" spans="1:8" x14ac:dyDescent="0.2">
      <c r="A424" s="127" t="s">
        <v>3313</v>
      </c>
      <c r="B424" s="127" t="s">
        <v>3376</v>
      </c>
      <c r="C424" s="127" t="s">
        <v>3377</v>
      </c>
      <c r="D424" s="127" t="s">
        <v>1514</v>
      </c>
      <c r="E424" s="132">
        <v>3.89</v>
      </c>
      <c r="F424" s="127" t="s">
        <v>1513</v>
      </c>
      <c r="G424" s="127" t="s">
        <v>640</v>
      </c>
      <c r="H424" s="129">
        <v>1221</v>
      </c>
    </row>
    <row r="425" spans="1:8" x14ac:dyDescent="0.2">
      <c r="A425" s="127" t="s">
        <v>3378</v>
      </c>
      <c r="B425" s="127" t="s">
        <v>3379</v>
      </c>
      <c r="C425" s="127" t="s">
        <v>3380</v>
      </c>
      <c r="D425" s="127" t="s">
        <v>915</v>
      </c>
      <c r="E425" s="132">
        <v>5.7</v>
      </c>
      <c r="F425" s="127" t="s">
        <v>914</v>
      </c>
      <c r="G425" s="127" t="s">
        <v>640</v>
      </c>
      <c r="H425" s="129">
        <v>1236</v>
      </c>
    </row>
    <row r="426" spans="1:8" x14ac:dyDescent="0.2">
      <c r="A426" s="127" t="s">
        <v>3378</v>
      </c>
      <c r="B426" s="127" t="s">
        <v>3381</v>
      </c>
      <c r="C426" s="127" t="s">
        <v>3382</v>
      </c>
      <c r="D426" s="127" t="s">
        <v>782</v>
      </c>
      <c r="E426" s="132">
        <v>25.64</v>
      </c>
      <c r="F426" s="127" t="s">
        <v>781</v>
      </c>
      <c r="G426" s="127" t="s">
        <v>640</v>
      </c>
      <c r="H426" s="129">
        <v>1237</v>
      </c>
    </row>
    <row r="427" spans="1:8" x14ac:dyDescent="0.2">
      <c r="A427" s="127" t="s">
        <v>3378</v>
      </c>
      <c r="B427" s="127" t="s">
        <v>3383</v>
      </c>
      <c r="C427" s="127" t="s">
        <v>3384</v>
      </c>
      <c r="D427" s="127" t="s">
        <v>1233</v>
      </c>
      <c r="E427" s="132">
        <v>2.4</v>
      </c>
      <c r="F427" s="127" t="s">
        <v>1232</v>
      </c>
      <c r="G427" s="127" t="s">
        <v>640</v>
      </c>
      <c r="H427" s="129">
        <v>1238</v>
      </c>
    </row>
    <row r="428" spans="1:8" x14ac:dyDescent="0.2">
      <c r="A428" s="127" t="s">
        <v>3378</v>
      </c>
      <c r="B428" s="127" t="s">
        <v>3385</v>
      </c>
      <c r="C428" s="127" t="s">
        <v>3386</v>
      </c>
      <c r="D428" s="127" t="s">
        <v>759</v>
      </c>
      <c r="E428" s="132">
        <v>33.270000000000003</v>
      </c>
      <c r="F428" s="127" t="s">
        <v>758</v>
      </c>
      <c r="G428" s="127" t="s">
        <v>640</v>
      </c>
      <c r="H428" s="129">
        <v>1239</v>
      </c>
    </row>
    <row r="429" spans="1:8" x14ac:dyDescent="0.2">
      <c r="A429" s="127" t="s">
        <v>3378</v>
      </c>
      <c r="B429" s="127" t="s">
        <v>3387</v>
      </c>
      <c r="C429" s="127" t="s">
        <v>3388</v>
      </c>
      <c r="D429" s="127" t="s">
        <v>952</v>
      </c>
      <c r="E429" s="132">
        <v>6.37</v>
      </c>
      <c r="F429" s="127" t="s">
        <v>951</v>
      </c>
      <c r="G429" s="127" t="s">
        <v>640</v>
      </c>
      <c r="H429" s="129">
        <v>1240</v>
      </c>
    </row>
    <row r="430" spans="1:8" x14ac:dyDescent="0.2">
      <c r="A430" s="127" t="s">
        <v>3378</v>
      </c>
      <c r="B430" s="127" t="s">
        <v>3389</v>
      </c>
      <c r="C430" s="127" t="s">
        <v>3390</v>
      </c>
      <c r="D430" s="127" t="s">
        <v>1285</v>
      </c>
      <c r="E430" s="132">
        <v>1.81</v>
      </c>
      <c r="F430" s="127" t="s">
        <v>1284</v>
      </c>
      <c r="G430" s="127" t="s">
        <v>640</v>
      </c>
      <c r="H430" s="129">
        <v>1241</v>
      </c>
    </row>
    <row r="431" spans="1:8" x14ac:dyDescent="0.2">
      <c r="A431" s="127" t="s">
        <v>3378</v>
      </c>
      <c r="B431" s="127" t="s">
        <v>3391</v>
      </c>
      <c r="C431" s="127" t="s">
        <v>3392</v>
      </c>
      <c r="D431" s="127" t="s">
        <v>3393</v>
      </c>
      <c r="E431" s="132">
        <v>0.5</v>
      </c>
      <c r="F431" s="127" t="s">
        <v>3394</v>
      </c>
      <c r="G431" s="127" t="s">
        <v>640</v>
      </c>
      <c r="H431" s="129">
        <v>1242</v>
      </c>
    </row>
    <row r="432" spans="1:8" x14ac:dyDescent="0.2">
      <c r="A432" s="127" t="s">
        <v>3378</v>
      </c>
      <c r="B432" s="127" t="s">
        <v>3395</v>
      </c>
      <c r="C432" s="127" t="s">
        <v>3396</v>
      </c>
      <c r="D432" s="127" t="s">
        <v>1491</v>
      </c>
      <c r="E432" s="132">
        <v>5.77</v>
      </c>
      <c r="F432" s="127" t="s">
        <v>1490</v>
      </c>
      <c r="G432" s="127" t="s">
        <v>640</v>
      </c>
      <c r="H432" s="129">
        <v>1243</v>
      </c>
    </row>
    <row r="433" spans="1:8" x14ac:dyDescent="0.2">
      <c r="A433" s="127" t="s">
        <v>3378</v>
      </c>
      <c r="B433" s="127" t="s">
        <v>3397</v>
      </c>
      <c r="C433" s="127" t="s">
        <v>3398</v>
      </c>
      <c r="D433" s="127" t="s">
        <v>725</v>
      </c>
      <c r="E433" s="132">
        <v>4.3</v>
      </c>
      <c r="F433" s="127" t="s">
        <v>724</v>
      </c>
      <c r="G433" s="127" t="s">
        <v>640</v>
      </c>
      <c r="H433" s="129">
        <v>1244</v>
      </c>
    </row>
    <row r="434" spans="1:8" x14ac:dyDescent="0.2">
      <c r="A434" s="127" t="s">
        <v>3378</v>
      </c>
      <c r="B434" s="127" t="s">
        <v>3399</v>
      </c>
      <c r="C434" s="127" t="s">
        <v>3400</v>
      </c>
      <c r="D434" s="127" t="s">
        <v>1281</v>
      </c>
      <c r="E434" s="132">
        <v>1.97</v>
      </c>
      <c r="F434" s="127" t="s">
        <v>1280</v>
      </c>
      <c r="G434" s="127" t="s">
        <v>640</v>
      </c>
      <c r="H434" s="129">
        <v>1245</v>
      </c>
    </row>
    <row r="435" spans="1:8" x14ac:dyDescent="0.2">
      <c r="A435" s="127" t="s">
        <v>3378</v>
      </c>
      <c r="B435" s="127" t="s">
        <v>3401</v>
      </c>
      <c r="C435" s="127" t="s">
        <v>3402</v>
      </c>
      <c r="D435" s="127" t="s">
        <v>1398</v>
      </c>
      <c r="E435" s="132">
        <v>5.13</v>
      </c>
      <c r="F435" s="127" t="s">
        <v>1397</v>
      </c>
      <c r="G435" s="127" t="s">
        <v>640</v>
      </c>
      <c r="H435" s="129">
        <v>1246</v>
      </c>
    </row>
    <row r="436" spans="1:8" x14ac:dyDescent="0.2">
      <c r="A436" s="127" t="s">
        <v>3378</v>
      </c>
      <c r="B436" s="127" t="s">
        <v>3403</v>
      </c>
      <c r="C436" s="127" t="s">
        <v>3404</v>
      </c>
      <c r="D436" s="127" t="s">
        <v>1355</v>
      </c>
      <c r="E436" s="132">
        <v>1.44</v>
      </c>
      <c r="F436" s="127" t="s">
        <v>1354</v>
      </c>
      <c r="G436" s="127" t="s">
        <v>640</v>
      </c>
      <c r="H436" s="129">
        <v>1247</v>
      </c>
    </row>
    <row r="437" spans="1:8" x14ac:dyDescent="0.2">
      <c r="A437" s="127" t="s">
        <v>3378</v>
      </c>
      <c r="B437" s="127" t="s">
        <v>3405</v>
      </c>
      <c r="C437" s="127" t="s">
        <v>3406</v>
      </c>
      <c r="D437" s="127" t="s">
        <v>1408</v>
      </c>
      <c r="E437" s="132">
        <v>6.94</v>
      </c>
      <c r="F437" s="127" t="s">
        <v>1407</v>
      </c>
      <c r="G437" s="127" t="s">
        <v>640</v>
      </c>
      <c r="H437" s="129">
        <v>1248</v>
      </c>
    </row>
    <row r="438" spans="1:8" x14ac:dyDescent="0.2">
      <c r="A438" s="127" t="s">
        <v>3378</v>
      </c>
      <c r="B438" s="127" t="s">
        <v>3407</v>
      </c>
      <c r="C438" s="127" t="s">
        <v>3408</v>
      </c>
      <c r="D438" s="127" t="s">
        <v>922</v>
      </c>
      <c r="E438" s="132">
        <v>16.760000000000002</v>
      </c>
      <c r="F438" s="127" t="s">
        <v>921</v>
      </c>
      <c r="G438" s="127" t="s">
        <v>640</v>
      </c>
      <c r="H438" s="129">
        <v>1249</v>
      </c>
    </row>
    <row r="439" spans="1:8" x14ac:dyDescent="0.2">
      <c r="A439" s="127" t="s">
        <v>3409</v>
      </c>
      <c r="B439" s="127" t="s">
        <v>3410</v>
      </c>
      <c r="C439" s="127" t="s">
        <v>3411</v>
      </c>
      <c r="D439" s="127" t="s">
        <v>838</v>
      </c>
      <c r="E439" s="132">
        <v>3.11</v>
      </c>
      <c r="F439" s="127" t="s">
        <v>837</v>
      </c>
      <c r="G439" s="127" t="s">
        <v>640</v>
      </c>
      <c r="H439" s="129">
        <v>1281</v>
      </c>
    </row>
    <row r="440" spans="1:8" x14ac:dyDescent="0.2">
      <c r="A440" s="127" t="s">
        <v>3409</v>
      </c>
      <c r="B440" s="127" t="s">
        <v>3412</v>
      </c>
      <c r="C440" s="127" t="s">
        <v>3413</v>
      </c>
      <c r="D440" s="127" t="s">
        <v>980</v>
      </c>
      <c r="E440" s="132">
        <v>17.43</v>
      </c>
      <c r="F440" s="127" t="s">
        <v>979</v>
      </c>
      <c r="G440" s="127" t="s">
        <v>640</v>
      </c>
      <c r="H440" s="129">
        <v>1282</v>
      </c>
    </row>
    <row r="441" spans="1:8" x14ac:dyDescent="0.2">
      <c r="A441" s="127" t="s">
        <v>3409</v>
      </c>
      <c r="B441" s="127" t="s">
        <v>3414</v>
      </c>
      <c r="C441" s="127" t="s">
        <v>3415</v>
      </c>
      <c r="D441" s="127" t="s">
        <v>1028</v>
      </c>
      <c r="E441" s="132">
        <v>7.55</v>
      </c>
      <c r="F441" s="127" t="s">
        <v>1027</v>
      </c>
      <c r="G441" s="127" t="s">
        <v>640</v>
      </c>
      <c r="H441" s="129">
        <v>1283</v>
      </c>
    </row>
    <row r="442" spans="1:8" x14ac:dyDescent="0.2">
      <c r="A442" s="127" t="s">
        <v>3409</v>
      </c>
      <c r="B442" s="127" t="s">
        <v>3416</v>
      </c>
      <c r="C442" s="127" t="s">
        <v>3417</v>
      </c>
      <c r="D442" s="127" t="s">
        <v>3418</v>
      </c>
      <c r="E442" s="132">
        <v>1.89</v>
      </c>
      <c r="F442" s="127" t="s">
        <v>3419</v>
      </c>
      <c r="G442" s="127" t="s">
        <v>640</v>
      </c>
      <c r="H442" s="129">
        <v>1284</v>
      </c>
    </row>
    <row r="443" spans="1:8" x14ac:dyDescent="0.2">
      <c r="A443" s="127" t="s">
        <v>3409</v>
      </c>
      <c r="B443" s="127" t="s">
        <v>3420</v>
      </c>
      <c r="C443" s="127" t="s">
        <v>3421</v>
      </c>
      <c r="D443" s="127" t="s">
        <v>662</v>
      </c>
      <c r="E443" s="132">
        <v>5.77</v>
      </c>
      <c r="F443" s="127" t="s">
        <v>661</v>
      </c>
      <c r="G443" s="127" t="s">
        <v>640</v>
      </c>
      <c r="H443" s="129">
        <v>1285</v>
      </c>
    </row>
    <row r="444" spans="1:8" x14ac:dyDescent="0.2">
      <c r="A444" s="127" t="s">
        <v>3409</v>
      </c>
      <c r="B444" s="127" t="s">
        <v>1189</v>
      </c>
      <c r="C444" s="127" t="s">
        <v>3422</v>
      </c>
      <c r="D444" s="127" t="s">
        <v>747</v>
      </c>
      <c r="E444" s="132">
        <v>1.74</v>
      </c>
      <c r="F444" s="127" t="s">
        <v>746</v>
      </c>
      <c r="G444" s="127" t="s">
        <v>640</v>
      </c>
      <c r="H444" s="129">
        <v>1286</v>
      </c>
    </row>
    <row r="445" spans="1:8" x14ac:dyDescent="0.2">
      <c r="A445" s="127" t="s">
        <v>3409</v>
      </c>
      <c r="B445" s="127" t="s">
        <v>3423</v>
      </c>
      <c r="C445" s="127" t="s">
        <v>3424</v>
      </c>
      <c r="D445" s="127" t="s">
        <v>710</v>
      </c>
      <c r="E445" s="132">
        <v>9.59</v>
      </c>
      <c r="F445" s="127" t="s">
        <v>709</v>
      </c>
      <c r="G445" s="127" t="s">
        <v>640</v>
      </c>
      <c r="H445" s="129">
        <v>1287</v>
      </c>
    </row>
    <row r="446" spans="1:8" x14ac:dyDescent="0.2">
      <c r="A446" s="127" t="s">
        <v>3409</v>
      </c>
      <c r="B446" s="127" t="s">
        <v>3425</v>
      </c>
      <c r="C446" s="127" t="s">
        <v>3426</v>
      </c>
      <c r="D446" s="127" t="s">
        <v>743</v>
      </c>
      <c r="E446" s="132">
        <v>1.68</v>
      </c>
      <c r="F446" s="127" t="s">
        <v>742</v>
      </c>
      <c r="G446" s="127" t="s">
        <v>640</v>
      </c>
      <c r="H446" s="129">
        <v>1288</v>
      </c>
    </row>
    <row r="447" spans="1:8" x14ac:dyDescent="0.2">
      <c r="A447" s="127" t="s">
        <v>3409</v>
      </c>
      <c r="B447" s="127" t="s">
        <v>3427</v>
      </c>
      <c r="C447" s="127" t="s">
        <v>3428</v>
      </c>
      <c r="D447" s="127" t="s">
        <v>948</v>
      </c>
      <c r="E447" s="132">
        <v>2.17</v>
      </c>
      <c r="F447" s="127" t="s">
        <v>947</v>
      </c>
      <c r="G447" s="127" t="s">
        <v>640</v>
      </c>
      <c r="H447" s="129">
        <v>1289</v>
      </c>
    </row>
    <row r="448" spans="1:8" x14ac:dyDescent="0.2">
      <c r="A448" s="127" t="s">
        <v>3409</v>
      </c>
      <c r="B448" s="127" t="s">
        <v>3429</v>
      </c>
      <c r="C448" s="127" t="s">
        <v>3430</v>
      </c>
      <c r="D448" s="127" t="s">
        <v>745</v>
      </c>
      <c r="E448" s="132">
        <v>9.24</v>
      </c>
      <c r="F448" s="127" t="s">
        <v>744</v>
      </c>
      <c r="G448" s="127" t="s">
        <v>640</v>
      </c>
      <c r="H448" s="129">
        <v>1290</v>
      </c>
    </row>
    <row r="449" spans="1:8" x14ac:dyDescent="0.2">
      <c r="A449" s="127" t="s">
        <v>3409</v>
      </c>
      <c r="B449" s="127" t="s">
        <v>3431</v>
      </c>
      <c r="C449" s="127" t="s">
        <v>3432</v>
      </c>
      <c r="D449" s="127" t="s">
        <v>3433</v>
      </c>
      <c r="E449" s="132">
        <v>3.69</v>
      </c>
      <c r="F449" s="127" t="s">
        <v>3434</v>
      </c>
      <c r="G449" s="127" t="s">
        <v>640</v>
      </c>
      <c r="H449" s="129">
        <v>1291</v>
      </c>
    </row>
    <row r="450" spans="1:8" x14ac:dyDescent="0.2">
      <c r="A450" s="127" t="s">
        <v>3409</v>
      </c>
      <c r="B450" s="127" t="s">
        <v>3435</v>
      </c>
      <c r="C450" s="127" t="s">
        <v>3436</v>
      </c>
      <c r="D450" s="127" t="s">
        <v>733</v>
      </c>
      <c r="E450" s="132">
        <v>6.94</v>
      </c>
      <c r="F450" s="127" t="s">
        <v>732</v>
      </c>
      <c r="G450" s="127" t="s">
        <v>640</v>
      </c>
      <c r="H450" s="129">
        <v>1292</v>
      </c>
    </row>
    <row r="451" spans="1:8" x14ac:dyDescent="0.2">
      <c r="A451" s="127" t="s">
        <v>3409</v>
      </c>
      <c r="B451" s="127" t="s">
        <v>3437</v>
      </c>
      <c r="C451" s="127" t="s">
        <v>3438</v>
      </c>
      <c r="D451" s="127" t="s">
        <v>696</v>
      </c>
      <c r="E451" s="132">
        <v>7.84</v>
      </c>
      <c r="F451" s="127" t="s">
        <v>695</v>
      </c>
      <c r="G451" s="127" t="s">
        <v>640</v>
      </c>
      <c r="H451" s="129">
        <v>1293</v>
      </c>
    </row>
    <row r="452" spans="1:8" x14ac:dyDescent="0.2">
      <c r="A452" s="127" t="s">
        <v>3409</v>
      </c>
      <c r="B452" s="127" t="s">
        <v>3439</v>
      </c>
      <c r="C452" s="127" t="s">
        <v>3440</v>
      </c>
      <c r="D452" s="127" t="s">
        <v>749</v>
      </c>
      <c r="E452" s="132">
        <v>7.46</v>
      </c>
      <c r="F452" s="127" t="s">
        <v>748</v>
      </c>
      <c r="G452" s="127" t="s">
        <v>640</v>
      </c>
      <c r="H452" s="129">
        <v>1294</v>
      </c>
    </row>
    <row r="453" spans="1:8" x14ac:dyDescent="0.2">
      <c r="A453" s="127" t="s">
        <v>3409</v>
      </c>
      <c r="B453" s="127" t="s">
        <v>3441</v>
      </c>
      <c r="C453" s="127" t="s">
        <v>3442</v>
      </c>
      <c r="D453" s="127" t="s">
        <v>985</v>
      </c>
      <c r="E453" s="132">
        <v>1.78</v>
      </c>
      <c r="F453" s="127" t="s">
        <v>984</v>
      </c>
      <c r="G453" s="127" t="s">
        <v>640</v>
      </c>
      <c r="H453" s="129">
        <v>1295</v>
      </c>
    </row>
    <row r="454" spans="1:8" x14ac:dyDescent="0.2">
      <c r="A454" s="127" t="s">
        <v>3409</v>
      </c>
      <c r="B454" s="127" t="s">
        <v>3443</v>
      </c>
      <c r="C454" s="127" t="s">
        <v>3444</v>
      </c>
      <c r="D454" s="127" t="s">
        <v>869</v>
      </c>
      <c r="E454" s="132">
        <v>6.4</v>
      </c>
      <c r="F454" s="127" t="s">
        <v>868</v>
      </c>
      <c r="G454" s="127" t="s">
        <v>640</v>
      </c>
      <c r="H454" s="129">
        <v>1296</v>
      </c>
    </row>
    <row r="455" spans="1:8" x14ac:dyDescent="0.2">
      <c r="A455" s="127" t="s">
        <v>3409</v>
      </c>
      <c r="B455" s="127" t="s">
        <v>3445</v>
      </c>
      <c r="C455" s="127" t="s">
        <v>3446</v>
      </c>
      <c r="D455" s="127" t="s">
        <v>1359</v>
      </c>
      <c r="E455" s="132">
        <v>11.92</v>
      </c>
      <c r="F455" s="127" t="s">
        <v>1358</v>
      </c>
      <c r="G455" s="127" t="s">
        <v>640</v>
      </c>
      <c r="H455" s="129">
        <v>1297</v>
      </c>
    </row>
    <row r="456" spans="1:8" x14ac:dyDescent="0.2">
      <c r="A456" s="127" t="s">
        <v>3409</v>
      </c>
      <c r="B456" s="127" t="s">
        <v>3447</v>
      </c>
      <c r="C456" s="127" t="s">
        <v>3448</v>
      </c>
      <c r="D456" s="127" t="s">
        <v>1589</v>
      </c>
      <c r="E456" s="132">
        <v>2.0499999999999998</v>
      </c>
      <c r="F456" s="127" t="s">
        <v>1590</v>
      </c>
      <c r="G456" s="127" t="s">
        <v>640</v>
      </c>
      <c r="H456" s="129">
        <v>1298</v>
      </c>
    </row>
    <row r="457" spans="1:8" x14ac:dyDescent="0.2">
      <c r="A457" s="127" t="s">
        <v>3449</v>
      </c>
      <c r="B457" s="127" t="s">
        <v>1256</v>
      </c>
      <c r="C457" s="127" t="s">
        <v>3450</v>
      </c>
      <c r="D457" s="127" t="s">
        <v>1335</v>
      </c>
      <c r="E457" s="132">
        <v>7.48</v>
      </c>
      <c r="F457" s="127" t="s">
        <v>1334</v>
      </c>
      <c r="G457" s="127" t="s">
        <v>640</v>
      </c>
      <c r="H457" s="129">
        <v>1358</v>
      </c>
    </row>
    <row r="458" spans="1:8" x14ac:dyDescent="0.2">
      <c r="A458" s="127" t="s">
        <v>3449</v>
      </c>
      <c r="B458" s="127" t="s">
        <v>3451</v>
      </c>
      <c r="C458" s="127" t="s">
        <v>3452</v>
      </c>
      <c r="D458" s="127" t="s">
        <v>3000</v>
      </c>
      <c r="E458" s="132">
        <v>3.54</v>
      </c>
      <c r="F458" s="127" t="s">
        <v>3001</v>
      </c>
      <c r="G458" s="127" t="s">
        <v>640</v>
      </c>
      <c r="H458" s="129">
        <v>1359</v>
      </c>
    </row>
    <row r="459" spans="1:8" x14ac:dyDescent="0.2">
      <c r="A459" s="127" t="s">
        <v>3449</v>
      </c>
      <c r="B459" s="127" t="s">
        <v>3453</v>
      </c>
      <c r="C459" s="127" t="s">
        <v>3454</v>
      </c>
      <c r="D459" s="127" t="s">
        <v>1522</v>
      </c>
      <c r="E459" s="132">
        <v>10.77</v>
      </c>
      <c r="F459" s="127" t="s">
        <v>1521</v>
      </c>
      <c r="G459" s="127" t="s">
        <v>640</v>
      </c>
      <c r="H459" s="129">
        <v>1360</v>
      </c>
    </row>
    <row r="460" spans="1:8" x14ac:dyDescent="0.2">
      <c r="A460" s="127" t="s">
        <v>3449</v>
      </c>
      <c r="B460" s="127" t="s">
        <v>3455</v>
      </c>
      <c r="C460" s="127" t="s">
        <v>3456</v>
      </c>
      <c r="D460" s="127" t="s">
        <v>800</v>
      </c>
      <c r="E460" s="132">
        <v>5.07</v>
      </c>
      <c r="F460" s="127" t="s">
        <v>799</v>
      </c>
      <c r="G460" s="127" t="s">
        <v>640</v>
      </c>
      <c r="H460" s="129">
        <v>1361</v>
      </c>
    </row>
    <row r="461" spans="1:8" x14ac:dyDescent="0.2">
      <c r="A461" s="127" t="s">
        <v>3449</v>
      </c>
      <c r="B461" s="127" t="s">
        <v>3457</v>
      </c>
      <c r="C461" s="127" t="s">
        <v>3458</v>
      </c>
      <c r="D461" s="127" t="s">
        <v>871</v>
      </c>
      <c r="E461" s="132">
        <v>2.1800000000000002</v>
      </c>
      <c r="F461" s="127" t="s">
        <v>870</v>
      </c>
      <c r="G461" s="127" t="s">
        <v>640</v>
      </c>
      <c r="H461" s="129">
        <v>1362</v>
      </c>
    </row>
    <row r="462" spans="1:8" x14ac:dyDescent="0.2">
      <c r="A462" s="127" t="s">
        <v>3449</v>
      </c>
      <c r="B462" s="127" t="s">
        <v>3459</v>
      </c>
      <c r="C462" s="127" t="s">
        <v>3460</v>
      </c>
      <c r="D462" s="127" t="s">
        <v>679</v>
      </c>
      <c r="E462" s="132">
        <v>5.85</v>
      </c>
      <c r="F462" s="127" t="s">
        <v>678</v>
      </c>
      <c r="G462" s="127" t="s">
        <v>640</v>
      </c>
      <c r="H462" s="129">
        <v>1363</v>
      </c>
    </row>
    <row r="463" spans="1:8" x14ac:dyDescent="0.2">
      <c r="A463" s="127" t="s">
        <v>3449</v>
      </c>
      <c r="B463" s="127" t="s">
        <v>1409</v>
      </c>
      <c r="C463" s="127" t="s">
        <v>3461</v>
      </c>
      <c r="D463" s="127" t="s">
        <v>867</v>
      </c>
      <c r="E463" s="132">
        <v>5.54</v>
      </c>
      <c r="F463" s="127" t="s">
        <v>866</v>
      </c>
      <c r="G463" s="127" t="s">
        <v>640</v>
      </c>
      <c r="H463" s="129">
        <v>1364</v>
      </c>
    </row>
    <row r="464" spans="1:8" x14ac:dyDescent="0.2">
      <c r="A464" s="127" t="s">
        <v>3449</v>
      </c>
      <c r="B464" s="127" t="s">
        <v>3462</v>
      </c>
      <c r="C464" s="127" t="s">
        <v>3463</v>
      </c>
      <c r="D464" s="127" t="s">
        <v>1587</v>
      </c>
      <c r="E464" s="132">
        <v>3.36</v>
      </c>
      <c r="F464" s="127" t="s">
        <v>1588</v>
      </c>
      <c r="G464" s="127" t="s">
        <v>640</v>
      </c>
      <c r="H464" s="129">
        <v>1365</v>
      </c>
    </row>
    <row r="465" spans="1:8" x14ac:dyDescent="0.2">
      <c r="A465" s="127" t="s">
        <v>3449</v>
      </c>
      <c r="B465" s="127" t="s">
        <v>3464</v>
      </c>
      <c r="C465" s="127" t="s">
        <v>3465</v>
      </c>
      <c r="D465" s="127" t="s">
        <v>1507</v>
      </c>
      <c r="E465" s="132">
        <v>1.57</v>
      </c>
      <c r="F465" s="127" t="s">
        <v>1506</v>
      </c>
      <c r="G465" s="127" t="s">
        <v>640</v>
      </c>
      <c r="H465" s="129">
        <v>1366</v>
      </c>
    </row>
    <row r="466" spans="1:8" x14ac:dyDescent="0.2">
      <c r="A466" s="127" t="s">
        <v>3449</v>
      </c>
      <c r="B466" s="127" t="s">
        <v>3466</v>
      </c>
      <c r="C466" s="127" t="s">
        <v>3467</v>
      </c>
      <c r="D466" s="127" t="s">
        <v>976</v>
      </c>
      <c r="E466" s="132">
        <v>6.14</v>
      </c>
      <c r="F466" s="127" t="s">
        <v>975</v>
      </c>
      <c r="G466" s="127" t="s">
        <v>640</v>
      </c>
      <c r="H466" s="129">
        <v>1367</v>
      </c>
    </row>
    <row r="467" spans="1:8" x14ac:dyDescent="0.2">
      <c r="A467" s="127" t="s">
        <v>3449</v>
      </c>
      <c r="B467" s="127" t="s">
        <v>3468</v>
      </c>
      <c r="C467" s="127" t="s">
        <v>3469</v>
      </c>
      <c r="D467" s="127" t="s">
        <v>666</v>
      </c>
      <c r="E467" s="132">
        <v>7.13</v>
      </c>
      <c r="F467" s="127" t="s">
        <v>665</v>
      </c>
      <c r="G467" s="127" t="s">
        <v>640</v>
      </c>
      <c r="H467" s="129">
        <v>1368</v>
      </c>
    </row>
    <row r="468" spans="1:8" x14ac:dyDescent="0.2">
      <c r="A468" s="127" t="s">
        <v>3449</v>
      </c>
      <c r="B468" s="127" t="s">
        <v>3470</v>
      </c>
      <c r="C468" s="127" t="s">
        <v>3471</v>
      </c>
      <c r="D468" s="127" t="s">
        <v>1431</v>
      </c>
      <c r="E468" s="132">
        <v>1.25</v>
      </c>
      <c r="F468" s="127" t="s">
        <v>1430</v>
      </c>
      <c r="G468" s="127" t="s">
        <v>640</v>
      </c>
      <c r="H468" s="129">
        <v>1369</v>
      </c>
    </row>
    <row r="469" spans="1:8" x14ac:dyDescent="0.2">
      <c r="A469" s="127" t="s">
        <v>3449</v>
      </c>
      <c r="B469" s="127" t="s">
        <v>3472</v>
      </c>
      <c r="C469" s="127" t="s">
        <v>3473</v>
      </c>
      <c r="D469" s="127" t="s">
        <v>706</v>
      </c>
      <c r="E469" s="132">
        <v>8.3800000000000008</v>
      </c>
      <c r="F469" s="127" t="s">
        <v>705</v>
      </c>
      <c r="G469" s="127" t="s">
        <v>640</v>
      </c>
      <c r="H469" s="129">
        <v>1370</v>
      </c>
    </row>
    <row r="470" spans="1:8" x14ac:dyDescent="0.2">
      <c r="A470" s="127" t="s">
        <v>3449</v>
      </c>
      <c r="B470" s="127" t="s">
        <v>3474</v>
      </c>
      <c r="C470" s="127" t="s">
        <v>3475</v>
      </c>
      <c r="D470" s="127" t="s">
        <v>1218</v>
      </c>
      <c r="E470" s="132">
        <v>9.17</v>
      </c>
      <c r="F470" s="127" t="s">
        <v>1217</v>
      </c>
      <c r="G470" s="127" t="s">
        <v>640</v>
      </c>
      <c r="H470" s="129">
        <v>1371</v>
      </c>
    </row>
    <row r="471" spans="1:8" x14ac:dyDescent="0.2">
      <c r="A471" s="127" t="s">
        <v>3449</v>
      </c>
      <c r="B471" s="127" t="s">
        <v>3476</v>
      </c>
      <c r="C471" s="127" t="s">
        <v>3477</v>
      </c>
      <c r="D471" s="127" t="s">
        <v>846</v>
      </c>
      <c r="E471" s="132">
        <v>8.3800000000000008</v>
      </c>
      <c r="F471" s="127" t="s">
        <v>845</v>
      </c>
      <c r="G471" s="127" t="s">
        <v>640</v>
      </c>
      <c r="H471" s="129">
        <v>1372</v>
      </c>
    </row>
    <row r="472" spans="1:8" x14ac:dyDescent="0.2">
      <c r="A472" s="127" t="s">
        <v>3449</v>
      </c>
      <c r="B472" s="127" t="s">
        <v>3478</v>
      </c>
      <c r="C472" s="127" t="s">
        <v>3479</v>
      </c>
      <c r="D472" s="127" t="s">
        <v>708</v>
      </c>
      <c r="E472" s="132">
        <v>6.3</v>
      </c>
      <c r="F472" s="127" t="s">
        <v>707</v>
      </c>
      <c r="G472" s="127" t="s">
        <v>640</v>
      </c>
      <c r="H472" s="129">
        <v>1373</v>
      </c>
    </row>
    <row r="473" spans="1:8" x14ac:dyDescent="0.2">
      <c r="A473" s="127" t="s">
        <v>3449</v>
      </c>
      <c r="B473" s="127" t="s">
        <v>3480</v>
      </c>
      <c r="C473" s="127" t="s">
        <v>3481</v>
      </c>
      <c r="D473" s="127" t="s">
        <v>1413</v>
      </c>
      <c r="E473" s="132">
        <v>1.68</v>
      </c>
      <c r="F473" s="127" t="s">
        <v>1412</v>
      </c>
      <c r="G473" s="127" t="s">
        <v>640</v>
      </c>
      <c r="H473" s="129">
        <v>1374</v>
      </c>
    </row>
    <row r="474" spans="1:8" x14ac:dyDescent="0.2">
      <c r="A474" s="127" t="s">
        <v>3449</v>
      </c>
      <c r="B474" s="127" t="s">
        <v>3482</v>
      </c>
      <c r="C474" s="127" t="s">
        <v>3483</v>
      </c>
      <c r="D474" s="127" t="s">
        <v>3484</v>
      </c>
      <c r="E474" s="132">
        <v>3.84</v>
      </c>
      <c r="F474" s="127" t="s">
        <v>3485</v>
      </c>
      <c r="G474" s="127" t="s">
        <v>640</v>
      </c>
      <c r="H474" s="133">
        <v>1375</v>
      </c>
    </row>
    <row r="475" spans="1:8" x14ac:dyDescent="0.2">
      <c r="A475" s="127" t="s">
        <v>3449</v>
      </c>
      <c r="B475" s="127" t="s">
        <v>3486</v>
      </c>
      <c r="C475" s="127" t="s">
        <v>3487</v>
      </c>
      <c r="D475" s="127" t="s">
        <v>716</v>
      </c>
      <c r="E475" s="132">
        <v>3.36</v>
      </c>
      <c r="F475" s="127" t="s">
        <v>715</v>
      </c>
      <c r="G475" s="127" t="s">
        <v>640</v>
      </c>
      <c r="H475" s="129">
        <v>1376</v>
      </c>
    </row>
    <row r="476" spans="1:8" x14ac:dyDescent="0.2">
      <c r="A476" s="127"/>
      <c r="B476" s="127"/>
      <c r="C476" s="127"/>
      <c r="D476" s="135" t="s">
        <v>3740</v>
      </c>
      <c r="E476" s="98">
        <f>SUM(E369:E475)</f>
        <v>894.1899999999996</v>
      </c>
      <c r="F476" s="127"/>
      <c r="G476" s="127"/>
      <c r="H476" s="129"/>
    </row>
    <row r="477" spans="1:8" x14ac:dyDescent="0.2">
      <c r="A477" s="127"/>
      <c r="B477" s="127"/>
      <c r="C477" s="127"/>
      <c r="D477" s="127"/>
      <c r="E477" s="137"/>
      <c r="F477" s="127"/>
      <c r="G477" s="127"/>
      <c r="H477" s="104"/>
    </row>
    <row r="478" spans="1:8" x14ac:dyDescent="0.2">
      <c r="A478" s="127"/>
      <c r="B478" s="127"/>
      <c r="C478" s="127"/>
      <c r="D478" s="127"/>
      <c r="E478" s="132"/>
      <c r="F478" s="127"/>
      <c r="G478" s="127"/>
      <c r="H478" s="104"/>
    </row>
    <row r="479" spans="1:8" x14ac:dyDescent="0.2">
      <c r="A479" s="127"/>
      <c r="B479" s="127"/>
      <c r="C479" s="127"/>
      <c r="D479" s="127"/>
      <c r="E479" s="132"/>
      <c r="F479" s="127"/>
      <c r="G479" s="127"/>
      <c r="H479" s="104"/>
    </row>
    <row r="480" spans="1:8" x14ac:dyDescent="0.2">
      <c r="A480" s="127"/>
      <c r="B480" s="127"/>
      <c r="C480" s="127"/>
      <c r="D480" s="127"/>
      <c r="E480" s="132"/>
      <c r="F480" s="127"/>
      <c r="G480" s="127"/>
      <c r="H480" s="104"/>
    </row>
    <row r="481" spans="1:8" x14ac:dyDescent="0.2">
      <c r="A481" s="127"/>
      <c r="B481" s="127"/>
      <c r="C481" s="127"/>
      <c r="D481" s="127"/>
      <c r="E481" s="132"/>
      <c r="F481" s="127"/>
      <c r="G481" s="127"/>
      <c r="H481" s="104"/>
    </row>
    <row r="482" spans="1:8" x14ac:dyDescent="0.2">
      <c r="A482" s="127"/>
      <c r="B482" s="127"/>
      <c r="C482" s="127"/>
      <c r="D482" s="127"/>
      <c r="E482" s="132"/>
      <c r="F482" s="127"/>
      <c r="G482" s="127"/>
      <c r="H482" s="104"/>
    </row>
    <row r="483" spans="1:8" x14ac:dyDescent="0.2">
      <c r="A483" s="127"/>
      <c r="B483" s="127"/>
      <c r="C483" s="127"/>
      <c r="D483" s="127"/>
      <c r="E483" s="132"/>
      <c r="F483" s="127"/>
      <c r="G483" s="127"/>
      <c r="H483" s="104"/>
    </row>
    <row r="484" spans="1:8" x14ac:dyDescent="0.2">
      <c r="A484" s="127"/>
      <c r="B484" s="127"/>
      <c r="C484" s="127"/>
      <c r="D484" s="127"/>
      <c r="E484" s="132"/>
      <c r="F484" s="127"/>
      <c r="G484" s="127"/>
      <c r="H484" s="104"/>
    </row>
    <row r="485" spans="1:8" x14ac:dyDescent="0.2">
      <c r="A485" s="127"/>
      <c r="B485" s="127"/>
      <c r="C485" s="127"/>
      <c r="D485" s="127"/>
      <c r="E485" s="132"/>
      <c r="F485" s="127"/>
      <c r="G485" s="127"/>
      <c r="H485" s="104"/>
    </row>
    <row r="486" spans="1:8" x14ac:dyDescent="0.2">
      <c r="A486" s="127"/>
      <c r="B486" s="127"/>
      <c r="C486" s="127"/>
      <c r="D486" s="127"/>
      <c r="E486" s="132"/>
      <c r="F486" s="127"/>
      <c r="G486" s="127"/>
      <c r="H486" s="104"/>
    </row>
    <row r="487" spans="1:8" x14ac:dyDescent="0.2">
      <c r="A487" s="127"/>
      <c r="B487" s="127"/>
      <c r="C487" s="127"/>
      <c r="D487" s="127"/>
      <c r="E487" s="132"/>
      <c r="F487" s="127"/>
      <c r="G487" s="127"/>
      <c r="H487" s="104"/>
    </row>
    <row r="488" spans="1:8" x14ac:dyDescent="0.2">
      <c r="A488" s="127"/>
      <c r="B488" s="127"/>
      <c r="C488" s="127"/>
      <c r="D488" s="127"/>
      <c r="E488" s="132"/>
      <c r="F488" s="127"/>
      <c r="G488" s="127"/>
      <c r="H488" s="104"/>
    </row>
    <row r="489" spans="1:8" x14ac:dyDescent="0.2">
      <c r="A489" s="127"/>
      <c r="B489" s="127"/>
      <c r="C489" s="127"/>
      <c r="D489" s="127"/>
      <c r="E489" s="132"/>
      <c r="F489" s="127"/>
      <c r="G489" s="127"/>
      <c r="H489" s="104"/>
    </row>
    <row r="490" spans="1:8" x14ac:dyDescent="0.2">
      <c r="A490" s="127"/>
      <c r="B490" s="127"/>
      <c r="C490" s="127"/>
      <c r="D490" s="127"/>
      <c r="E490" s="132"/>
      <c r="F490" s="127"/>
      <c r="G490" s="127"/>
      <c r="H490" s="104"/>
    </row>
    <row r="491" spans="1:8" x14ac:dyDescent="0.2">
      <c r="A491" s="127"/>
      <c r="B491" s="127"/>
      <c r="C491" s="127"/>
      <c r="D491" s="127"/>
      <c r="E491" s="132"/>
      <c r="F491" s="127"/>
      <c r="G491" s="127"/>
      <c r="H491" s="104"/>
    </row>
    <row r="492" spans="1:8" x14ac:dyDescent="0.2">
      <c r="A492" s="127"/>
      <c r="B492" s="127"/>
      <c r="C492" s="127"/>
      <c r="D492" s="127"/>
      <c r="E492" s="132"/>
      <c r="F492" s="127"/>
      <c r="G492" s="127"/>
      <c r="H492" s="104"/>
    </row>
    <row r="493" spans="1:8" x14ac:dyDescent="0.2">
      <c r="A493" s="127"/>
      <c r="B493" s="127"/>
      <c r="C493" s="127"/>
      <c r="D493" s="127"/>
      <c r="E493" s="132"/>
      <c r="F493" s="127"/>
      <c r="G493" s="127"/>
      <c r="H493" s="104"/>
    </row>
    <row r="494" spans="1:8" x14ac:dyDescent="0.2">
      <c r="A494" s="127"/>
      <c r="B494" s="127"/>
      <c r="C494" s="127"/>
      <c r="D494" s="127"/>
      <c r="E494" s="132"/>
      <c r="F494" s="127"/>
      <c r="G494" s="127"/>
      <c r="H494" s="104"/>
    </row>
    <row r="495" spans="1:8" x14ac:dyDescent="0.2">
      <c r="A495" s="127"/>
      <c r="B495" s="127"/>
      <c r="C495" s="127"/>
      <c r="D495" s="127"/>
      <c r="E495" s="132"/>
      <c r="F495" s="127"/>
      <c r="G495" s="127"/>
      <c r="H495" s="104"/>
    </row>
    <row r="496" spans="1:8" x14ac:dyDescent="0.2">
      <c r="A496" s="127"/>
      <c r="B496" s="127"/>
      <c r="C496" s="127"/>
      <c r="D496" s="127"/>
      <c r="E496" s="132"/>
      <c r="F496" s="127"/>
      <c r="G496" s="127"/>
      <c r="H496" s="104"/>
    </row>
    <row r="497" spans="1:8" x14ac:dyDescent="0.2">
      <c r="A497" s="127"/>
      <c r="B497" s="127"/>
      <c r="C497" s="127"/>
      <c r="D497" s="127"/>
      <c r="E497" s="132"/>
      <c r="F497" s="127"/>
      <c r="G497" s="127"/>
      <c r="H497" s="104"/>
    </row>
    <row r="498" spans="1:8" x14ac:dyDescent="0.2">
      <c r="A498" s="127"/>
      <c r="B498" s="127"/>
      <c r="C498" s="127"/>
      <c r="D498" s="127"/>
      <c r="E498" s="132"/>
      <c r="F498" s="127"/>
      <c r="G498" s="127"/>
      <c r="H498" s="104"/>
    </row>
    <row r="499" spans="1:8" x14ac:dyDescent="0.2">
      <c r="A499" s="127"/>
      <c r="B499" s="127"/>
      <c r="C499" s="127"/>
      <c r="D499" s="127"/>
      <c r="E499" s="132"/>
      <c r="F499" s="127"/>
      <c r="G499" s="127"/>
      <c r="H499" s="104"/>
    </row>
    <row r="500" spans="1:8" x14ac:dyDescent="0.2">
      <c r="A500" s="127"/>
      <c r="B500" s="127"/>
      <c r="C500" s="127"/>
      <c r="D500" s="127"/>
      <c r="E500" s="132"/>
      <c r="F500" s="127"/>
      <c r="G500" s="127"/>
      <c r="H500" s="104"/>
    </row>
    <row r="501" spans="1:8" x14ac:dyDescent="0.2">
      <c r="A501" s="127"/>
      <c r="B501" s="127"/>
      <c r="C501" s="127"/>
      <c r="D501" s="127"/>
      <c r="E501" s="132"/>
      <c r="F501" s="127"/>
      <c r="G501" s="127"/>
      <c r="H501" s="104"/>
    </row>
    <row r="502" spans="1:8" x14ac:dyDescent="0.2">
      <c r="A502" s="127"/>
      <c r="B502" s="127"/>
      <c r="C502" s="127"/>
      <c r="D502" s="127"/>
      <c r="E502" s="132"/>
      <c r="F502" s="127"/>
      <c r="G502" s="127"/>
      <c r="H502" s="104"/>
    </row>
    <row r="503" spans="1:8" x14ac:dyDescent="0.2">
      <c r="A503" s="127"/>
      <c r="B503" s="127"/>
      <c r="C503" s="127"/>
      <c r="D503" s="127"/>
      <c r="E503" s="132"/>
      <c r="F503" s="127"/>
      <c r="G503" s="127"/>
      <c r="H503" s="104"/>
    </row>
    <row r="504" spans="1:8" x14ac:dyDescent="0.2">
      <c r="A504" s="127"/>
      <c r="B504" s="127"/>
      <c r="C504" s="127"/>
      <c r="D504" s="127"/>
      <c r="E504" s="132"/>
      <c r="F504" s="127"/>
      <c r="G504" s="127"/>
      <c r="H504" s="104"/>
    </row>
    <row r="505" spans="1:8" x14ac:dyDescent="0.2">
      <c r="A505" s="127"/>
      <c r="B505" s="127"/>
      <c r="C505" s="127"/>
      <c r="D505" s="127"/>
      <c r="E505" s="132"/>
      <c r="F505" s="127"/>
      <c r="G505" s="127"/>
      <c r="H505" s="104"/>
    </row>
    <row r="506" spans="1:8" x14ac:dyDescent="0.2">
      <c r="A506" s="127"/>
      <c r="B506" s="127"/>
      <c r="C506" s="127"/>
      <c r="D506" s="127"/>
      <c r="E506" s="132"/>
      <c r="F506" s="127"/>
      <c r="G506" s="127"/>
      <c r="H506" s="104"/>
    </row>
    <row r="507" spans="1:8" x14ac:dyDescent="0.2">
      <c r="A507" s="127"/>
      <c r="B507" s="127"/>
      <c r="C507" s="127"/>
      <c r="D507" s="127"/>
      <c r="E507" s="132"/>
      <c r="F507" s="127"/>
      <c r="G507" s="127"/>
      <c r="H507" s="104"/>
    </row>
    <row r="508" spans="1:8" x14ac:dyDescent="0.2">
      <c r="A508" s="127"/>
      <c r="B508" s="127"/>
      <c r="C508" s="127"/>
      <c r="D508" s="127"/>
      <c r="E508" s="132"/>
      <c r="F508" s="127"/>
      <c r="G508" s="127"/>
      <c r="H508" s="104"/>
    </row>
    <row r="509" spans="1:8" x14ac:dyDescent="0.2">
      <c r="A509" s="127"/>
      <c r="B509" s="127"/>
      <c r="C509" s="127"/>
      <c r="D509" s="127"/>
      <c r="E509" s="132"/>
      <c r="F509" s="127"/>
      <c r="G509" s="127"/>
      <c r="H509" s="104"/>
    </row>
    <row r="510" spans="1:8" x14ac:dyDescent="0.2">
      <c r="A510" s="127"/>
      <c r="B510" s="127"/>
      <c r="C510" s="127"/>
      <c r="D510" s="127"/>
      <c r="E510" s="132"/>
      <c r="F510" s="127"/>
      <c r="G510" s="127"/>
      <c r="H510" s="104"/>
    </row>
    <row r="511" spans="1:8" x14ac:dyDescent="0.2">
      <c r="A511" s="127"/>
      <c r="B511" s="127"/>
      <c r="C511" s="127"/>
      <c r="D511" s="127"/>
      <c r="E511" s="132"/>
      <c r="F511" s="127"/>
      <c r="G511" s="127"/>
      <c r="H511" s="104"/>
    </row>
    <row r="512" spans="1:8" x14ac:dyDescent="0.2">
      <c r="A512" s="127"/>
      <c r="B512" s="127"/>
      <c r="C512" s="127"/>
      <c r="D512" s="127"/>
      <c r="E512" s="132"/>
      <c r="F512" s="127"/>
      <c r="G512" s="127"/>
      <c r="H512" s="104"/>
    </row>
    <row r="513" spans="1:8" x14ac:dyDescent="0.2">
      <c r="A513" s="127"/>
      <c r="B513" s="127"/>
      <c r="C513" s="127"/>
      <c r="D513" s="127"/>
      <c r="E513" s="132"/>
      <c r="F513" s="127"/>
      <c r="G513" s="127"/>
      <c r="H513" s="104"/>
    </row>
    <row r="514" spans="1:8" x14ac:dyDescent="0.2">
      <c r="A514" s="127"/>
      <c r="B514" s="127"/>
      <c r="C514" s="127"/>
      <c r="D514" s="127"/>
      <c r="E514" s="132"/>
      <c r="F514" s="127"/>
      <c r="G514" s="127"/>
      <c r="H514" s="104"/>
    </row>
    <row r="515" spans="1:8" x14ac:dyDescent="0.2">
      <c r="A515" s="127"/>
      <c r="B515" s="127"/>
      <c r="C515" s="127"/>
      <c r="D515" s="127"/>
      <c r="E515" s="132"/>
      <c r="F515" s="127"/>
      <c r="G515" s="127"/>
      <c r="H515" s="104"/>
    </row>
    <row r="516" spans="1:8" x14ac:dyDescent="0.2">
      <c r="A516" s="127"/>
      <c r="B516" s="127"/>
      <c r="C516" s="127"/>
      <c r="D516" s="127"/>
      <c r="E516" s="132"/>
      <c r="F516" s="127"/>
      <c r="G516" s="127"/>
      <c r="H516" s="104"/>
    </row>
    <row r="517" spans="1:8" x14ac:dyDescent="0.2">
      <c r="A517" s="127"/>
      <c r="B517" s="127"/>
      <c r="C517" s="127"/>
      <c r="D517" s="127"/>
      <c r="E517" s="132"/>
      <c r="F517" s="127"/>
      <c r="G517" s="127"/>
      <c r="H517" s="104"/>
    </row>
    <row r="518" spans="1:8" x14ac:dyDescent="0.2">
      <c r="A518" s="127"/>
      <c r="B518" s="127"/>
      <c r="C518" s="127"/>
      <c r="D518" s="127"/>
      <c r="E518" s="132"/>
      <c r="F518" s="127"/>
      <c r="G518" s="127"/>
      <c r="H518" s="104"/>
    </row>
    <row r="519" spans="1:8" x14ac:dyDescent="0.2">
      <c r="A519" s="127"/>
      <c r="B519" s="127"/>
      <c r="C519" s="127"/>
      <c r="D519" s="127"/>
      <c r="E519" s="132"/>
      <c r="F519" s="127"/>
      <c r="G519" s="127"/>
      <c r="H519" s="104"/>
    </row>
    <row r="520" spans="1:8" x14ac:dyDescent="0.2">
      <c r="A520" s="127"/>
      <c r="B520" s="127"/>
      <c r="C520" s="127"/>
      <c r="D520" s="127"/>
      <c r="E520" s="132"/>
      <c r="F520" s="127"/>
      <c r="G520" s="127"/>
      <c r="H520" s="104"/>
    </row>
    <row r="521" spans="1:8" x14ac:dyDescent="0.2">
      <c r="A521" s="127"/>
      <c r="B521" s="127"/>
      <c r="C521" s="127"/>
      <c r="D521" s="127"/>
      <c r="E521" s="132"/>
      <c r="F521" s="127"/>
      <c r="G521" s="127"/>
      <c r="H521" s="104"/>
    </row>
    <row r="522" spans="1:8" x14ac:dyDescent="0.2">
      <c r="A522" s="127"/>
      <c r="B522" s="127"/>
      <c r="C522" s="127"/>
      <c r="D522" s="127"/>
      <c r="E522" s="132"/>
      <c r="F522" s="127"/>
      <c r="G522" s="127"/>
      <c r="H522" s="104"/>
    </row>
    <row r="523" spans="1:8" x14ac:dyDescent="0.2">
      <c r="A523" s="127"/>
      <c r="B523" s="127"/>
      <c r="C523" s="127"/>
      <c r="D523" s="127"/>
      <c r="E523" s="132"/>
      <c r="F523" s="127"/>
      <c r="G523" s="127"/>
      <c r="H523" s="104"/>
    </row>
    <row r="524" spans="1:8" x14ac:dyDescent="0.2">
      <c r="A524" s="127"/>
      <c r="B524" s="127"/>
      <c r="C524" s="127"/>
      <c r="D524" s="127"/>
      <c r="E524" s="132"/>
      <c r="F524" s="127"/>
      <c r="G524" s="127"/>
      <c r="H524" s="104"/>
    </row>
    <row r="525" spans="1:8" x14ac:dyDescent="0.2">
      <c r="A525" s="127"/>
      <c r="B525" s="127"/>
      <c r="C525" s="127"/>
      <c r="D525" s="127"/>
      <c r="E525" s="132"/>
      <c r="F525" s="127"/>
      <c r="G525" s="127"/>
      <c r="H525" s="104"/>
    </row>
    <row r="526" spans="1:8" x14ac:dyDescent="0.2">
      <c r="A526" s="127"/>
      <c r="B526" s="127"/>
      <c r="C526" s="127"/>
      <c r="D526" s="127"/>
      <c r="E526" s="132"/>
      <c r="F526" s="127"/>
      <c r="G526" s="127"/>
      <c r="H526" s="104"/>
    </row>
    <row r="527" spans="1:8" x14ac:dyDescent="0.2">
      <c r="A527" s="127"/>
      <c r="B527" s="127"/>
      <c r="C527" s="127"/>
      <c r="D527" s="127"/>
      <c r="E527" s="132"/>
      <c r="F527" s="127"/>
      <c r="G527" s="127"/>
      <c r="H527" s="104"/>
    </row>
    <row r="528" spans="1:8" x14ac:dyDescent="0.2">
      <c r="A528" s="127"/>
      <c r="B528" s="127"/>
      <c r="C528" s="127"/>
      <c r="D528" s="127"/>
      <c r="E528" s="132"/>
      <c r="F528" s="127"/>
      <c r="G528" s="127"/>
      <c r="H528" s="104"/>
    </row>
    <row r="529" spans="1:8" x14ac:dyDescent="0.2">
      <c r="A529" s="127"/>
      <c r="B529" s="127"/>
      <c r="C529" s="127"/>
      <c r="D529" s="127"/>
      <c r="E529" s="132"/>
      <c r="F529" s="127"/>
      <c r="G529" s="127"/>
      <c r="H529" s="104"/>
    </row>
    <row r="530" spans="1:8" x14ac:dyDescent="0.2">
      <c r="A530" s="127"/>
      <c r="B530" s="127"/>
      <c r="C530" s="127"/>
      <c r="D530" s="127"/>
      <c r="E530" s="132"/>
      <c r="F530" s="127"/>
      <c r="G530" s="127"/>
      <c r="H530" s="104"/>
    </row>
    <row r="531" spans="1:8" x14ac:dyDescent="0.2">
      <c r="A531" s="127"/>
      <c r="B531" s="127"/>
      <c r="C531" s="127"/>
      <c r="D531" s="127"/>
      <c r="E531" s="132"/>
      <c r="F531" s="127"/>
      <c r="G531" s="138"/>
      <c r="H531" s="104"/>
    </row>
    <row r="532" spans="1:8" x14ac:dyDescent="0.2">
      <c r="A532" s="127"/>
      <c r="B532" s="127"/>
      <c r="C532" s="127"/>
      <c r="D532" s="127"/>
      <c r="E532" s="132"/>
      <c r="F532" s="127"/>
      <c r="G532" s="138"/>
      <c r="H532" s="104"/>
    </row>
    <row r="533" spans="1:8" x14ac:dyDescent="0.2">
      <c r="A533" s="127"/>
      <c r="B533" s="127"/>
      <c r="C533" s="127"/>
      <c r="D533" s="127"/>
      <c r="E533" s="132"/>
      <c r="F533" s="127"/>
      <c r="G533" s="138"/>
      <c r="H533" s="104"/>
    </row>
    <row r="534" spans="1:8" x14ac:dyDescent="0.2">
      <c r="A534" s="127"/>
      <c r="B534" s="127"/>
      <c r="C534" s="127"/>
      <c r="D534" s="127"/>
      <c r="E534" s="132"/>
      <c r="F534" s="127"/>
      <c r="G534" s="138"/>
      <c r="H534" s="104"/>
    </row>
    <row r="535" spans="1:8" x14ac:dyDescent="0.2">
      <c r="A535" s="127"/>
      <c r="B535" s="127"/>
      <c r="C535" s="127"/>
      <c r="D535" s="127"/>
      <c r="E535" s="132"/>
      <c r="F535" s="127"/>
      <c r="G535" s="138"/>
      <c r="H535" s="104"/>
    </row>
    <row r="536" spans="1:8" x14ac:dyDescent="0.2">
      <c r="A536" s="127"/>
      <c r="B536" s="127"/>
      <c r="C536" s="127"/>
      <c r="D536" s="127"/>
      <c r="E536" s="132"/>
      <c r="F536" s="127"/>
      <c r="G536" s="138"/>
      <c r="H536" s="104"/>
    </row>
    <row r="537" spans="1:8" x14ac:dyDescent="0.2">
      <c r="A537" s="127"/>
      <c r="B537" s="127"/>
      <c r="C537" s="127"/>
      <c r="D537" s="127"/>
      <c r="E537" s="132"/>
      <c r="F537" s="127"/>
      <c r="G537" s="138"/>
      <c r="H537" s="104"/>
    </row>
    <row r="538" spans="1:8" x14ac:dyDescent="0.2">
      <c r="A538" s="127"/>
      <c r="B538" s="127"/>
      <c r="C538" s="127"/>
      <c r="D538" s="127"/>
      <c r="E538" s="132"/>
      <c r="F538" s="127"/>
      <c r="G538" s="138"/>
      <c r="H538" s="104"/>
    </row>
    <row r="539" spans="1:8" x14ac:dyDescent="0.2">
      <c r="A539" s="127"/>
      <c r="B539" s="127"/>
      <c r="C539" s="127"/>
      <c r="D539" s="127"/>
      <c r="E539" s="132"/>
      <c r="F539" s="127"/>
      <c r="G539" s="138"/>
      <c r="H539" s="104"/>
    </row>
    <row r="540" spans="1:8" x14ac:dyDescent="0.2">
      <c r="A540" s="127"/>
      <c r="B540" s="127"/>
      <c r="C540" s="127"/>
      <c r="D540" s="127"/>
      <c r="E540" s="132"/>
      <c r="F540" s="127"/>
      <c r="G540" s="138"/>
      <c r="H540" s="104"/>
    </row>
    <row r="541" spans="1:8" x14ac:dyDescent="0.2">
      <c r="A541" s="127"/>
      <c r="B541" s="127"/>
      <c r="C541" s="127"/>
      <c r="D541" s="127"/>
      <c r="E541" s="132"/>
      <c r="F541" s="127"/>
      <c r="G541" s="138"/>
      <c r="H541" s="104"/>
    </row>
    <row r="542" spans="1:8" x14ac:dyDescent="0.2">
      <c r="A542" s="127"/>
      <c r="B542" s="127"/>
      <c r="C542" s="127"/>
      <c r="D542" s="127"/>
      <c r="E542" s="132"/>
      <c r="F542" s="127"/>
      <c r="G542" s="138"/>
      <c r="H542" s="104"/>
    </row>
    <row r="543" spans="1:8" x14ac:dyDescent="0.2">
      <c r="A543" s="127"/>
      <c r="B543" s="127"/>
      <c r="C543" s="127"/>
      <c r="D543" s="127"/>
      <c r="E543" s="132"/>
      <c r="F543" s="127"/>
      <c r="G543" s="138"/>
      <c r="H543" s="104"/>
    </row>
    <row r="544" spans="1:8" x14ac:dyDescent="0.2">
      <c r="A544" s="127"/>
      <c r="B544" s="127"/>
      <c r="C544" s="127"/>
      <c r="D544" s="127"/>
      <c r="E544" s="132"/>
      <c r="F544" s="127"/>
      <c r="G544" s="138"/>
      <c r="H544" s="104"/>
    </row>
    <row r="545" spans="1:8" x14ac:dyDescent="0.2">
      <c r="A545" s="127"/>
      <c r="B545" s="127"/>
      <c r="C545" s="127"/>
      <c r="D545" s="127"/>
      <c r="E545" s="132"/>
      <c r="F545" s="127"/>
      <c r="G545" s="138"/>
      <c r="H545" s="104"/>
    </row>
    <row r="546" spans="1:8" x14ac:dyDescent="0.2">
      <c r="A546" s="127"/>
      <c r="B546" s="127"/>
      <c r="C546" s="127"/>
      <c r="D546" s="127"/>
      <c r="E546" s="132"/>
      <c r="F546" s="127"/>
      <c r="G546" s="138"/>
      <c r="H546" s="104"/>
    </row>
    <row r="547" spans="1:8" x14ac:dyDescent="0.2">
      <c r="A547" s="127"/>
      <c r="B547" s="127"/>
      <c r="C547" s="127"/>
      <c r="D547" s="127"/>
      <c r="E547" s="132"/>
      <c r="F547" s="127"/>
      <c r="G547" s="138"/>
      <c r="H547" s="104"/>
    </row>
    <row r="548" spans="1:8" x14ac:dyDescent="0.2">
      <c r="A548" s="127"/>
      <c r="B548" s="127"/>
      <c r="C548" s="127"/>
      <c r="D548" s="127"/>
      <c r="E548" s="132"/>
      <c r="F548" s="127"/>
      <c r="G548" s="138"/>
      <c r="H548" s="104"/>
    </row>
    <row r="549" spans="1:8" x14ac:dyDescent="0.2">
      <c r="A549" s="127"/>
      <c r="B549" s="127"/>
      <c r="C549" s="127"/>
      <c r="D549" s="127"/>
      <c r="E549" s="132"/>
      <c r="F549" s="127"/>
      <c r="G549" s="138"/>
      <c r="H549" s="104"/>
    </row>
    <row r="550" spans="1:8" x14ac:dyDescent="0.2">
      <c r="A550" s="127"/>
      <c r="B550" s="127"/>
      <c r="C550" s="127"/>
      <c r="D550" s="127"/>
      <c r="E550" s="132"/>
      <c r="F550" s="127"/>
      <c r="G550" s="138"/>
      <c r="H550" s="104"/>
    </row>
    <row r="551" spans="1:8" x14ac:dyDescent="0.2">
      <c r="A551" s="127"/>
      <c r="B551" s="127"/>
      <c r="C551" s="127"/>
      <c r="D551" s="127"/>
      <c r="E551" s="132"/>
      <c r="F551" s="127"/>
      <c r="G551" s="138"/>
      <c r="H551" s="104"/>
    </row>
    <row r="552" spans="1:8" x14ac:dyDescent="0.2">
      <c r="A552" s="127"/>
      <c r="B552" s="127"/>
      <c r="C552" s="127"/>
      <c r="D552" s="127"/>
      <c r="E552" s="132"/>
      <c r="F552" s="127"/>
      <c r="G552" s="138"/>
      <c r="H552" s="104"/>
    </row>
    <row r="553" spans="1:8" x14ac:dyDescent="0.2">
      <c r="A553" s="127"/>
      <c r="B553" s="127"/>
      <c r="C553" s="127"/>
      <c r="D553" s="127"/>
      <c r="E553" s="132"/>
      <c r="F553" s="127"/>
      <c r="G553" s="138"/>
      <c r="H553" s="104"/>
    </row>
    <row r="554" spans="1:8" x14ac:dyDescent="0.2">
      <c r="A554" s="127"/>
      <c r="B554" s="127"/>
      <c r="C554" s="127"/>
      <c r="D554" s="127"/>
      <c r="E554" s="132"/>
      <c r="F554" s="127"/>
      <c r="G554" s="138"/>
      <c r="H554" s="104"/>
    </row>
    <row r="555" spans="1:8" x14ac:dyDescent="0.2">
      <c r="A555" s="127"/>
      <c r="B555" s="127"/>
      <c r="C555" s="127"/>
      <c r="D555" s="127"/>
      <c r="E555" s="132"/>
      <c r="F555" s="127"/>
      <c r="G555" s="138"/>
      <c r="H555" s="104"/>
    </row>
    <row r="556" spans="1:8" x14ac:dyDescent="0.2">
      <c r="A556" s="127"/>
      <c r="B556" s="127"/>
      <c r="C556" s="127"/>
      <c r="D556" s="127"/>
      <c r="E556" s="132"/>
      <c r="F556" s="127"/>
      <c r="G556" s="138"/>
      <c r="H556" s="104"/>
    </row>
    <row r="557" spans="1:8" x14ac:dyDescent="0.2">
      <c r="A557" s="127"/>
      <c r="B557" s="127"/>
      <c r="C557" s="127"/>
      <c r="D557" s="127"/>
      <c r="E557" s="132"/>
      <c r="F557" s="127"/>
      <c r="G557" s="138"/>
      <c r="H557" s="104"/>
    </row>
    <row r="558" spans="1:8" x14ac:dyDescent="0.2">
      <c r="A558" s="127"/>
      <c r="B558" s="127"/>
      <c r="C558" s="127"/>
      <c r="D558" s="127"/>
      <c r="E558" s="132"/>
      <c r="F558" s="127"/>
      <c r="G558" s="138"/>
      <c r="H558" s="104"/>
    </row>
    <row r="559" spans="1:8" x14ac:dyDescent="0.2">
      <c r="A559" s="127"/>
      <c r="B559" s="127"/>
      <c r="C559" s="127"/>
      <c r="D559" s="127"/>
      <c r="E559" s="132"/>
      <c r="F559" s="127"/>
      <c r="G559" s="138"/>
      <c r="H559" s="104"/>
    </row>
    <row r="560" spans="1:8" x14ac:dyDescent="0.2">
      <c r="A560" s="127"/>
      <c r="B560" s="127"/>
      <c r="C560" s="127"/>
      <c r="D560" s="127"/>
      <c r="E560" s="132"/>
      <c r="F560" s="127"/>
      <c r="G560" s="138"/>
      <c r="H560" s="104"/>
    </row>
    <row r="561" spans="1:8" x14ac:dyDescent="0.2">
      <c r="A561" s="127"/>
      <c r="B561" s="127"/>
      <c r="C561" s="127"/>
      <c r="D561" s="127"/>
      <c r="E561" s="132"/>
      <c r="F561" s="127"/>
      <c r="G561" s="138"/>
      <c r="H561" s="104"/>
    </row>
    <row r="562" spans="1:8" x14ac:dyDescent="0.2">
      <c r="A562" s="127"/>
      <c r="B562" s="127"/>
      <c r="C562" s="127"/>
      <c r="D562" s="127"/>
      <c r="E562" s="132"/>
      <c r="F562" s="127"/>
      <c r="G562" s="138"/>
      <c r="H562" s="104"/>
    </row>
    <row r="563" spans="1:8" x14ac:dyDescent="0.2">
      <c r="A563" s="127"/>
      <c r="B563" s="127"/>
      <c r="C563" s="127"/>
      <c r="D563" s="127"/>
      <c r="E563" s="132"/>
      <c r="F563" s="127"/>
      <c r="G563" s="138"/>
      <c r="H563" s="104"/>
    </row>
    <row r="564" spans="1:8" x14ac:dyDescent="0.2">
      <c r="A564" s="127"/>
      <c r="B564" s="127"/>
      <c r="C564" s="127"/>
      <c r="D564" s="127"/>
      <c r="E564" s="132"/>
      <c r="F564" s="127"/>
      <c r="G564" s="138"/>
      <c r="H564" s="104"/>
    </row>
    <row r="565" spans="1:8" x14ac:dyDescent="0.2">
      <c r="A565" s="127"/>
      <c r="B565" s="127"/>
      <c r="C565" s="127"/>
      <c r="D565" s="127"/>
      <c r="E565" s="132"/>
      <c r="F565" s="127"/>
      <c r="G565" s="138"/>
      <c r="H565" s="104"/>
    </row>
    <row r="566" spans="1:8" x14ac:dyDescent="0.2">
      <c r="A566" s="127"/>
      <c r="B566" s="127"/>
      <c r="C566" s="127"/>
      <c r="D566" s="127"/>
      <c r="E566" s="132"/>
      <c r="F566" s="127"/>
      <c r="G566" s="138"/>
      <c r="H566" s="104"/>
    </row>
    <row r="567" spans="1:8" x14ac:dyDescent="0.2">
      <c r="A567" s="127"/>
      <c r="B567" s="127"/>
      <c r="C567" s="127"/>
      <c r="D567" s="127"/>
      <c r="E567" s="132"/>
      <c r="F567" s="127"/>
      <c r="G567" s="138"/>
      <c r="H567" s="104"/>
    </row>
    <row r="568" spans="1:8" x14ac:dyDescent="0.2">
      <c r="A568" s="127"/>
      <c r="B568" s="127"/>
      <c r="C568" s="127"/>
      <c r="D568" s="127"/>
      <c r="E568" s="132"/>
      <c r="F568" s="127"/>
      <c r="G568" s="138"/>
      <c r="H568" s="104"/>
    </row>
    <row r="569" spans="1:8" x14ac:dyDescent="0.2">
      <c r="A569" s="127"/>
      <c r="B569" s="127"/>
      <c r="C569" s="127"/>
      <c r="D569" s="127"/>
      <c r="E569" s="132"/>
      <c r="F569" s="127"/>
      <c r="G569" s="138"/>
      <c r="H569" s="104"/>
    </row>
    <row r="570" spans="1:8" x14ac:dyDescent="0.2">
      <c r="A570" s="127"/>
      <c r="B570" s="127"/>
      <c r="C570" s="127"/>
      <c r="D570" s="127"/>
      <c r="E570" s="132"/>
      <c r="F570" s="127"/>
      <c r="G570" s="138"/>
      <c r="H570" s="104"/>
    </row>
    <row r="571" spans="1:8" x14ac:dyDescent="0.2">
      <c r="A571" s="127"/>
      <c r="B571" s="127"/>
      <c r="C571" s="127"/>
      <c r="D571" s="127"/>
      <c r="E571" s="132"/>
      <c r="F571" s="127"/>
      <c r="G571" s="138"/>
      <c r="H571" s="104"/>
    </row>
    <row r="572" spans="1:8" x14ac:dyDescent="0.2">
      <c r="A572" s="127"/>
      <c r="B572" s="127"/>
      <c r="C572" s="127"/>
      <c r="D572" s="127"/>
      <c r="E572" s="132"/>
      <c r="F572" s="127"/>
      <c r="G572" s="138"/>
      <c r="H572" s="104"/>
    </row>
    <row r="573" spans="1:8" x14ac:dyDescent="0.2">
      <c r="A573" s="127"/>
      <c r="B573" s="127"/>
      <c r="C573" s="127"/>
      <c r="D573" s="127"/>
      <c r="E573" s="132"/>
      <c r="F573" s="127"/>
      <c r="G573" s="138"/>
      <c r="H573" s="104"/>
    </row>
    <row r="574" spans="1:8" x14ac:dyDescent="0.2">
      <c r="A574" s="127"/>
      <c r="B574" s="127"/>
      <c r="C574" s="127"/>
      <c r="D574" s="127"/>
      <c r="E574" s="132"/>
      <c r="F574" s="127"/>
      <c r="G574" s="138"/>
      <c r="H574" s="104"/>
    </row>
    <row r="575" spans="1:8" x14ac:dyDescent="0.2">
      <c r="A575" s="127"/>
      <c r="B575" s="127"/>
      <c r="C575" s="127"/>
      <c r="D575" s="127"/>
      <c r="E575" s="132"/>
      <c r="F575" s="127"/>
      <c r="G575" s="138"/>
      <c r="H575" s="104"/>
    </row>
    <row r="576" spans="1:8" x14ac:dyDescent="0.2">
      <c r="A576" s="127"/>
      <c r="B576" s="127"/>
      <c r="C576" s="127"/>
      <c r="D576" s="127"/>
      <c r="E576" s="132"/>
      <c r="F576" s="127"/>
      <c r="G576" s="138"/>
      <c r="H576" s="104"/>
    </row>
    <row r="577" spans="1:8" x14ac:dyDescent="0.2">
      <c r="A577" s="127"/>
      <c r="B577" s="127"/>
      <c r="C577" s="127"/>
      <c r="D577" s="127"/>
      <c r="E577" s="132"/>
      <c r="F577" s="127"/>
      <c r="G577" s="138"/>
      <c r="H577" s="104"/>
    </row>
    <row r="578" spans="1:8" x14ac:dyDescent="0.2">
      <c r="A578" s="127"/>
      <c r="B578" s="127"/>
      <c r="C578" s="127"/>
      <c r="D578" s="127"/>
      <c r="E578" s="132"/>
      <c r="F578" s="127"/>
      <c r="G578" s="138"/>
      <c r="H578" s="104"/>
    </row>
    <row r="579" spans="1:8" x14ac:dyDescent="0.2">
      <c r="A579" s="127"/>
      <c r="B579" s="127"/>
      <c r="C579" s="127"/>
      <c r="D579" s="127"/>
      <c r="E579" s="132"/>
      <c r="F579" s="127"/>
      <c r="G579" s="138"/>
      <c r="H579" s="104"/>
    </row>
    <row r="580" spans="1:8" x14ac:dyDescent="0.2">
      <c r="A580" s="127"/>
      <c r="B580" s="127"/>
      <c r="C580" s="127"/>
      <c r="D580" s="127"/>
      <c r="E580" s="132"/>
      <c r="F580" s="127"/>
      <c r="G580" s="138"/>
      <c r="H580" s="104"/>
    </row>
    <row r="581" spans="1:8" x14ac:dyDescent="0.2">
      <c r="A581" s="127"/>
      <c r="B581" s="127"/>
      <c r="C581" s="127"/>
      <c r="D581" s="127"/>
      <c r="E581" s="132"/>
      <c r="F581" s="127"/>
      <c r="G581" s="138"/>
      <c r="H581" s="104"/>
    </row>
    <row r="582" spans="1:8" x14ac:dyDescent="0.2">
      <c r="A582" s="127"/>
      <c r="B582" s="127"/>
      <c r="C582" s="127"/>
      <c r="D582" s="127"/>
      <c r="E582" s="132"/>
      <c r="F582" s="127"/>
      <c r="G582" s="138"/>
      <c r="H582" s="104"/>
    </row>
    <row r="583" spans="1:8" x14ac:dyDescent="0.2">
      <c r="A583" s="127"/>
      <c r="B583" s="127"/>
      <c r="C583" s="127"/>
      <c r="D583" s="127"/>
      <c r="E583" s="132"/>
      <c r="F583" s="127"/>
      <c r="G583" s="138"/>
      <c r="H583" s="104"/>
    </row>
    <row r="584" spans="1:8" x14ac:dyDescent="0.2">
      <c r="A584" s="127"/>
      <c r="B584" s="127"/>
      <c r="C584" s="127"/>
      <c r="D584" s="127"/>
      <c r="E584" s="132"/>
      <c r="F584" s="127"/>
      <c r="G584" s="138"/>
      <c r="H584" s="104"/>
    </row>
    <row r="585" spans="1:8" x14ac:dyDescent="0.2">
      <c r="A585" s="127"/>
      <c r="B585" s="127"/>
      <c r="C585" s="127"/>
      <c r="D585" s="127"/>
      <c r="E585" s="132"/>
      <c r="F585" s="127"/>
      <c r="G585" s="138"/>
      <c r="H585" s="104"/>
    </row>
    <row r="586" spans="1:8" x14ac:dyDescent="0.2">
      <c r="A586" s="127"/>
      <c r="B586" s="127"/>
      <c r="C586" s="127"/>
      <c r="D586" s="127"/>
      <c r="E586" s="132"/>
      <c r="F586" s="127"/>
      <c r="G586" s="138"/>
      <c r="H586" s="104"/>
    </row>
    <row r="587" spans="1:8" x14ac:dyDescent="0.2">
      <c r="A587" s="127"/>
      <c r="B587" s="127"/>
      <c r="C587" s="127"/>
      <c r="D587" s="127"/>
      <c r="E587" s="132"/>
      <c r="F587" s="127"/>
      <c r="G587" s="138"/>
      <c r="H587" s="104"/>
    </row>
    <row r="588" spans="1:8" x14ac:dyDescent="0.2">
      <c r="A588" s="127"/>
      <c r="B588" s="127"/>
      <c r="C588" s="127"/>
      <c r="D588" s="127"/>
      <c r="E588" s="132"/>
      <c r="F588" s="127"/>
      <c r="G588" s="138"/>
      <c r="H588" s="104"/>
    </row>
    <row r="589" spans="1:8" x14ac:dyDescent="0.2">
      <c r="A589" s="127"/>
      <c r="B589" s="127"/>
      <c r="C589" s="127"/>
      <c r="D589" s="127"/>
      <c r="E589" s="132"/>
      <c r="F589" s="127"/>
      <c r="G589" s="138"/>
      <c r="H589" s="104"/>
    </row>
    <row r="590" spans="1:8" x14ac:dyDescent="0.2">
      <c r="A590" s="127"/>
      <c r="B590" s="127"/>
      <c r="C590" s="127"/>
      <c r="D590" s="127"/>
      <c r="E590" s="132"/>
      <c r="F590" s="127"/>
      <c r="G590" s="138"/>
      <c r="H590" s="104"/>
    </row>
    <row r="591" spans="1:8" x14ac:dyDescent="0.2">
      <c r="A591" s="127"/>
      <c r="B591" s="127"/>
      <c r="C591" s="127"/>
      <c r="D591" s="127"/>
      <c r="E591" s="132"/>
      <c r="F591" s="127"/>
      <c r="G591" s="138"/>
      <c r="H591" s="104"/>
    </row>
    <row r="592" spans="1:8" x14ac:dyDescent="0.2">
      <c r="A592" s="127"/>
      <c r="B592" s="127"/>
      <c r="C592" s="127"/>
      <c r="D592" s="127"/>
      <c r="E592" s="132"/>
      <c r="F592" s="127"/>
      <c r="G592" s="138"/>
      <c r="H592" s="104"/>
    </row>
    <row r="593" spans="1:8" x14ac:dyDescent="0.2">
      <c r="A593" s="127"/>
      <c r="B593" s="127"/>
      <c r="C593" s="127"/>
      <c r="D593" s="127"/>
      <c r="E593" s="132"/>
      <c r="F593" s="127"/>
      <c r="G593" s="138"/>
      <c r="H593" s="104"/>
    </row>
    <row r="594" spans="1:8" x14ac:dyDescent="0.2">
      <c r="A594" s="127"/>
      <c r="B594" s="127"/>
      <c r="C594" s="127"/>
      <c r="D594" s="127"/>
      <c r="E594" s="132"/>
      <c r="F594" s="127"/>
      <c r="G594" s="138"/>
      <c r="H594" s="104"/>
    </row>
    <row r="595" spans="1:8" x14ac:dyDescent="0.2">
      <c r="A595" s="127"/>
      <c r="B595" s="127"/>
      <c r="C595" s="127"/>
      <c r="D595" s="127"/>
      <c r="E595" s="132"/>
      <c r="F595" s="127"/>
      <c r="G595" s="138"/>
      <c r="H595" s="104"/>
    </row>
    <row r="596" spans="1:8" x14ac:dyDescent="0.2">
      <c r="A596" s="127"/>
      <c r="B596" s="127"/>
      <c r="C596" s="127"/>
      <c r="D596" s="127"/>
      <c r="E596" s="132"/>
      <c r="F596" s="127"/>
      <c r="G596" s="138"/>
      <c r="H596" s="104"/>
    </row>
    <row r="597" spans="1:8" x14ac:dyDescent="0.2">
      <c r="A597" s="127"/>
      <c r="B597" s="127"/>
      <c r="C597" s="127"/>
      <c r="D597" s="127"/>
      <c r="E597" s="132"/>
      <c r="F597" s="127"/>
      <c r="G597" s="138"/>
      <c r="H597" s="104"/>
    </row>
    <row r="598" spans="1:8" x14ac:dyDescent="0.2">
      <c r="A598" s="127"/>
      <c r="B598" s="127"/>
      <c r="C598" s="127"/>
      <c r="D598" s="127"/>
      <c r="E598" s="132"/>
      <c r="F598" s="127"/>
      <c r="G598" s="138"/>
      <c r="H598" s="104"/>
    </row>
    <row r="599" spans="1:8" x14ac:dyDescent="0.2">
      <c r="A599" s="127"/>
      <c r="B599" s="127"/>
      <c r="C599" s="127"/>
      <c r="D599" s="127"/>
      <c r="E599" s="132"/>
      <c r="F599" s="127"/>
      <c r="G599" s="138"/>
      <c r="H599" s="104"/>
    </row>
    <row r="600" spans="1:8" x14ac:dyDescent="0.2">
      <c r="A600" s="127"/>
      <c r="B600" s="127"/>
      <c r="C600" s="127"/>
      <c r="D600" s="127"/>
      <c r="E600" s="132"/>
      <c r="F600" s="127"/>
      <c r="G600" s="138"/>
      <c r="H600" s="104"/>
    </row>
    <row r="601" spans="1:8" x14ac:dyDescent="0.2">
      <c r="A601" s="127"/>
      <c r="B601" s="127"/>
      <c r="C601" s="127"/>
      <c r="D601" s="127"/>
      <c r="E601" s="132"/>
      <c r="F601" s="127"/>
      <c r="G601" s="138"/>
      <c r="H601" s="104"/>
    </row>
    <row r="602" spans="1:8" x14ac:dyDescent="0.2">
      <c r="A602" s="127"/>
      <c r="B602" s="127"/>
      <c r="C602" s="127"/>
      <c r="D602" s="127"/>
      <c r="E602" s="132"/>
      <c r="F602" s="127"/>
      <c r="G602" s="138"/>
      <c r="H602" s="104"/>
    </row>
    <row r="603" spans="1:8" x14ac:dyDescent="0.2">
      <c r="A603" s="127"/>
      <c r="B603" s="127"/>
      <c r="C603" s="127"/>
      <c r="D603" s="127"/>
      <c r="E603" s="132"/>
      <c r="F603" s="127"/>
      <c r="G603" s="138"/>
      <c r="H603" s="104"/>
    </row>
    <row r="604" spans="1:8" x14ac:dyDescent="0.2">
      <c r="A604" s="127"/>
      <c r="B604" s="127"/>
      <c r="C604" s="127"/>
      <c r="D604" s="127"/>
      <c r="E604" s="132"/>
      <c r="F604" s="127"/>
      <c r="G604" s="138"/>
      <c r="H604" s="104"/>
    </row>
    <row r="605" spans="1:8" x14ac:dyDescent="0.2">
      <c r="A605" s="127"/>
      <c r="B605" s="127"/>
      <c r="C605" s="127"/>
      <c r="D605" s="127"/>
      <c r="E605" s="132"/>
      <c r="F605" s="127"/>
      <c r="G605" s="138"/>
      <c r="H605" s="104"/>
    </row>
    <row r="606" spans="1:8" x14ac:dyDescent="0.2">
      <c r="A606" s="127"/>
      <c r="B606" s="127"/>
      <c r="C606" s="127"/>
      <c r="D606" s="127"/>
      <c r="E606" s="132"/>
      <c r="F606" s="127"/>
      <c r="G606" s="138"/>
      <c r="H606" s="104"/>
    </row>
    <row r="607" spans="1:8" x14ac:dyDescent="0.2">
      <c r="A607" s="127"/>
      <c r="B607" s="127"/>
      <c r="C607" s="127"/>
      <c r="D607" s="127"/>
      <c r="E607" s="132"/>
      <c r="F607" s="127"/>
      <c r="G607" s="138"/>
      <c r="H607" s="104"/>
    </row>
    <row r="608" spans="1:8" x14ac:dyDescent="0.2">
      <c r="A608" s="127"/>
      <c r="B608" s="127"/>
      <c r="C608" s="127"/>
      <c r="D608" s="127"/>
      <c r="E608" s="132"/>
      <c r="F608" s="127"/>
      <c r="G608" s="138"/>
      <c r="H608" s="104"/>
    </row>
    <row r="609" spans="1:8" x14ac:dyDescent="0.2">
      <c r="A609" s="127"/>
      <c r="B609" s="127"/>
      <c r="C609" s="127"/>
      <c r="D609" s="127"/>
      <c r="E609" s="132"/>
      <c r="F609" s="127"/>
      <c r="G609" s="138"/>
      <c r="H609" s="104"/>
    </row>
    <row r="610" spans="1:8" x14ac:dyDescent="0.2">
      <c r="A610" s="127"/>
      <c r="B610" s="127"/>
      <c r="C610" s="127"/>
      <c r="D610" s="127"/>
      <c r="E610" s="132"/>
      <c r="F610" s="127"/>
      <c r="G610" s="138"/>
      <c r="H610" s="104"/>
    </row>
    <row r="611" spans="1:8" x14ac:dyDescent="0.2">
      <c r="A611" s="127"/>
      <c r="B611" s="127"/>
      <c r="C611" s="127"/>
      <c r="D611" s="127"/>
      <c r="E611" s="132"/>
      <c r="F611" s="127"/>
      <c r="G611" s="138"/>
      <c r="H611" s="104"/>
    </row>
    <row r="612" spans="1:8" x14ac:dyDescent="0.2">
      <c r="A612" s="127"/>
      <c r="B612" s="127"/>
      <c r="C612" s="127"/>
      <c r="D612" s="127"/>
      <c r="E612" s="132"/>
      <c r="F612" s="127"/>
      <c r="G612" s="138"/>
      <c r="H612" s="104"/>
    </row>
    <row r="613" spans="1:8" x14ac:dyDescent="0.2">
      <c r="A613" s="127"/>
      <c r="B613" s="127"/>
      <c r="C613" s="127"/>
      <c r="D613" s="127"/>
      <c r="E613" s="132"/>
      <c r="F613" s="127"/>
      <c r="G613" s="138"/>
      <c r="H613" s="104"/>
    </row>
    <row r="614" spans="1:8" x14ac:dyDescent="0.2">
      <c r="A614" s="127"/>
      <c r="B614" s="127"/>
      <c r="C614" s="127"/>
      <c r="D614" s="127"/>
      <c r="E614" s="132"/>
      <c r="F614" s="127"/>
      <c r="G614" s="138"/>
      <c r="H614" s="104"/>
    </row>
    <row r="615" spans="1:8" x14ac:dyDescent="0.2">
      <c r="A615" s="127"/>
      <c r="B615" s="127"/>
      <c r="C615" s="127"/>
      <c r="D615" s="127"/>
      <c r="E615" s="132"/>
      <c r="F615" s="127"/>
      <c r="G615" s="138"/>
      <c r="H615" s="104"/>
    </row>
    <row r="616" spans="1:8" x14ac:dyDescent="0.2">
      <c r="A616" s="127"/>
      <c r="B616" s="127"/>
      <c r="C616" s="127"/>
      <c r="D616" s="127"/>
      <c r="E616" s="132"/>
      <c r="F616" s="127"/>
      <c r="G616" s="138"/>
      <c r="H616" s="104"/>
    </row>
    <row r="617" spans="1:8" x14ac:dyDescent="0.2">
      <c r="A617" s="127"/>
      <c r="B617" s="127"/>
      <c r="C617" s="127"/>
      <c r="D617" s="127"/>
      <c r="E617" s="132"/>
      <c r="F617" s="127"/>
      <c r="G617" s="138"/>
      <c r="H617" s="104"/>
    </row>
    <row r="618" spans="1:8" x14ac:dyDescent="0.2">
      <c r="A618" s="127"/>
      <c r="B618" s="127"/>
      <c r="C618" s="127"/>
      <c r="D618" s="127"/>
      <c r="E618" s="132"/>
      <c r="F618" s="127"/>
      <c r="G618" s="138"/>
      <c r="H618" s="104"/>
    </row>
    <row r="619" spans="1:8" x14ac:dyDescent="0.2">
      <c r="A619" s="127"/>
      <c r="B619" s="127"/>
      <c r="C619" s="127"/>
      <c r="D619" s="127"/>
      <c r="E619" s="132"/>
      <c r="F619" s="127"/>
      <c r="G619" s="138"/>
      <c r="H619" s="104"/>
    </row>
    <row r="620" spans="1:8" x14ac:dyDescent="0.2">
      <c r="A620" s="127"/>
      <c r="B620" s="127"/>
      <c r="C620" s="127"/>
      <c r="D620" s="127"/>
      <c r="E620" s="132"/>
      <c r="F620" s="127"/>
      <c r="G620" s="138"/>
      <c r="H620" s="104"/>
    </row>
    <row r="621" spans="1:8" x14ac:dyDescent="0.2">
      <c r="A621" s="127"/>
      <c r="B621" s="127"/>
      <c r="C621" s="127"/>
      <c r="D621" s="127"/>
      <c r="E621" s="132"/>
      <c r="F621" s="127"/>
      <c r="G621" s="138"/>
      <c r="H621" s="104"/>
    </row>
    <row r="622" spans="1:8" x14ac:dyDescent="0.2">
      <c r="A622" s="127"/>
      <c r="B622" s="127"/>
      <c r="C622" s="127"/>
      <c r="D622" s="127"/>
      <c r="E622" s="132"/>
      <c r="F622" s="127"/>
      <c r="G622" s="138"/>
      <c r="H622" s="104"/>
    </row>
    <row r="623" spans="1:8" x14ac:dyDescent="0.2">
      <c r="A623" s="127"/>
      <c r="B623" s="127"/>
      <c r="C623" s="127"/>
      <c r="D623" s="127"/>
      <c r="E623" s="132"/>
      <c r="F623" s="127"/>
      <c r="G623" s="138"/>
      <c r="H623" s="104"/>
    </row>
    <row r="624" spans="1:8" x14ac:dyDescent="0.2">
      <c r="A624" s="127"/>
      <c r="B624" s="127"/>
      <c r="C624" s="127"/>
      <c r="D624" s="127"/>
      <c r="E624" s="132"/>
      <c r="F624" s="127"/>
      <c r="G624" s="138"/>
      <c r="H624" s="104"/>
    </row>
    <row r="625" spans="1:8" x14ac:dyDescent="0.2">
      <c r="A625" s="127"/>
      <c r="B625" s="127"/>
      <c r="C625" s="127"/>
      <c r="D625" s="127"/>
      <c r="E625" s="132"/>
      <c r="F625" s="127"/>
      <c r="G625" s="138"/>
      <c r="H625" s="104"/>
    </row>
    <row r="626" spans="1:8" x14ac:dyDescent="0.2">
      <c r="A626" s="127"/>
      <c r="B626" s="127"/>
      <c r="C626" s="127"/>
      <c r="D626" s="127"/>
      <c r="E626" s="132"/>
      <c r="F626" s="127"/>
      <c r="G626" s="138"/>
      <c r="H626" s="104"/>
    </row>
    <row r="627" spans="1:8" x14ac:dyDescent="0.2">
      <c r="A627" s="127"/>
      <c r="B627" s="127"/>
      <c r="C627" s="127"/>
      <c r="D627" s="127"/>
      <c r="E627" s="132"/>
      <c r="F627" s="127"/>
      <c r="G627" s="138"/>
      <c r="H627" s="104"/>
    </row>
    <row r="628" spans="1:8" x14ac:dyDescent="0.2">
      <c r="A628" s="127"/>
      <c r="B628" s="127"/>
      <c r="C628" s="127"/>
      <c r="D628" s="127"/>
      <c r="E628" s="132"/>
      <c r="F628" s="127"/>
      <c r="G628" s="138"/>
      <c r="H628" s="104"/>
    </row>
    <row r="629" spans="1:8" x14ac:dyDescent="0.2">
      <c r="A629" s="127"/>
      <c r="B629" s="127"/>
      <c r="C629" s="127"/>
      <c r="D629" s="127"/>
      <c r="E629" s="132"/>
      <c r="F629" s="127"/>
      <c r="G629" s="138"/>
      <c r="H629" s="104"/>
    </row>
    <row r="630" spans="1:8" x14ac:dyDescent="0.2">
      <c r="A630" s="127"/>
      <c r="B630" s="127"/>
      <c r="C630" s="127"/>
      <c r="D630" s="127"/>
      <c r="E630" s="132"/>
      <c r="F630" s="127"/>
      <c r="G630" s="138"/>
      <c r="H630" s="104"/>
    </row>
    <row r="631" spans="1:8" x14ac:dyDescent="0.2">
      <c r="A631" s="127"/>
      <c r="B631" s="127"/>
      <c r="C631" s="127"/>
      <c r="D631" s="127"/>
      <c r="E631" s="132"/>
      <c r="F631" s="127"/>
      <c r="G631" s="138"/>
      <c r="H631" s="104"/>
    </row>
    <row r="632" spans="1:8" x14ac:dyDescent="0.2">
      <c r="A632" s="127"/>
      <c r="B632" s="127"/>
      <c r="C632" s="127"/>
      <c r="D632" s="127"/>
      <c r="E632" s="132"/>
      <c r="F632" s="127"/>
      <c r="G632" s="138"/>
      <c r="H632" s="104"/>
    </row>
    <row r="633" spans="1:8" x14ac:dyDescent="0.2">
      <c r="A633" s="127"/>
      <c r="B633" s="127"/>
      <c r="C633" s="127"/>
      <c r="D633" s="127"/>
      <c r="E633" s="132"/>
      <c r="F633" s="127"/>
      <c r="G633" s="138"/>
      <c r="H633" s="104"/>
    </row>
    <row r="634" spans="1:8" x14ac:dyDescent="0.2">
      <c r="A634" s="127"/>
      <c r="B634" s="127"/>
      <c r="C634" s="127"/>
      <c r="D634" s="127"/>
      <c r="E634" s="132"/>
      <c r="F634" s="127"/>
      <c r="G634" s="138"/>
      <c r="H634" s="104"/>
    </row>
    <row r="635" spans="1:8" x14ac:dyDescent="0.2">
      <c r="A635" s="127"/>
      <c r="B635" s="127"/>
      <c r="C635" s="127"/>
      <c r="D635" s="127"/>
      <c r="E635" s="132"/>
      <c r="F635" s="127"/>
      <c r="G635" s="138"/>
      <c r="H635" s="104"/>
    </row>
    <row r="636" spans="1:8" x14ac:dyDescent="0.2">
      <c r="A636" s="127"/>
      <c r="B636" s="127"/>
      <c r="C636" s="127"/>
      <c r="D636" s="127"/>
      <c r="E636" s="132"/>
      <c r="F636" s="127"/>
      <c r="G636" s="138"/>
      <c r="H636" s="104"/>
    </row>
    <row r="637" spans="1:8" x14ac:dyDescent="0.2">
      <c r="A637" s="127"/>
      <c r="B637" s="127"/>
      <c r="C637" s="127"/>
      <c r="D637" s="127"/>
      <c r="E637" s="132"/>
      <c r="F637" s="127"/>
      <c r="G637" s="138"/>
      <c r="H637" s="104"/>
    </row>
    <row r="638" spans="1:8" x14ac:dyDescent="0.2">
      <c r="A638" s="127"/>
      <c r="B638" s="127"/>
      <c r="C638" s="127"/>
      <c r="D638" s="127"/>
      <c r="E638" s="132"/>
      <c r="F638" s="127"/>
      <c r="G638" s="138"/>
      <c r="H638" s="104"/>
    </row>
    <row r="639" spans="1:8" x14ac:dyDescent="0.2">
      <c r="A639" s="127"/>
      <c r="B639" s="127"/>
      <c r="C639" s="127"/>
      <c r="D639" s="127"/>
      <c r="E639" s="132"/>
      <c r="F639" s="127"/>
      <c r="G639" s="138"/>
      <c r="H639" s="104"/>
    </row>
    <row r="640" spans="1:8" x14ac:dyDescent="0.2">
      <c r="A640" s="127"/>
      <c r="B640" s="127"/>
      <c r="C640" s="127"/>
      <c r="D640" s="127"/>
      <c r="E640" s="132"/>
      <c r="F640" s="127"/>
      <c r="G640" s="138"/>
      <c r="H640" s="104"/>
    </row>
    <row r="641" spans="1:8" x14ac:dyDescent="0.2">
      <c r="A641" s="127"/>
      <c r="B641" s="127"/>
      <c r="C641" s="127"/>
      <c r="D641" s="127"/>
      <c r="E641" s="132"/>
      <c r="F641" s="127"/>
      <c r="G641" s="138"/>
      <c r="H641" s="104"/>
    </row>
    <row r="642" spans="1:8" x14ac:dyDescent="0.2">
      <c r="A642" s="127"/>
      <c r="B642" s="127"/>
      <c r="C642" s="127"/>
      <c r="D642" s="127"/>
      <c r="E642" s="132"/>
      <c r="F642" s="127"/>
      <c r="G642" s="138"/>
      <c r="H642" s="104"/>
    </row>
    <row r="643" spans="1:8" x14ac:dyDescent="0.2">
      <c r="A643" s="127"/>
      <c r="B643" s="127"/>
      <c r="C643" s="127"/>
      <c r="D643" s="127"/>
      <c r="E643" s="132"/>
      <c r="F643" s="127"/>
      <c r="G643" s="138"/>
      <c r="H643" s="104"/>
    </row>
    <row r="644" spans="1:8" x14ac:dyDescent="0.2">
      <c r="A644" s="127"/>
      <c r="B644" s="127"/>
      <c r="C644" s="127"/>
      <c r="D644" s="127"/>
      <c r="E644" s="132"/>
      <c r="F644" s="127"/>
      <c r="G644" s="138"/>
      <c r="H644" s="104"/>
    </row>
    <row r="645" spans="1:8" x14ac:dyDescent="0.2">
      <c r="A645" s="127"/>
      <c r="B645" s="127"/>
      <c r="C645" s="127"/>
      <c r="D645" s="127"/>
      <c r="E645" s="132"/>
      <c r="F645" s="127"/>
      <c r="G645" s="138"/>
      <c r="H645" s="104"/>
    </row>
    <row r="646" spans="1:8" x14ac:dyDescent="0.2">
      <c r="A646" s="127"/>
      <c r="B646" s="127"/>
      <c r="C646" s="127"/>
      <c r="D646" s="127"/>
      <c r="E646" s="132"/>
      <c r="F646" s="127"/>
      <c r="G646" s="138"/>
      <c r="H646" s="104"/>
    </row>
    <row r="647" spans="1:8" x14ac:dyDescent="0.2">
      <c r="A647" s="127"/>
      <c r="B647" s="127"/>
      <c r="C647" s="127"/>
      <c r="D647" s="127"/>
      <c r="E647" s="132"/>
      <c r="F647" s="127"/>
      <c r="G647" s="138"/>
      <c r="H647" s="104"/>
    </row>
    <row r="648" spans="1:8" x14ac:dyDescent="0.2">
      <c r="A648" s="127"/>
      <c r="B648" s="127"/>
      <c r="C648" s="127"/>
      <c r="D648" s="127"/>
      <c r="E648" s="132"/>
      <c r="F648" s="127"/>
      <c r="G648" s="138"/>
      <c r="H648" s="104"/>
    </row>
    <row r="649" spans="1:8" x14ac:dyDescent="0.2">
      <c r="A649" s="127"/>
      <c r="B649" s="127"/>
      <c r="C649" s="127"/>
      <c r="D649" s="127"/>
      <c r="E649" s="132"/>
      <c r="F649" s="127"/>
      <c r="G649" s="138"/>
      <c r="H649" s="104"/>
    </row>
    <row r="650" spans="1:8" x14ac:dyDescent="0.2">
      <c r="A650" s="127"/>
      <c r="B650" s="127"/>
      <c r="C650" s="127"/>
      <c r="D650" s="127"/>
      <c r="E650" s="132"/>
      <c r="F650" s="127"/>
      <c r="G650" s="138"/>
      <c r="H650" s="104"/>
    </row>
    <row r="651" spans="1:8" x14ac:dyDescent="0.2">
      <c r="A651" s="127"/>
      <c r="B651" s="127"/>
      <c r="C651" s="127"/>
      <c r="D651" s="127"/>
      <c r="E651" s="132"/>
      <c r="F651" s="127"/>
      <c r="G651" s="138"/>
      <c r="H651" s="104"/>
    </row>
    <row r="652" spans="1:8" x14ac:dyDescent="0.2">
      <c r="A652" s="127"/>
      <c r="B652" s="127"/>
      <c r="C652" s="127"/>
      <c r="D652" s="127"/>
      <c r="E652" s="132"/>
      <c r="F652" s="127"/>
      <c r="G652" s="138"/>
      <c r="H652" s="104"/>
    </row>
    <row r="653" spans="1:8" x14ac:dyDescent="0.2">
      <c r="A653" s="127"/>
      <c r="B653" s="127"/>
      <c r="C653" s="127"/>
      <c r="D653" s="127"/>
      <c r="E653" s="132"/>
      <c r="F653" s="127"/>
      <c r="G653" s="138"/>
      <c r="H653" s="104"/>
    </row>
    <row r="654" spans="1:8" x14ac:dyDescent="0.2">
      <c r="A654" s="127"/>
      <c r="B654" s="127"/>
      <c r="C654" s="127"/>
      <c r="D654" s="127"/>
      <c r="E654" s="132"/>
      <c r="F654" s="127"/>
      <c r="G654" s="138"/>
      <c r="H654" s="104"/>
    </row>
    <row r="655" spans="1:8" x14ac:dyDescent="0.2">
      <c r="A655" s="127"/>
      <c r="B655" s="127"/>
      <c r="C655" s="127"/>
      <c r="D655" s="127"/>
      <c r="E655" s="132"/>
      <c r="F655" s="127"/>
      <c r="G655" s="138"/>
      <c r="H655" s="104"/>
    </row>
    <row r="656" spans="1:8" x14ac:dyDescent="0.2">
      <c r="A656" s="127"/>
      <c r="B656" s="127"/>
      <c r="C656" s="127"/>
      <c r="D656" s="127"/>
      <c r="E656" s="132"/>
      <c r="F656" s="127"/>
      <c r="G656" s="138"/>
      <c r="H656" s="104"/>
    </row>
    <row r="657" spans="1:8" x14ac:dyDescent="0.2">
      <c r="A657" s="127"/>
      <c r="B657" s="127"/>
      <c r="C657" s="127"/>
      <c r="D657" s="127"/>
      <c r="E657" s="132"/>
      <c r="F657" s="127"/>
      <c r="G657" s="138"/>
      <c r="H657" s="104"/>
    </row>
    <row r="658" spans="1:8" x14ac:dyDescent="0.2">
      <c r="A658" s="127"/>
      <c r="B658" s="127"/>
      <c r="C658" s="127"/>
      <c r="D658" s="127"/>
      <c r="E658" s="132"/>
      <c r="F658" s="127"/>
      <c r="G658" s="138"/>
      <c r="H658" s="104"/>
    </row>
    <row r="659" spans="1:8" x14ac:dyDescent="0.2">
      <c r="A659" s="127"/>
      <c r="B659" s="127"/>
      <c r="C659" s="127"/>
      <c r="D659" s="127"/>
      <c r="E659" s="132"/>
      <c r="F659" s="127"/>
      <c r="G659" s="138"/>
      <c r="H659" s="104"/>
    </row>
    <row r="660" spans="1:8" x14ac:dyDescent="0.2">
      <c r="A660" s="127"/>
      <c r="B660" s="127"/>
      <c r="C660" s="127"/>
      <c r="D660" s="127"/>
      <c r="E660" s="132"/>
      <c r="F660" s="127"/>
      <c r="G660" s="138"/>
      <c r="H660" s="104"/>
    </row>
    <row r="661" spans="1:8" x14ac:dyDescent="0.2">
      <c r="A661" s="127"/>
      <c r="B661" s="127"/>
      <c r="C661" s="127"/>
      <c r="D661" s="127"/>
      <c r="E661" s="132"/>
      <c r="F661" s="127"/>
      <c r="G661" s="138"/>
      <c r="H661" s="104"/>
    </row>
    <row r="662" spans="1:8" x14ac:dyDescent="0.2">
      <c r="A662" s="127"/>
      <c r="B662" s="127"/>
      <c r="C662" s="127"/>
      <c r="D662" s="127"/>
      <c r="E662" s="132"/>
      <c r="F662" s="127"/>
      <c r="G662" s="138"/>
      <c r="H662" s="104"/>
    </row>
    <row r="663" spans="1:8" x14ac:dyDescent="0.2">
      <c r="A663" s="127"/>
      <c r="B663" s="127"/>
      <c r="C663" s="127"/>
      <c r="D663" s="127"/>
      <c r="E663" s="132"/>
      <c r="F663" s="127"/>
      <c r="G663" s="138"/>
      <c r="H663" s="104"/>
    </row>
    <row r="664" spans="1:8" x14ac:dyDescent="0.2">
      <c r="A664" s="127"/>
      <c r="B664" s="127"/>
      <c r="C664" s="127"/>
      <c r="D664" s="127"/>
      <c r="E664" s="132"/>
      <c r="F664" s="127"/>
      <c r="G664" s="138"/>
      <c r="H664" s="104"/>
    </row>
    <row r="665" spans="1:8" x14ac:dyDescent="0.2">
      <c r="A665" s="127"/>
      <c r="B665" s="127"/>
      <c r="C665" s="127"/>
      <c r="D665" s="127"/>
      <c r="E665" s="132"/>
      <c r="F665" s="127"/>
      <c r="G665" s="138"/>
      <c r="H665" s="104"/>
    </row>
    <row r="666" spans="1:8" x14ac:dyDescent="0.2">
      <c r="A666" s="127"/>
      <c r="B666" s="127"/>
      <c r="C666" s="127"/>
      <c r="D666" s="127"/>
      <c r="E666" s="132"/>
      <c r="F666" s="127"/>
      <c r="G666" s="138"/>
      <c r="H666" s="104"/>
    </row>
    <row r="667" spans="1:8" x14ac:dyDescent="0.2">
      <c r="A667" s="127"/>
      <c r="B667" s="127"/>
      <c r="C667" s="127"/>
      <c r="D667" s="127"/>
      <c r="E667" s="132"/>
      <c r="F667" s="127"/>
      <c r="G667" s="138"/>
      <c r="H667" s="104"/>
    </row>
    <row r="668" spans="1:8" x14ac:dyDescent="0.2">
      <c r="A668" s="127"/>
      <c r="B668" s="127"/>
      <c r="C668" s="127"/>
      <c r="D668" s="127"/>
      <c r="E668" s="132"/>
      <c r="F668" s="127"/>
      <c r="G668" s="138"/>
      <c r="H668" s="104"/>
    </row>
    <row r="669" spans="1:8" x14ac:dyDescent="0.2">
      <c r="A669" s="127"/>
      <c r="B669" s="127"/>
      <c r="C669" s="127"/>
      <c r="D669" s="127"/>
      <c r="E669" s="132"/>
      <c r="F669" s="127"/>
      <c r="G669" s="138"/>
      <c r="H669" s="104"/>
    </row>
    <row r="670" spans="1:8" x14ac:dyDescent="0.2">
      <c r="A670" s="127"/>
      <c r="B670" s="127"/>
      <c r="C670" s="127"/>
      <c r="D670" s="127"/>
      <c r="E670" s="132"/>
      <c r="F670" s="127"/>
      <c r="G670" s="138"/>
      <c r="H670" s="104"/>
    </row>
    <row r="671" spans="1:8" x14ac:dyDescent="0.2">
      <c r="A671" s="127"/>
      <c r="B671" s="127"/>
      <c r="C671" s="127"/>
      <c r="D671" s="127"/>
      <c r="E671" s="132"/>
      <c r="F671" s="127"/>
      <c r="G671" s="138"/>
      <c r="H671" s="104"/>
    </row>
    <row r="672" spans="1:8" x14ac:dyDescent="0.2">
      <c r="A672" s="127"/>
      <c r="B672" s="127"/>
      <c r="C672" s="127"/>
      <c r="D672" s="127"/>
      <c r="E672" s="132"/>
      <c r="F672" s="127"/>
      <c r="G672" s="138"/>
      <c r="H672" s="104"/>
    </row>
    <row r="673" spans="1:8" x14ac:dyDescent="0.2">
      <c r="A673" s="127"/>
      <c r="B673" s="127"/>
      <c r="C673" s="127"/>
      <c r="D673" s="127"/>
      <c r="E673" s="132"/>
      <c r="F673" s="127"/>
      <c r="G673" s="138"/>
      <c r="H673" s="104"/>
    </row>
    <row r="674" spans="1:8" x14ac:dyDescent="0.2">
      <c r="A674" s="127"/>
      <c r="B674" s="127"/>
      <c r="C674" s="127"/>
      <c r="D674" s="127"/>
      <c r="E674" s="132"/>
      <c r="F674" s="127"/>
      <c r="G674" s="138"/>
      <c r="H674" s="104"/>
    </row>
    <row r="675" spans="1:8" x14ac:dyDescent="0.2">
      <c r="A675" s="127"/>
      <c r="B675" s="127"/>
      <c r="C675" s="127"/>
      <c r="D675" s="127"/>
      <c r="E675" s="132"/>
      <c r="F675" s="127"/>
      <c r="G675" s="138"/>
      <c r="H675" s="104"/>
    </row>
    <row r="676" spans="1:8" x14ac:dyDescent="0.2">
      <c r="A676" s="127"/>
      <c r="B676" s="127"/>
      <c r="C676" s="127"/>
      <c r="D676" s="127"/>
      <c r="E676" s="132"/>
      <c r="F676" s="127"/>
      <c r="G676" s="138"/>
      <c r="H676" s="104"/>
    </row>
    <row r="677" spans="1:8" x14ac:dyDescent="0.2">
      <c r="A677" s="127"/>
      <c r="B677" s="127"/>
      <c r="C677" s="127"/>
      <c r="D677" s="127"/>
      <c r="E677" s="132"/>
      <c r="F677" s="127"/>
      <c r="G677" s="138"/>
      <c r="H677" s="104"/>
    </row>
    <row r="678" spans="1:8" x14ac:dyDescent="0.2">
      <c r="A678" s="127"/>
      <c r="B678" s="127"/>
      <c r="C678" s="127"/>
      <c r="D678" s="127"/>
      <c r="E678" s="132"/>
      <c r="F678" s="127"/>
      <c r="G678" s="138"/>
      <c r="H678" s="104"/>
    </row>
    <row r="679" spans="1:8" x14ac:dyDescent="0.2">
      <c r="A679" s="127"/>
      <c r="B679" s="127"/>
      <c r="C679" s="127"/>
      <c r="D679" s="127"/>
      <c r="E679" s="132"/>
      <c r="F679" s="127"/>
      <c r="G679" s="138"/>
      <c r="H679" s="104"/>
    </row>
    <row r="680" spans="1:8" x14ac:dyDescent="0.2">
      <c r="A680" s="127"/>
      <c r="B680" s="127"/>
      <c r="C680" s="127"/>
      <c r="D680" s="127"/>
      <c r="E680" s="132"/>
      <c r="F680" s="127"/>
      <c r="G680" s="138"/>
      <c r="H680" s="104"/>
    </row>
    <row r="681" spans="1:8" x14ac:dyDescent="0.2">
      <c r="A681" s="127"/>
      <c r="B681" s="127"/>
      <c r="C681" s="127"/>
      <c r="D681" s="127"/>
      <c r="E681" s="132"/>
      <c r="F681" s="127"/>
      <c r="G681" s="138"/>
      <c r="H681" s="104"/>
    </row>
    <row r="682" spans="1:8" x14ac:dyDescent="0.2">
      <c r="A682" s="127"/>
      <c r="B682" s="127"/>
      <c r="C682" s="127"/>
      <c r="D682" s="127"/>
      <c r="E682" s="132"/>
      <c r="F682" s="127"/>
      <c r="G682" s="138"/>
      <c r="H682" s="104"/>
    </row>
    <row r="683" spans="1:8" x14ac:dyDescent="0.2">
      <c r="A683" s="127"/>
      <c r="B683" s="127"/>
      <c r="C683" s="127"/>
      <c r="D683" s="127"/>
      <c r="E683" s="132"/>
      <c r="F683" s="127"/>
      <c r="G683" s="138"/>
      <c r="H683" s="104"/>
    </row>
    <row r="684" spans="1:8" x14ac:dyDescent="0.2">
      <c r="A684" s="127"/>
      <c r="B684" s="127"/>
      <c r="C684" s="127"/>
      <c r="D684" s="127"/>
      <c r="E684" s="132"/>
      <c r="F684" s="127"/>
      <c r="G684" s="138"/>
      <c r="H684" s="104"/>
    </row>
    <row r="685" spans="1:8" x14ac:dyDescent="0.2">
      <c r="A685" s="127"/>
      <c r="B685" s="127"/>
      <c r="C685" s="127"/>
      <c r="D685" s="127"/>
      <c r="E685" s="132"/>
      <c r="F685" s="127"/>
      <c r="G685" s="138"/>
      <c r="H685" s="104"/>
    </row>
    <row r="686" spans="1:8" x14ac:dyDescent="0.2">
      <c r="A686" s="127"/>
      <c r="B686" s="127"/>
      <c r="C686" s="127"/>
      <c r="D686" s="127"/>
      <c r="E686" s="132"/>
      <c r="F686" s="127"/>
      <c r="G686" s="138"/>
      <c r="H686" s="104"/>
    </row>
    <row r="687" spans="1:8" x14ac:dyDescent="0.2">
      <c r="A687" s="127"/>
      <c r="B687" s="127"/>
      <c r="C687" s="127"/>
      <c r="D687" s="127"/>
      <c r="E687" s="132"/>
      <c r="F687" s="127"/>
      <c r="G687" s="138"/>
      <c r="H687" s="104"/>
    </row>
    <row r="688" spans="1:8" x14ac:dyDescent="0.2">
      <c r="A688" s="127"/>
      <c r="B688" s="127"/>
      <c r="C688" s="127"/>
      <c r="D688" s="127"/>
      <c r="E688" s="132"/>
      <c r="F688" s="127"/>
      <c r="G688" s="138"/>
      <c r="H688" s="104"/>
    </row>
    <row r="689" spans="1:8" x14ac:dyDescent="0.2">
      <c r="A689" s="127"/>
      <c r="B689" s="127"/>
      <c r="C689" s="127"/>
      <c r="D689" s="127"/>
      <c r="E689" s="132"/>
      <c r="F689" s="127"/>
      <c r="G689" s="138"/>
      <c r="H689" s="104"/>
    </row>
    <row r="690" spans="1:8" x14ac:dyDescent="0.2">
      <c r="A690" s="127"/>
      <c r="B690" s="127"/>
      <c r="C690" s="127"/>
      <c r="D690" s="127"/>
      <c r="E690" s="132"/>
      <c r="F690" s="127"/>
      <c r="G690" s="138"/>
      <c r="H690" s="104"/>
    </row>
    <row r="691" spans="1:8" x14ac:dyDescent="0.2">
      <c r="A691" s="127"/>
      <c r="B691" s="127"/>
      <c r="C691" s="127"/>
      <c r="D691" s="127"/>
      <c r="E691" s="132"/>
      <c r="F691" s="127"/>
      <c r="G691" s="138"/>
      <c r="H691" s="104"/>
    </row>
    <row r="692" spans="1:8" x14ac:dyDescent="0.2">
      <c r="A692" s="127"/>
      <c r="B692" s="127"/>
      <c r="C692" s="127"/>
      <c r="D692" s="127"/>
      <c r="E692" s="132"/>
      <c r="F692" s="127"/>
      <c r="G692" s="138"/>
      <c r="H692" s="104"/>
    </row>
    <row r="693" spans="1:8" x14ac:dyDescent="0.2">
      <c r="A693" s="127"/>
      <c r="B693" s="127"/>
      <c r="C693" s="127"/>
      <c r="D693" s="127"/>
      <c r="E693" s="132"/>
      <c r="F693" s="127"/>
      <c r="G693" s="138"/>
      <c r="H693" s="104"/>
    </row>
    <row r="694" spans="1:8" x14ac:dyDescent="0.2">
      <c r="A694" s="127"/>
      <c r="B694" s="127"/>
      <c r="C694" s="127"/>
      <c r="D694" s="127"/>
      <c r="E694" s="132"/>
      <c r="F694" s="127"/>
      <c r="G694" s="138"/>
      <c r="H694" s="104"/>
    </row>
    <row r="695" spans="1:8" x14ac:dyDescent="0.2">
      <c r="A695" s="127"/>
      <c r="B695" s="127"/>
      <c r="C695" s="127"/>
      <c r="D695" s="127"/>
      <c r="E695" s="132"/>
      <c r="F695" s="127"/>
      <c r="G695" s="138"/>
      <c r="H695" s="104"/>
    </row>
    <row r="696" spans="1:8" x14ac:dyDescent="0.2">
      <c r="A696" s="127"/>
      <c r="B696" s="127"/>
      <c r="C696" s="127"/>
      <c r="D696" s="127"/>
      <c r="E696" s="132"/>
      <c r="F696" s="127"/>
      <c r="G696" s="138"/>
      <c r="H696" s="104"/>
    </row>
    <row r="697" spans="1:8" x14ac:dyDescent="0.2">
      <c r="A697" s="127"/>
      <c r="B697" s="127"/>
      <c r="C697" s="127"/>
      <c r="D697" s="127"/>
      <c r="E697" s="132"/>
      <c r="F697" s="127"/>
      <c r="G697" s="138"/>
      <c r="H697" s="104"/>
    </row>
    <row r="698" spans="1:8" x14ac:dyDescent="0.2">
      <c r="A698" s="127"/>
      <c r="B698" s="127"/>
      <c r="C698" s="127"/>
      <c r="D698" s="127"/>
      <c r="E698" s="132"/>
      <c r="F698" s="127"/>
      <c r="G698" s="138"/>
      <c r="H698" s="104"/>
    </row>
    <row r="699" spans="1:8" x14ac:dyDescent="0.2">
      <c r="A699" s="127"/>
      <c r="B699" s="127"/>
      <c r="C699" s="127"/>
      <c r="D699" s="127"/>
      <c r="E699" s="132"/>
      <c r="F699" s="127"/>
      <c r="G699" s="138"/>
      <c r="H699" s="104"/>
    </row>
    <row r="700" spans="1:8" x14ac:dyDescent="0.2">
      <c r="A700" s="127"/>
      <c r="B700" s="127"/>
      <c r="C700" s="127"/>
      <c r="D700" s="127"/>
      <c r="E700" s="132"/>
      <c r="F700" s="127"/>
      <c r="G700" s="138"/>
      <c r="H700" s="104"/>
    </row>
    <row r="701" spans="1:8" x14ac:dyDescent="0.2">
      <c r="A701" s="127"/>
      <c r="B701" s="127"/>
      <c r="C701" s="127"/>
      <c r="D701" s="127"/>
      <c r="E701" s="132"/>
      <c r="F701" s="127"/>
      <c r="G701" s="138"/>
      <c r="H701" s="104"/>
    </row>
    <row r="702" spans="1:8" x14ac:dyDescent="0.2">
      <c r="A702" s="127"/>
      <c r="B702" s="127"/>
      <c r="C702" s="127"/>
      <c r="D702" s="127"/>
      <c r="E702" s="132"/>
      <c r="F702" s="127"/>
      <c r="G702" s="138"/>
      <c r="H702" s="104"/>
    </row>
    <row r="703" spans="1:8" x14ac:dyDescent="0.2">
      <c r="A703" s="127"/>
      <c r="B703" s="127"/>
      <c r="C703" s="127"/>
      <c r="D703" s="127"/>
      <c r="E703" s="132"/>
      <c r="F703" s="127"/>
      <c r="G703" s="138"/>
      <c r="H703" s="104"/>
    </row>
    <row r="704" spans="1:8" x14ac:dyDescent="0.2">
      <c r="A704" s="127"/>
      <c r="B704" s="127"/>
      <c r="C704" s="127"/>
      <c r="D704" s="127"/>
      <c r="E704" s="132"/>
      <c r="F704" s="127"/>
      <c r="G704" s="138"/>
      <c r="H704" s="104"/>
    </row>
    <row r="705" spans="1:8" x14ac:dyDescent="0.2">
      <c r="A705" s="127"/>
      <c r="B705" s="127"/>
      <c r="C705" s="127"/>
      <c r="D705" s="127"/>
      <c r="E705" s="132"/>
      <c r="F705" s="127"/>
      <c r="G705" s="138"/>
      <c r="H705" s="104"/>
    </row>
    <row r="706" spans="1:8" x14ac:dyDescent="0.2">
      <c r="A706" s="127"/>
      <c r="B706" s="127"/>
      <c r="C706" s="127"/>
      <c r="D706" s="127"/>
      <c r="E706" s="132"/>
      <c r="F706" s="127"/>
      <c r="G706" s="138"/>
      <c r="H706" s="104"/>
    </row>
    <row r="707" spans="1:8" x14ac:dyDescent="0.2">
      <c r="A707" s="127"/>
      <c r="B707" s="127"/>
      <c r="C707" s="127"/>
      <c r="D707" s="127"/>
      <c r="E707" s="132"/>
      <c r="F707" s="127"/>
      <c r="G707" s="138"/>
      <c r="H707" s="104"/>
    </row>
    <row r="708" spans="1:8" x14ac:dyDescent="0.2">
      <c r="A708" s="127"/>
      <c r="B708" s="127"/>
      <c r="C708" s="127"/>
      <c r="D708" s="127"/>
      <c r="E708" s="132"/>
      <c r="F708" s="127"/>
      <c r="G708" s="138"/>
      <c r="H708" s="104"/>
    </row>
    <row r="709" spans="1:8" x14ac:dyDescent="0.2">
      <c r="A709" s="127"/>
      <c r="B709" s="127"/>
      <c r="C709" s="127"/>
      <c r="D709" s="127"/>
      <c r="E709" s="132"/>
      <c r="F709" s="127"/>
      <c r="G709" s="138"/>
      <c r="H709" s="104"/>
    </row>
    <row r="710" spans="1:8" x14ac:dyDescent="0.2">
      <c r="A710" s="127"/>
      <c r="B710" s="127"/>
      <c r="C710" s="127"/>
      <c r="D710" s="127"/>
      <c r="E710" s="132"/>
      <c r="F710" s="127"/>
      <c r="G710" s="138"/>
      <c r="H710" s="104"/>
    </row>
    <row r="711" spans="1:8" x14ac:dyDescent="0.2">
      <c r="A711" s="127"/>
      <c r="B711" s="127"/>
      <c r="C711" s="127"/>
      <c r="D711" s="127"/>
      <c r="E711" s="132"/>
      <c r="F711" s="127"/>
      <c r="G711" s="138"/>
      <c r="H711" s="104"/>
    </row>
    <row r="712" spans="1:8" x14ac:dyDescent="0.2">
      <c r="A712" s="127"/>
      <c r="B712" s="127"/>
      <c r="C712" s="127"/>
      <c r="D712" s="127"/>
      <c r="E712" s="132"/>
      <c r="F712" s="127"/>
      <c r="G712" s="138"/>
      <c r="H712" s="104"/>
    </row>
    <row r="713" spans="1:8" x14ac:dyDescent="0.2">
      <c r="A713" s="127"/>
      <c r="B713" s="127"/>
      <c r="C713" s="127"/>
      <c r="D713" s="127"/>
      <c r="E713" s="132"/>
      <c r="F713" s="127"/>
      <c r="G713" s="138"/>
      <c r="H713" s="104"/>
    </row>
    <row r="714" spans="1:8" x14ac:dyDescent="0.2">
      <c r="A714" s="127"/>
      <c r="B714" s="127"/>
      <c r="C714" s="127"/>
      <c r="D714" s="127"/>
      <c r="E714" s="132"/>
      <c r="F714" s="127"/>
      <c r="G714" s="138"/>
      <c r="H714" s="104"/>
    </row>
    <row r="715" spans="1:8" x14ac:dyDescent="0.2">
      <c r="A715" s="127"/>
      <c r="B715" s="127"/>
      <c r="C715" s="127"/>
      <c r="D715" s="127"/>
      <c r="E715" s="132"/>
      <c r="F715" s="127"/>
      <c r="G715" s="138"/>
      <c r="H715" s="104"/>
    </row>
    <row r="716" spans="1:8" x14ac:dyDescent="0.2">
      <c r="A716" s="127"/>
      <c r="B716" s="127"/>
      <c r="C716" s="127"/>
      <c r="D716" s="127"/>
      <c r="E716" s="132"/>
      <c r="F716" s="127"/>
      <c r="G716" s="138"/>
      <c r="H716" s="104"/>
    </row>
    <row r="717" spans="1:8" x14ac:dyDescent="0.2">
      <c r="A717" s="127"/>
      <c r="B717" s="127"/>
      <c r="C717" s="127"/>
      <c r="D717" s="127"/>
      <c r="E717" s="132"/>
      <c r="F717" s="127"/>
      <c r="G717" s="138"/>
      <c r="H717" s="104"/>
    </row>
    <row r="718" spans="1:8" x14ac:dyDescent="0.2">
      <c r="A718" s="127"/>
      <c r="B718" s="127"/>
      <c r="C718" s="127"/>
      <c r="D718" s="127"/>
      <c r="E718" s="132"/>
      <c r="F718" s="127"/>
      <c r="G718" s="138"/>
      <c r="H718" s="104"/>
    </row>
    <row r="719" spans="1:8" x14ac:dyDescent="0.2">
      <c r="A719" s="127"/>
      <c r="B719" s="127"/>
      <c r="C719" s="127"/>
      <c r="D719" s="127"/>
      <c r="E719" s="132"/>
      <c r="F719" s="127"/>
      <c r="G719" s="138"/>
      <c r="H719" s="104"/>
    </row>
    <row r="720" spans="1:8" x14ac:dyDescent="0.2">
      <c r="A720" s="127"/>
      <c r="B720" s="127"/>
      <c r="C720" s="127"/>
      <c r="D720" s="127"/>
      <c r="E720" s="132"/>
      <c r="F720" s="127"/>
      <c r="G720" s="138"/>
      <c r="H720" s="104"/>
    </row>
    <row r="721" spans="1:8" x14ac:dyDescent="0.2">
      <c r="A721" s="127"/>
      <c r="B721" s="127"/>
      <c r="C721" s="127"/>
      <c r="D721" s="127"/>
      <c r="E721" s="132"/>
      <c r="F721" s="127"/>
      <c r="G721" s="138"/>
      <c r="H721" s="104"/>
    </row>
    <row r="722" spans="1:8" x14ac:dyDescent="0.2">
      <c r="A722" s="127"/>
      <c r="B722" s="127"/>
      <c r="C722" s="127"/>
      <c r="D722" s="127"/>
      <c r="E722" s="132"/>
      <c r="F722" s="127"/>
      <c r="G722" s="138"/>
      <c r="H722" s="104"/>
    </row>
    <row r="723" spans="1:8" x14ac:dyDescent="0.2">
      <c r="A723" s="127"/>
      <c r="B723" s="127"/>
      <c r="C723" s="127"/>
      <c r="D723" s="127"/>
      <c r="E723" s="132"/>
      <c r="F723" s="127"/>
      <c r="G723" s="138"/>
      <c r="H723" s="105"/>
    </row>
    <row r="724" spans="1:8" x14ac:dyDescent="0.2">
      <c r="A724" s="127"/>
      <c r="B724" s="127"/>
      <c r="C724" s="127"/>
      <c r="D724" s="127"/>
      <c r="E724" s="132"/>
      <c r="F724" s="127"/>
      <c r="G724" s="138"/>
      <c r="H724" s="105"/>
    </row>
    <row r="725" spans="1:8" x14ac:dyDescent="0.2">
      <c r="A725" s="127"/>
      <c r="B725" s="127"/>
      <c r="C725" s="127"/>
      <c r="D725" s="127"/>
      <c r="E725" s="132"/>
      <c r="F725" s="127"/>
      <c r="G725" s="138"/>
      <c r="H725" s="105"/>
    </row>
    <row r="726" spans="1:8" x14ac:dyDescent="0.2">
      <c r="A726" s="127"/>
      <c r="B726" s="127"/>
      <c r="C726" s="127"/>
      <c r="D726" s="127"/>
      <c r="E726" s="132"/>
      <c r="F726" s="127"/>
      <c r="G726" s="138"/>
      <c r="H726" s="105"/>
    </row>
    <row r="727" spans="1:8" x14ac:dyDescent="0.2">
      <c r="A727" s="127"/>
      <c r="B727" s="127"/>
      <c r="C727" s="127"/>
      <c r="D727" s="127"/>
      <c r="E727" s="132"/>
      <c r="F727" s="127"/>
      <c r="G727" s="138"/>
      <c r="H727" s="105"/>
    </row>
    <row r="728" spans="1:8" x14ac:dyDescent="0.2">
      <c r="A728" s="127"/>
      <c r="B728" s="127"/>
      <c r="C728" s="127"/>
      <c r="D728" s="127"/>
      <c r="E728" s="132"/>
      <c r="F728" s="127"/>
      <c r="G728" s="138"/>
      <c r="H728" s="105"/>
    </row>
    <row r="729" spans="1:8" x14ac:dyDescent="0.2">
      <c r="A729" s="127"/>
      <c r="B729" s="127"/>
      <c r="C729" s="127"/>
      <c r="D729" s="127"/>
      <c r="E729" s="132"/>
      <c r="F729" s="127"/>
      <c r="G729" s="138"/>
      <c r="H729" s="105"/>
    </row>
    <row r="730" spans="1:8" x14ac:dyDescent="0.2">
      <c r="A730" s="127"/>
      <c r="B730" s="127"/>
      <c r="C730" s="127"/>
      <c r="D730" s="127"/>
      <c r="E730" s="132"/>
      <c r="F730" s="127"/>
      <c r="G730" s="138"/>
      <c r="H730" s="105"/>
    </row>
    <row r="731" spans="1:8" x14ac:dyDescent="0.2">
      <c r="A731" s="127"/>
      <c r="B731" s="127"/>
      <c r="C731" s="127"/>
      <c r="D731" s="127"/>
      <c r="E731" s="132"/>
      <c r="F731" s="127"/>
      <c r="G731" s="138"/>
      <c r="H731" s="105"/>
    </row>
    <row r="732" spans="1:8" x14ac:dyDescent="0.2">
      <c r="A732" s="127"/>
      <c r="B732" s="127"/>
      <c r="C732" s="127"/>
      <c r="D732" s="127"/>
      <c r="E732" s="132"/>
      <c r="F732" s="127"/>
      <c r="G732" s="138"/>
      <c r="H732" s="105"/>
    </row>
    <row r="733" spans="1:8" x14ac:dyDescent="0.2">
      <c r="A733" s="127"/>
      <c r="B733" s="127"/>
      <c r="C733" s="127"/>
      <c r="D733" s="127"/>
      <c r="E733" s="132"/>
      <c r="F733" s="127"/>
      <c r="G733" s="138"/>
      <c r="H733" s="105"/>
    </row>
    <row r="734" spans="1:8" x14ac:dyDescent="0.2">
      <c r="A734" s="127"/>
      <c r="B734" s="127"/>
      <c r="C734" s="127"/>
      <c r="D734" s="127"/>
      <c r="E734" s="132"/>
      <c r="F734" s="127"/>
      <c r="G734" s="138"/>
      <c r="H734" s="105"/>
    </row>
    <row r="735" spans="1:8" x14ac:dyDescent="0.2">
      <c r="A735" s="127"/>
      <c r="B735" s="127"/>
      <c r="C735" s="127"/>
      <c r="D735" s="127"/>
      <c r="E735" s="132"/>
      <c r="F735" s="127"/>
      <c r="G735" s="138"/>
      <c r="H735" s="105"/>
    </row>
    <row r="736" spans="1:8" x14ac:dyDescent="0.2">
      <c r="A736" s="127"/>
      <c r="B736" s="127"/>
      <c r="C736" s="127"/>
      <c r="D736" s="127"/>
      <c r="E736" s="132"/>
      <c r="F736" s="127"/>
      <c r="G736" s="138"/>
      <c r="H736" s="105"/>
    </row>
    <row r="737" spans="1:8" x14ac:dyDescent="0.2">
      <c r="A737" s="127"/>
      <c r="B737" s="127"/>
      <c r="C737" s="127"/>
      <c r="D737" s="127"/>
      <c r="E737" s="132"/>
      <c r="F737" s="127"/>
      <c r="G737" s="138"/>
      <c r="H737" s="105"/>
    </row>
    <row r="738" spans="1:8" x14ac:dyDescent="0.2">
      <c r="A738" s="127"/>
      <c r="B738" s="127"/>
      <c r="C738" s="127"/>
      <c r="D738" s="127"/>
      <c r="E738" s="132"/>
      <c r="F738" s="127"/>
      <c r="G738" s="138"/>
      <c r="H738" s="105"/>
    </row>
    <row r="739" spans="1:8" x14ac:dyDescent="0.2">
      <c r="A739" s="127"/>
      <c r="B739" s="127"/>
      <c r="C739" s="127"/>
      <c r="D739" s="127"/>
      <c r="E739" s="132"/>
      <c r="F739" s="127"/>
      <c r="G739" s="138"/>
      <c r="H739" s="105"/>
    </row>
    <row r="740" spans="1:8" x14ac:dyDescent="0.2">
      <c r="A740" s="127"/>
      <c r="B740" s="127"/>
      <c r="C740" s="127"/>
      <c r="D740" s="127"/>
      <c r="E740" s="132"/>
      <c r="F740" s="127"/>
      <c r="G740" s="138"/>
      <c r="H740" s="105"/>
    </row>
    <row r="741" spans="1:8" x14ac:dyDescent="0.2">
      <c r="A741" s="127"/>
      <c r="B741" s="127"/>
      <c r="C741" s="127"/>
      <c r="D741" s="127"/>
      <c r="E741" s="132"/>
      <c r="F741" s="127"/>
      <c r="G741" s="138"/>
      <c r="H741" s="105"/>
    </row>
    <row r="742" spans="1:8" x14ac:dyDescent="0.2">
      <c r="A742" s="127"/>
      <c r="B742" s="127"/>
      <c r="C742" s="127"/>
      <c r="D742" s="127"/>
      <c r="E742" s="132"/>
      <c r="F742" s="127"/>
      <c r="G742" s="138"/>
      <c r="H742" s="105"/>
    </row>
    <row r="743" spans="1:8" x14ac:dyDescent="0.2">
      <c r="A743" s="127"/>
      <c r="B743" s="127"/>
      <c r="C743" s="127"/>
      <c r="D743" s="127"/>
      <c r="E743" s="132"/>
      <c r="F743" s="127"/>
      <c r="G743" s="138"/>
      <c r="H743" s="105"/>
    </row>
    <row r="744" spans="1:8" x14ac:dyDescent="0.2">
      <c r="A744" s="127"/>
      <c r="B744" s="127"/>
      <c r="C744" s="127"/>
      <c r="D744" s="127"/>
      <c r="E744" s="132"/>
      <c r="F744" s="127"/>
      <c r="G744" s="138"/>
      <c r="H744" s="105"/>
    </row>
    <row r="745" spans="1:8" x14ac:dyDescent="0.2">
      <c r="A745" s="127"/>
      <c r="B745" s="127"/>
      <c r="C745" s="127"/>
      <c r="D745" s="127"/>
      <c r="E745" s="132"/>
      <c r="F745" s="127"/>
      <c r="G745" s="138"/>
      <c r="H745" s="105"/>
    </row>
  </sheetData>
  <mergeCells count="1">
    <mergeCell ref="A1:F1"/>
  </mergeCells>
  <pageMargins left="0.70866141732283472" right="0.70866141732283472" top="0.74803149606299213" bottom="0.74803149606299213" header="0.31496062992125984" footer="0.31496062992125984"/>
  <pageSetup paperSize="9" scale="82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35FBE-ECF8-4E45-BA0E-C23204B2A173}">
  <sheetPr>
    <pageSetUpPr fitToPage="1"/>
  </sheetPr>
  <dimension ref="A1:G225"/>
  <sheetViews>
    <sheetView topLeftCell="A215" workbookViewId="0">
      <selection activeCell="C224" sqref="C224"/>
    </sheetView>
  </sheetViews>
  <sheetFormatPr baseColWidth="10" defaultRowHeight="15" x14ac:dyDescent="0.25"/>
  <cols>
    <col min="2" max="2" width="45.42578125" customWidth="1"/>
    <col min="3" max="3" width="7.7109375" customWidth="1"/>
    <col min="4" max="4" width="12" customWidth="1"/>
    <col min="5" max="5" width="15.7109375" bestFit="1" customWidth="1"/>
    <col min="6" max="6" width="10.28515625" bestFit="1" customWidth="1"/>
    <col min="7" max="7" width="10.7109375" customWidth="1"/>
    <col min="12" max="12" width="21.140625" customWidth="1"/>
    <col min="258" max="258" width="45.42578125" customWidth="1"/>
    <col min="259" max="259" width="7.7109375" customWidth="1"/>
    <col min="260" max="260" width="12" customWidth="1"/>
    <col min="261" max="261" width="15.7109375" bestFit="1" customWidth="1"/>
    <col min="262" max="262" width="10.28515625" bestFit="1" customWidth="1"/>
    <col min="263" max="263" width="10.7109375" customWidth="1"/>
    <col min="514" max="514" width="45.42578125" customWidth="1"/>
    <col min="515" max="515" width="7.7109375" customWidth="1"/>
    <col min="516" max="516" width="12" customWidth="1"/>
    <col min="517" max="517" width="15.7109375" bestFit="1" customWidth="1"/>
    <col min="518" max="518" width="10.28515625" bestFit="1" customWidth="1"/>
    <col min="519" max="519" width="10.7109375" customWidth="1"/>
    <col min="770" max="770" width="45.42578125" customWidth="1"/>
    <col min="771" max="771" width="7.7109375" customWidth="1"/>
    <col min="772" max="772" width="12" customWidth="1"/>
    <col min="773" max="773" width="15.7109375" bestFit="1" customWidth="1"/>
    <col min="774" max="774" width="10.28515625" bestFit="1" customWidth="1"/>
    <col min="775" max="775" width="10.7109375" customWidth="1"/>
    <col min="1026" max="1026" width="45.42578125" customWidth="1"/>
    <col min="1027" max="1027" width="7.7109375" customWidth="1"/>
    <col min="1028" max="1028" width="12" customWidth="1"/>
    <col min="1029" max="1029" width="15.7109375" bestFit="1" customWidth="1"/>
    <col min="1030" max="1030" width="10.28515625" bestFit="1" customWidth="1"/>
    <col min="1031" max="1031" width="10.7109375" customWidth="1"/>
    <col min="1282" max="1282" width="45.42578125" customWidth="1"/>
    <col min="1283" max="1283" width="7.7109375" customWidth="1"/>
    <col min="1284" max="1284" width="12" customWidth="1"/>
    <col min="1285" max="1285" width="15.7109375" bestFit="1" customWidth="1"/>
    <col min="1286" max="1286" width="10.28515625" bestFit="1" customWidth="1"/>
    <col min="1287" max="1287" width="10.7109375" customWidth="1"/>
    <col min="1538" max="1538" width="45.42578125" customWidth="1"/>
    <col min="1539" max="1539" width="7.7109375" customWidth="1"/>
    <col min="1540" max="1540" width="12" customWidth="1"/>
    <col min="1541" max="1541" width="15.7109375" bestFit="1" customWidth="1"/>
    <col min="1542" max="1542" width="10.28515625" bestFit="1" customWidth="1"/>
    <col min="1543" max="1543" width="10.7109375" customWidth="1"/>
    <col min="1794" max="1794" width="45.42578125" customWidth="1"/>
    <col min="1795" max="1795" width="7.7109375" customWidth="1"/>
    <col min="1796" max="1796" width="12" customWidth="1"/>
    <col min="1797" max="1797" width="15.7109375" bestFit="1" customWidth="1"/>
    <col min="1798" max="1798" width="10.28515625" bestFit="1" customWidth="1"/>
    <col min="1799" max="1799" width="10.7109375" customWidth="1"/>
    <col min="2050" max="2050" width="45.42578125" customWidth="1"/>
    <col min="2051" max="2051" width="7.7109375" customWidth="1"/>
    <col min="2052" max="2052" width="12" customWidth="1"/>
    <col min="2053" max="2053" width="15.7109375" bestFit="1" customWidth="1"/>
    <col min="2054" max="2054" width="10.28515625" bestFit="1" customWidth="1"/>
    <col min="2055" max="2055" width="10.7109375" customWidth="1"/>
    <col min="2306" max="2306" width="45.42578125" customWidth="1"/>
    <col min="2307" max="2307" width="7.7109375" customWidth="1"/>
    <col min="2308" max="2308" width="12" customWidth="1"/>
    <col min="2309" max="2309" width="15.7109375" bestFit="1" customWidth="1"/>
    <col min="2310" max="2310" width="10.28515625" bestFit="1" customWidth="1"/>
    <col min="2311" max="2311" width="10.7109375" customWidth="1"/>
    <col min="2562" max="2562" width="45.42578125" customWidth="1"/>
    <col min="2563" max="2563" width="7.7109375" customWidth="1"/>
    <col min="2564" max="2564" width="12" customWidth="1"/>
    <col min="2565" max="2565" width="15.7109375" bestFit="1" customWidth="1"/>
    <col min="2566" max="2566" width="10.28515625" bestFit="1" customWidth="1"/>
    <col min="2567" max="2567" width="10.7109375" customWidth="1"/>
    <col min="2818" max="2818" width="45.42578125" customWidth="1"/>
    <col min="2819" max="2819" width="7.7109375" customWidth="1"/>
    <col min="2820" max="2820" width="12" customWidth="1"/>
    <col min="2821" max="2821" width="15.7109375" bestFit="1" customWidth="1"/>
    <col min="2822" max="2822" width="10.28515625" bestFit="1" customWidth="1"/>
    <col min="2823" max="2823" width="10.7109375" customWidth="1"/>
    <col min="3074" max="3074" width="45.42578125" customWidth="1"/>
    <col min="3075" max="3075" width="7.7109375" customWidth="1"/>
    <col min="3076" max="3076" width="12" customWidth="1"/>
    <col min="3077" max="3077" width="15.7109375" bestFit="1" customWidth="1"/>
    <col min="3078" max="3078" width="10.28515625" bestFit="1" customWidth="1"/>
    <col min="3079" max="3079" width="10.7109375" customWidth="1"/>
    <col min="3330" max="3330" width="45.42578125" customWidth="1"/>
    <col min="3331" max="3331" width="7.7109375" customWidth="1"/>
    <col min="3332" max="3332" width="12" customWidth="1"/>
    <col min="3333" max="3333" width="15.7109375" bestFit="1" customWidth="1"/>
    <col min="3334" max="3334" width="10.28515625" bestFit="1" customWidth="1"/>
    <col min="3335" max="3335" width="10.7109375" customWidth="1"/>
    <col min="3586" max="3586" width="45.42578125" customWidth="1"/>
    <col min="3587" max="3587" width="7.7109375" customWidth="1"/>
    <col min="3588" max="3588" width="12" customWidth="1"/>
    <col min="3589" max="3589" width="15.7109375" bestFit="1" customWidth="1"/>
    <col min="3590" max="3590" width="10.28515625" bestFit="1" customWidth="1"/>
    <col min="3591" max="3591" width="10.7109375" customWidth="1"/>
    <col min="3842" max="3842" width="45.42578125" customWidth="1"/>
    <col min="3843" max="3843" width="7.7109375" customWidth="1"/>
    <col min="3844" max="3844" width="12" customWidth="1"/>
    <col min="3845" max="3845" width="15.7109375" bestFit="1" customWidth="1"/>
    <col min="3846" max="3846" width="10.28515625" bestFit="1" customWidth="1"/>
    <col min="3847" max="3847" width="10.7109375" customWidth="1"/>
    <col min="4098" max="4098" width="45.42578125" customWidth="1"/>
    <col min="4099" max="4099" width="7.7109375" customWidth="1"/>
    <col min="4100" max="4100" width="12" customWidth="1"/>
    <col min="4101" max="4101" width="15.7109375" bestFit="1" customWidth="1"/>
    <col min="4102" max="4102" width="10.28515625" bestFit="1" customWidth="1"/>
    <col min="4103" max="4103" width="10.7109375" customWidth="1"/>
    <col min="4354" max="4354" width="45.42578125" customWidth="1"/>
    <col min="4355" max="4355" width="7.7109375" customWidth="1"/>
    <col min="4356" max="4356" width="12" customWidth="1"/>
    <col min="4357" max="4357" width="15.7109375" bestFit="1" customWidth="1"/>
    <col min="4358" max="4358" width="10.28515625" bestFit="1" customWidth="1"/>
    <col min="4359" max="4359" width="10.7109375" customWidth="1"/>
    <col min="4610" max="4610" width="45.42578125" customWidth="1"/>
    <col min="4611" max="4611" width="7.7109375" customWidth="1"/>
    <col min="4612" max="4612" width="12" customWidth="1"/>
    <col min="4613" max="4613" width="15.7109375" bestFit="1" customWidth="1"/>
    <col min="4614" max="4614" width="10.28515625" bestFit="1" customWidth="1"/>
    <col min="4615" max="4615" width="10.7109375" customWidth="1"/>
    <col min="4866" max="4866" width="45.42578125" customWidth="1"/>
    <col min="4867" max="4867" width="7.7109375" customWidth="1"/>
    <col min="4868" max="4868" width="12" customWidth="1"/>
    <col min="4869" max="4869" width="15.7109375" bestFit="1" customWidth="1"/>
    <col min="4870" max="4870" width="10.28515625" bestFit="1" customWidth="1"/>
    <col min="4871" max="4871" width="10.7109375" customWidth="1"/>
    <col min="5122" max="5122" width="45.42578125" customWidth="1"/>
    <col min="5123" max="5123" width="7.7109375" customWidth="1"/>
    <col min="5124" max="5124" width="12" customWidth="1"/>
    <col min="5125" max="5125" width="15.7109375" bestFit="1" customWidth="1"/>
    <col min="5126" max="5126" width="10.28515625" bestFit="1" customWidth="1"/>
    <col min="5127" max="5127" width="10.7109375" customWidth="1"/>
    <col min="5378" max="5378" width="45.42578125" customWidth="1"/>
    <col min="5379" max="5379" width="7.7109375" customWidth="1"/>
    <col min="5380" max="5380" width="12" customWidth="1"/>
    <col min="5381" max="5381" width="15.7109375" bestFit="1" customWidth="1"/>
    <col min="5382" max="5382" width="10.28515625" bestFit="1" customWidth="1"/>
    <col min="5383" max="5383" width="10.7109375" customWidth="1"/>
    <col min="5634" max="5634" width="45.42578125" customWidth="1"/>
    <col min="5635" max="5635" width="7.7109375" customWidth="1"/>
    <col min="5636" max="5636" width="12" customWidth="1"/>
    <col min="5637" max="5637" width="15.7109375" bestFit="1" customWidth="1"/>
    <col min="5638" max="5638" width="10.28515625" bestFit="1" customWidth="1"/>
    <col min="5639" max="5639" width="10.7109375" customWidth="1"/>
    <col min="5890" max="5890" width="45.42578125" customWidth="1"/>
    <col min="5891" max="5891" width="7.7109375" customWidth="1"/>
    <col min="5892" max="5892" width="12" customWidth="1"/>
    <col min="5893" max="5893" width="15.7109375" bestFit="1" customWidth="1"/>
    <col min="5894" max="5894" width="10.28515625" bestFit="1" customWidth="1"/>
    <col min="5895" max="5895" width="10.7109375" customWidth="1"/>
    <col min="6146" max="6146" width="45.42578125" customWidth="1"/>
    <col min="6147" max="6147" width="7.7109375" customWidth="1"/>
    <col min="6148" max="6148" width="12" customWidth="1"/>
    <col min="6149" max="6149" width="15.7109375" bestFit="1" customWidth="1"/>
    <col min="6150" max="6150" width="10.28515625" bestFit="1" customWidth="1"/>
    <col min="6151" max="6151" width="10.7109375" customWidth="1"/>
    <col min="6402" max="6402" width="45.42578125" customWidth="1"/>
    <col min="6403" max="6403" width="7.7109375" customWidth="1"/>
    <col min="6404" max="6404" width="12" customWidth="1"/>
    <col min="6405" max="6405" width="15.7109375" bestFit="1" customWidth="1"/>
    <col min="6406" max="6406" width="10.28515625" bestFit="1" customWidth="1"/>
    <col min="6407" max="6407" width="10.7109375" customWidth="1"/>
    <col min="6658" max="6658" width="45.42578125" customWidth="1"/>
    <col min="6659" max="6659" width="7.7109375" customWidth="1"/>
    <col min="6660" max="6660" width="12" customWidth="1"/>
    <col min="6661" max="6661" width="15.7109375" bestFit="1" customWidth="1"/>
    <col min="6662" max="6662" width="10.28515625" bestFit="1" customWidth="1"/>
    <col min="6663" max="6663" width="10.7109375" customWidth="1"/>
    <col min="6914" max="6914" width="45.42578125" customWidth="1"/>
    <col min="6915" max="6915" width="7.7109375" customWidth="1"/>
    <col min="6916" max="6916" width="12" customWidth="1"/>
    <col min="6917" max="6917" width="15.7109375" bestFit="1" customWidth="1"/>
    <col min="6918" max="6918" width="10.28515625" bestFit="1" customWidth="1"/>
    <col min="6919" max="6919" width="10.7109375" customWidth="1"/>
    <col min="7170" max="7170" width="45.42578125" customWidth="1"/>
    <col min="7171" max="7171" width="7.7109375" customWidth="1"/>
    <col min="7172" max="7172" width="12" customWidth="1"/>
    <col min="7173" max="7173" width="15.7109375" bestFit="1" customWidth="1"/>
    <col min="7174" max="7174" width="10.28515625" bestFit="1" customWidth="1"/>
    <col min="7175" max="7175" width="10.7109375" customWidth="1"/>
    <col min="7426" max="7426" width="45.42578125" customWidth="1"/>
    <col min="7427" max="7427" width="7.7109375" customWidth="1"/>
    <col min="7428" max="7428" width="12" customWidth="1"/>
    <col min="7429" max="7429" width="15.7109375" bestFit="1" customWidth="1"/>
    <col min="7430" max="7430" width="10.28515625" bestFit="1" customWidth="1"/>
    <col min="7431" max="7431" width="10.7109375" customWidth="1"/>
    <col min="7682" max="7682" width="45.42578125" customWidth="1"/>
    <col min="7683" max="7683" width="7.7109375" customWidth="1"/>
    <col min="7684" max="7684" width="12" customWidth="1"/>
    <col min="7685" max="7685" width="15.7109375" bestFit="1" customWidth="1"/>
    <col min="7686" max="7686" width="10.28515625" bestFit="1" customWidth="1"/>
    <col min="7687" max="7687" width="10.7109375" customWidth="1"/>
    <col min="7938" max="7938" width="45.42578125" customWidth="1"/>
    <col min="7939" max="7939" width="7.7109375" customWidth="1"/>
    <col min="7940" max="7940" width="12" customWidth="1"/>
    <col min="7941" max="7941" width="15.7109375" bestFit="1" customWidth="1"/>
    <col min="7942" max="7942" width="10.28515625" bestFit="1" customWidth="1"/>
    <col min="7943" max="7943" width="10.7109375" customWidth="1"/>
    <col min="8194" max="8194" width="45.42578125" customWidth="1"/>
    <col min="8195" max="8195" width="7.7109375" customWidth="1"/>
    <col min="8196" max="8196" width="12" customWidth="1"/>
    <col min="8197" max="8197" width="15.7109375" bestFit="1" customWidth="1"/>
    <col min="8198" max="8198" width="10.28515625" bestFit="1" customWidth="1"/>
    <col min="8199" max="8199" width="10.7109375" customWidth="1"/>
    <col min="8450" max="8450" width="45.42578125" customWidth="1"/>
    <col min="8451" max="8451" width="7.7109375" customWidth="1"/>
    <col min="8452" max="8452" width="12" customWidth="1"/>
    <col min="8453" max="8453" width="15.7109375" bestFit="1" customWidth="1"/>
    <col min="8454" max="8454" width="10.28515625" bestFit="1" customWidth="1"/>
    <col min="8455" max="8455" width="10.7109375" customWidth="1"/>
    <col min="8706" max="8706" width="45.42578125" customWidth="1"/>
    <col min="8707" max="8707" width="7.7109375" customWidth="1"/>
    <col min="8708" max="8708" width="12" customWidth="1"/>
    <col min="8709" max="8709" width="15.7109375" bestFit="1" customWidth="1"/>
    <col min="8710" max="8710" width="10.28515625" bestFit="1" customWidth="1"/>
    <col min="8711" max="8711" width="10.7109375" customWidth="1"/>
    <col min="8962" max="8962" width="45.42578125" customWidth="1"/>
    <col min="8963" max="8963" width="7.7109375" customWidth="1"/>
    <col min="8964" max="8964" width="12" customWidth="1"/>
    <col min="8965" max="8965" width="15.7109375" bestFit="1" customWidth="1"/>
    <col min="8966" max="8966" width="10.28515625" bestFit="1" customWidth="1"/>
    <col min="8967" max="8967" width="10.7109375" customWidth="1"/>
    <col min="9218" max="9218" width="45.42578125" customWidth="1"/>
    <col min="9219" max="9219" width="7.7109375" customWidth="1"/>
    <col min="9220" max="9220" width="12" customWidth="1"/>
    <col min="9221" max="9221" width="15.7109375" bestFit="1" customWidth="1"/>
    <col min="9222" max="9222" width="10.28515625" bestFit="1" customWidth="1"/>
    <col min="9223" max="9223" width="10.7109375" customWidth="1"/>
    <col min="9474" max="9474" width="45.42578125" customWidth="1"/>
    <col min="9475" max="9475" width="7.7109375" customWidth="1"/>
    <col min="9476" max="9476" width="12" customWidth="1"/>
    <col min="9477" max="9477" width="15.7109375" bestFit="1" customWidth="1"/>
    <col min="9478" max="9478" width="10.28515625" bestFit="1" customWidth="1"/>
    <col min="9479" max="9479" width="10.7109375" customWidth="1"/>
    <col min="9730" max="9730" width="45.42578125" customWidth="1"/>
    <col min="9731" max="9731" width="7.7109375" customWidth="1"/>
    <col min="9732" max="9732" width="12" customWidth="1"/>
    <col min="9733" max="9733" width="15.7109375" bestFit="1" customWidth="1"/>
    <col min="9734" max="9734" width="10.28515625" bestFit="1" customWidth="1"/>
    <col min="9735" max="9735" width="10.7109375" customWidth="1"/>
    <col min="9986" max="9986" width="45.42578125" customWidth="1"/>
    <col min="9987" max="9987" width="7.7109375" customWidth="1"/>
    <col min="9988" max="9988" width="12" customWidth="1"/>
    <col min="9989" max="9989" width="15.7109375" bestFit="1" customWidth="1"/>
    <col min="9990" max="9990" width="10.28515625" bestFit="1" customWidth="1"/>
    <col min="9991" max="9991" width="10.7109375" customWidth="1"/>
    <col min="10242" max="10242" width="45.42578125" customWidth="1"/>
    <col min="10243" max="10243" width="7.7109375" customWidth="1"/>
    <col min="10244" max="10244" width="12" customWidth="1"/>
    <col min="10245" max="10245" width="15.7109375" bestFit="1" customWidth="1"/>
    <col min="10246" max="10246" width="10.28515625" bestFit="1" customWidth="1"/>
    <col min="10247" max="10247" width="10.7109375" customWidth="1"/>
    <col min="10498" max="10498" width="45.42578125" customWidth="1"/>
    <col min="10499" max="10499" width="7.7109375" customWidth="1"/>
    <col min="10500" max="10500" width="12" customWidth="1"/>
    <col min="10501" max="10501" width="15.7109375" bestFit="1" customWidth="1"/>
    <col min="10502" max="10502" width="10.28515625" bestFit="1" customWidth="1"/>
    <col min="10503" max="10503" width="10.7109375" customWidth="1"/>
    <col min="10754" max="10754" width="45.42578125" customWidth="1"/>
    <col min="10755" max="10755" width="7.7109375" customWidth="1"/>
    <col min="10756" max="10756" width="12" customWidth="1"/>
    <col min="10757" max="10757" width="15.7109375" bestFit="1" customWidth="1"/>
    <col min="10758" max="10758" width="10.28515625" bestFit="1" customWidth="1"/>
    <col min="10759" max="10759" width="10.7109375" customWidth="1"/>
    <col min="11010" max="11010" width="45.42578125" customWidth="1"/>
    <col min="11011" max="11011" width="7.7109375" customWidth="1"/>
    <col min="11012" max="11012" width="12" customWidth="1"/>
    <col min="11013" max="11013" width="15.7109375" bestFit="1" customWidth="1"/>
    <col min="11014" max="11014" width="10.28515625" bestFit="1" customWidth="1"/>
    <col min="11015" max="11015" width="10.7109375" customWidth="1"/>
    <col min="11266" max="11266" width="45.42578125" customWidth="1"/>
    <col min="11267" max="11267" width="7.7109375" customWidth="1"/>
    <col min="11268" max="11268" width="12" customWidth="1"/>
    <col min="11269" max="11269" width="15.7109375" bestFit="1" customWidth="1"/>
    <col min="11270" max="11270" width="10.28515625" bestFit="1" customWidth="1"/>
    <col min="11271" max="11271" width="10.7109375" customWidth="1"/>
    <col min="11522" max="11522" width="45.42578125" customWidth="1"/>
    <col min="11523" max="11523" width="7.7109375" customWidth="1"/>
    <col min="11524" max="11524" width="12" customWidth="1"/>
    <col min="11525" max="11525" width="15.7109375" bestFit="1" customWidth="1"/>
    <col min="11526" max="11526" width="10.28515625" bestFit="1" customWidth="1"/>
    <col min="11527" max="11527" width="10.7109375" customWidth="1"/>
    <col min="11778" max="11778" width="45.42578125" customWidth="1"/>
    <col min="11779" max="11779" width="7.7109375" customWidth="1"/>
    <col min="11780" max="11780" width="12" customWidth="1"/>
    <col min="11781" max="11781" width="15.7109375" bestFit="1" customWidth="1"/>
    <col min="11782" max="11782" width="10.28515625" bestFit="1" customWidth="1"/>
    <col min="11783" max="11783" width="10.7109375" customWidth="1"/>
    <col min="12034" max="12034" width="45.42578125" customWidth="1"/>
    <col min="12035" max="12035" width="7.7109375" customWidth="1"/>
    <col min="12036" max="12036" width="12" customWidth="1"/>
    <col min="12037" max="12037" width="15.7109375" bestFit="1" customWidth="1"/>
    <col min="12038" max="12038" width="10.28515625" bestFit="1" customWidth="1"/>
    <col min="12039" max="12039" width="10.7109375" customWidth="1"/>
    <col min="12290" max="12290" width="45.42578125" customWidth="1"/>
    <col min="12291" max="12291" width="7.7109375" customWidth="1"/>
    <col min="12292" max="12292" width="12" customWidth="1"/>
    <col min="12293" max="12293" width="15.7109375" bestFit="1" customWidth="1"/>
    <col min="12294" max="12294" width="10.28515625" bestFit="1" customWidth="1"/>
    <col min="12295" max="12295" width="10.7109375" customWidth="1"/>
    <col min="12546" max="12546" width="45.42578125" customWidth="1"/>
    <col min="12547" max="12547" width="7.7109375" customWidth="1"/>
    <col min="12548" max="12548" width="12" customWidth="1"/>
    <col min="12549" max="12549" width="15.7109375" bestFit="1" customWidth="1"/>
    <col min="12550" max="12550" width="10.28515625" bestFit="1" customWidth="1"/>
    <col min="12551" max="12551" width="10.7109375" customWidth="1"/>
    <col min="12802" max="12802" width="45.42578125" customWidth="1"/>
    <col min="12803" max="12803" width="7.7109375" customWidth="1"/>
    <col min="12804" max="12804" width="12" customWidth="1"/>
    <col min="12805" max="12805" width="15.7109375" bestFit="1" customWidth="1"/>
    <col min="12806" max="12806" width="10.28515625" bestFit="1" customWidth="1"/>
    <col min="12807" max="12807" width="10.7109375" customWidth="1"/>
    <col min="13058" max="13058" width="45.42578125" customWidth="1"/>
    <col min="13059" max="13059" width="7.7109375" customWidth="1"/>
    <col min="13060" max="13060" width="12" customWidth="1"/>
    <col min="13061" max="13061" width="15.7109375" bestFit="1" customWidth="1"/>
    <col min="13062" max="13062" width="10.28515625" bestFit="1" customWidth="1"/>
    <col min="13063" max="13063" width="10.7109375" customWidth="1"/>
    <col min="13314" max="13314" width="45.42578125" customWidth="1"/>
    <col min="13315" max="13315" width="7.7109375" customWidth="1"/>
    <col min="13316" max="13316" width="12" customWidth="1"/>
    <col min="13317" max="13317" width="15.7109375" bestFit="1" customWidth="1"/>
    <col min="13318" max="13318" width="10.28515625" bestFit="1" customWidth="1"/>
    <col min="13319" max="13319" width="10.7109375" customWidth="1"/>
    <col min="13570" max="13570" width="45.42578125" customWidth="1"/>
    <col min="13571" max="13571" width="7.7109375" customWidth="1"/>
    <col min="13572" max="13572" width="12" customWidth="1"/>
    <col min="13573" max="13573" width="15.7109375" bestFit="1" customWidth="1"/>
    <col min="13574" max="13574" width="10.28515625" bestFit="1" customWidth="1"/>
    <col min="13575" max="13575" width="10.7109375" customWidth="1"/>
    <col min="13826" max="13826" width="45.42578125" customWidth="1"/>
    <col min="13827" max="13827" width="7.7109375" customWidth="1"/>
    <col min="13828" max="13828" width="12" customWidth="1"/>
    <col min="13829" max="13829" width="15.7109375" bestFit="1" customWidth="1"/>
    <col min="13830" max="13830" width="10.28515625" bestFit="1" customWidth="1"/>
    <col min="13831" max="13831" width="10.7109375" customWidth="1"/>
    <col min="14082" max="14082" width="45.42578125" customWidth="1"/>
    <col min="14083" max="14083" width="7.7109375" customWidth="1"/>
    <col min="14084" max="14084" width="12" customWidth="1"/>
    <col min="14085" max="14085" width="15.7109375" bestFit="1" customWidth="1"/>
    <col min="14086" max="14086" width="10.28515625" bestFit="1" customWidth="1"/>
    <col min="14087" max="14087" width="10.7109375" customWidth="1"/>
    <col min="14338" max="14338" width="45.42578125" customWidth="1"/>
    <col min="14339" max="14339" width="7.7109375" customWidth="1"/>
    <col min="14340" max="14340" width="12" customWidth="1"/>
    <col min="14341" max="14341" width="15.7109375" bestFit="1" customWidth="1"/>
    <col min="14342" max="14342" width="10.28515625" bestFit="1" customWidth="1"/>
    <col min="14343" max="14343" width="10.7109375" customWidth="1"/>
    <col min="14594" max="14594" width="45.42578125" customWidth="1"/>
    <col min="14595" max="14595" width="7.7109375" customWidth="1"/>
    <col min="14596" max="14596" width="12" customWidth="1"/>
    <col min="14597" max="14597" width="15.7109375" bestFit="1" customWidth="1"/>
    <col min="14598" max="14598" width="10.28515625" bestFit="1" customWidth="1"/>
    <col min="14599" max="14599" width="10.7109375" customWidth="1"/>
    <col min="14850" max="14850" width="45.42578125" customWidth="1"/>
    <col min="14851" max="14851" width="7.7109375" customWidth="1"/>
    <col min="14852" max="14852" width="12" customWidth="1"/>
    <col min="14853" max="14853" width="15.7109375" bestFit="1" customWidth="1"/>
    <col min="14854" max="14854" width="10.28515625" bestFit="1" customWidth="1"/>
    <col min="14855" max="14855" width="10.7109375" customWidth="1"/>
    <col min="15106" max="15106" width="45.42578125" customWidth="1"/>
    <col min="15107" max="15107" width="7.7109375" customWidth="1"/>
    <col min="15108" max="15108" width="12" customWidth="1"/>
    <col min="15109" max="15109" width="15.7109375" bestFit="1" customWidth="1"/>
    <col min="15110" max="15110" width="10.28515625" bestFit="1" customWidth="1"/>
    <col min="15111" max="15111" width="10.7109375" customWidth="1"/>
    <col min="15362" max="15362" width="45.42578125" customWidth="1"/>
    <col min="15363" max="15363" width="7.7109375" customWidth="1"/>
    <col min="15364" max="15364" width="12" customWidth="1"/>
    <col min="15365" max="15365" width="15.7109375" bestFit="1" customWidth="1"/>
    <col min="15366" max="15366" width="10.28515625" bestFit="1" customWidth="1"/>
    <col min="15367" max="15367" width="10.7109375" customWidth="1"/>
    <col min="15618" max="15618" width="45.42578125" customWidth="1"/>
    <col min="15619" max="15619" width="7.7109375" customWidth="1"/>
    <col min="15620" max="15620" width="12" customWidth="1"/>
    <col min="15621" max="15621" width="15.7109375" bestFit="1" customWidth="1"/>
    <col min="15622" max="15622" width="10.28515625" bestFit="1" customWidth="1"/>
    <col min="15623" max="15623" width="10.7109375" customWidth="1"/>
    <col min="15874" max="15874" width="45.42578125" customWidth="1"/>
    <col min="15875" max="15875" width="7.7109375" customWidth="1"/>
    <col min="15876" max="15876" width="12" customWidth="1"/>
    <col min="15877" max="15877" width="15.7109375" bestFit="1" customWidth="1"/>
    <col min="15878" max="15878" width="10.28515625" bestFit="1" customWidth="1"/>
    <col min="15879" max="15879" width="10.7109375" customWidth="1"/>
    <col min="16130" max="16130" width="45.42578125" customWidth="1"/>
    <col min="16131" max="16131" width="7.7109375" customWidth="1"/>
    <col min="16132" max="16132" width="12" customWidth="1"/>
    <col min="16133" max="16133" width="15.7109375" bestFit="1" customWidth="1"/>
    <col min="16134" max="16134" width="10.28515625" bestFit="1" customWidth="1"/>
    <col min="16135" max="16135" width="10.7109375" customWidth="1"/>
  </cols>
  <sheetData>
    <row r="1" spans="1:6" x14ac:dyDescent="0.25">
      <c r="A1" s="292" t="s">
        <v>6126</v>
      </c>
      <c r="B1" s="292"/>
      <c r="C1" s="292"/>
      <c r="D1" s="292"/>
      <c r="E1" s="292"/>
      <c r="F1" s="292"/>
    </row>
    <row r="2" spans="1:6" x14ac:dyDescent="0.25">
      <c r="A2" s="104" t="s">
        <v>542</v>
      </c>
      <c r="B2" s="104" t="s">
        <v>543</v>
      </c>
      <c r="C2" s="104" t="s">
        <v>9</v>
      </c>
      <c r="D2" s="104" t="s">
        <v>544</v>
      </c>
      <c r="E2" s="104" t="s">
        <v>5</v>
      </c>
      <c r="F2" s="104" t="s">
        <v>545</v>
      </c>
    </row>
    <row r="3" spans="1:6" x14ac:dyDescent="0.25">
      <c r="A3" s="105" t="str">
        <f>"3907791"</f>
        <v>3907791</v>
      </c>
      <c r="B3" s="105" t="s">
        <v>1084</v>
      </c>
      <c r="C3" s="105">
        <v>2.81</v>
      </c>
      <c r="D3" s="105">
        <v>349421</v>
      </c>
      <c r="E3" s="106">
        <v>44200.805115740739</v>
      </c>
      <c r="F3" s="104">
        <v>83</v>
      </c>
    </row>
    <row r="4" spans="1:6" x14ac:dyDescent="0.25">
      <c r="A4" s="105" t="str">
        <f>"3909223"</f>
        <v>3909223</v>
      </c>
      <c r="B4" s="105" t="s">
        <v>583</v>
      </c>
      <c r="C4" s="105">
        <v>8.49</v>
      </c>
      <c r="D4" s="105">
        <v>347369</v>
      </c>
      <c r="E4" s="106">
        <v>44200.919189814813</v>
      </c>
      <c r="F4" s="104">
        <v>135</v>
      </c>
    </row>
    <row r="5" spans="1:6" x14ac:dyDescent="0.25">
      <c r="A5" s="105" t="str">
        <f>"3945284"</f>
        <v>3945284</v>
      </c>
      <c r="B5" s="105" t="s">
        <v>579</v>
      </c>
      <c r="C5" s="105">
        <v>8.3800000000000008</v>
      </c>
      <c r="D5" s="105">
        <v>349042</v>
      </c>
      <c r="E5" s="106">
        <v>44200.919189814813</v>
      </c>
      <c r="F5" s="104">
        <v>84</v>
      </c>
    </row>
    <row r="6" spans="1:6" x14ac:dyDescent="0.25">
      <c r="A6" s="105" t="str">
        <f>"3909936"</f>
        <v>3909936</v>
      </c>
      <c r="B6" s="105" t="s">
        <v>560</v>
      </c>
      <c r="C6" s="105">
        <v>4.1900000000000004</v>
      </c>
      <c r="D6" s="105">
        <v>349312</v>
      </c>
      <c r="E6" s="106">
        <v>44200.919189814813</v>
      </c>
      <c r="F6" s="104">
        <v>85</v>
      </c>
    </row>
    <row r="7" spans="1:6" x14ac:dyDescent="0.25">
      <c r="A7" s="105" t="str">
        <f>"3960212"</f>
        <v>3960212</v>
      </c>
      <c r="B7" s="105" t="s">
        <v>574</v>
      </c>
      <c r="C7" s="105">
        <v>8.2200000000000006</v>
      </c>
      <c r="D7" s="105">
        <v>348908</v>
      </c>
      <c r="E7" s="106">
        <v>44200.919189814813</v>
      </c>
      <c r="F7" s="104">
        <v>86</v>
      </c>
    </row>
    <row r="8" spans="1:6" x14ac:dyDescent="0.25">
      <c r="A8" s="105" t="str">
        <f>"3900568"</f>
        <v>3900568</v>
      </c>
      <c r="B8" s="105" t="s">
        <v>1118</v>
      </c>
      <c r="C8" s="105">
        <v>1.87</v>
      </c>
      <c r="D8" s="105">
        <v>350027</v>
      </c>
      <c r="E8" s="106">
        <v>44200.919189814813</v>
      </c>
      <c r="F8" s="104">
        <v>87</v>
      </c>
    </row>
    <row r="9" spans="1:6" x14ac:dyDescent="0.25">
      <c r="A9" s="105" t="str">
        <f>"3902750"</f>
        <v>3902750</v>
      </c>
      <c r="B9" s="105" t="s">
        <v>563</v>
      </c>
      <c r="C9" s="105">
        <v>8.3800000000000008</v>
      </c>
      <c r="D9" s="105">
        <v>349030</v>
      </c>
      <c r="E9" s="106">
        <v>44200.919189814813</v>
      </c>
      <c r="F9" s="104">
        <v>88</v>
      </c>
    </row>
    <row r="10" spans="1:6" x14ac:dyDescent="0.25">
      <c r="A10" s="105" t="str">
        <f>"3960364"</f>
        <v>3960364</v>
      </c>
      <c r="B10" s="105" t="s">
        <v>576</v>
      </c>
      <c r="C10" s="105">
        <v>8.3800000000000008</v>
      </c>
      <c r="D10" s="105">
        <v>348937</v>
      </c>
      <c r="E10" s="106">
        <v>44200.919189814813</v>
      </c>
      <c r="F10" s="104">
        <v>89</v>
      </c>
    </row>
    <row r="11" spans="1:6" x14ac:dyDescent="0.25">
      <c r="A11" s="105" t="str">
        <f>"3945102"</f>
        <v>3945102</v>
      </c>
      <c r="B11" s="105" t="s">
        <v>572</v>
      </c>
      <c r="C11" s="105">
        <v>8.3800000000000008</v>
      </c>
      <c r="D11" s="105">
        <v>348925</v>
      </c>
      <c r="E11" s="106">
        <v>44200.919189814813</v>
      </c>
      <c r="F11" s="104">
        <v>90</v>
      </c>
    </row>
    <row r="12" spans="1:6" x14ac:dyDescent="0.25">
      <c r="A12" s="105" t="str">
        <f>"3907239"</f>
        <v>3907239</v>
      </c>
      <c r="B12" s="105" t="s">
        <v>573</v>
      </c>
      <c r="C12" s="105">
        <v>6.94</v>
      </c>
      <c r="D12" s="105">
        <v>349116</v>
      </c>
      <c r="E12" s="106">
        <v>44200.919189814813</v>
      </c>
      <c r="F12" s="104">
        <v>91</v>
      </c>
    </row>
    <row r="13" spans="1:6" x14ac:dyDescent="0.25">
      <c r="A13" s="105" t="str">
        <f>"3901398"</f>
        <v>3901398</v>
      </c>
      <c r="B13" s="105" t="s">
        <v>568</v>
      </c>
      <c r="C13" s="105">
        <v>3.7</v>
      </c>
      <c r="D13" s="105">
        <v>350069</v>
      </c>
      <c r="E13" s="106">
        <v>44200.919189814813</v>
      </c>
      <c r="F13" s="104">
        <v>92</v>
      </c>
    </row>
    <row r="14" spans="1:6" x14ac:dyDescent="0.25">
      <c r="A14" s="105" t="str">
        <f>"3903061"</f>
        <v>3903061</v>
      </c>
      <c r="B14" s="105" t="s">
        <v>569</v>
      </c>
      <c r="C14" s="105">
        <v>6.94</v>
      </c>
      <c r="D14" s="105">
        <v>349127</v>
      </c>
      <c r="E14" s="106">
        <v>44200.919189814813</v>
      </c>
      <c r="F14" s="104">
        <v>93</v>
      </c>
    </row>
    <row r="15" spans="1:6" x14ac:dyDescent="0.25">
      <c r="A15" s="105" t="str">
        <f>"3909039"</f>
        <v>3909039</v>
      </c>
      <c r="B15" s="105" t="s">
        <v>570</v>
      </c>
      <c r="C15" s="105">
        <v>1.9</v>
      </c>
      <c r="D15" s="105">
        <v>349629</v>
      </c>
      <c r="E15" s="106">
        <v>44200.919189814813</v>
      </c>
      <c r="F15" s="104">
        <v>94</v>
      </c>
    </row>
    <row r="16" spans="1:6" x14ac:dyDescent="0.25">
      <c r="A16" s="105" t="str">
        <f>"3945435"</f>
        <v>3945435</v>
      </c>
      <c r="B16" s="105" t="s">
        <v>571</v>
      </c>
      <c r="C16" s="105">
        <v>8.3800000000000008</v>
      </c>
      <c r="D16" s="105">
        <v>348963</v>
      </c>
      <c r="E16" s="106">
        <v>44200.919189814813</v>
      </c>
      <c r="F16" s="104">
        <v>95</v>
      </c>
    </row>
    <row r="17" spans="1:6" x14ac:dyDescent="0.25">
      <c r="A17" s="105" t="str">
        <f>"3903364"</f>
        <v>3903364</v>
      </c>
      <c r="B17" s="105" t="s">
        <v>564</v>
      </c>
      <c r="C17" s="105">
        <v>8.92</v>
      </c>
      <c r="D17" s="105">
        <v>349410</v>
      </c>
      <c r="E17" s="106">
        <v>44200.919189814813</v>
      </c>
      <c r="F17" s="104">
        <v>96</v>
      </c>
    </row>
    <row r="18" spans="1:6" x14ac:dyDescent="0.25">
      <c r="A18" s="105" t="str">
        <f>"3960315"</f>
        <v>3960315</v>
      </c>
      <c r="B18" s="105" t="s">
        <v>565</v>
      </c>
      <c r="C18" s="105">
        <v>4.2699999999999996</v>
      </c>
      <c r="D18" s="105">
        <v>348984</v>
      </c>
      <c r="E18" s="106">
        <v>44200.919189814813</v>
      </c>
      <c r="F18" s="104">
        <v>97</v>
      </c>
    </row>
    <row r="19" spans="1:6" x14ac:dyDescent="0.25">
      <c r="A19" s="105" t="str">
        <f>"3900349"</f>
        <v>3900349</v>
      </c>
      <c r="B19" s="105" t="s">
        <v>566</v>
      </c>
      <c r="C19" s="105">
        <v>1.98</v>
      </c>
      <c r="D19" s="105">
        <v>349970</v>
      </c>
      <c r="E19" s="106">
        <v>44200.919189814813</v>
      </c>
      <c r="F19" s="104">
        <v>98</v>
      </c>
    </row>
    <row r="20" spans="1:6" x14ac:dyDescent="0.25">
      <c r="A20" s="105" t="str">
        <f>"3903127"</f>
        <v>3903127</v>
      </c>
      <c r="B20" s="105" t="s">
        <v>577</v>
      </c>
      <c r="C20" s="105">
        <v>1.68</v>
      </c>
      <c r="D20" s="105">
        <v>349190</v>
      </c>
      <c r="E20" s="106">
        <v>44200.919189814813</v>
      </c>
      <c r="F20" s="104">
        <v>99</v>
      </c>
    </row>
    <row r="21" spans="1:6" x14ac:dyDescent="0.25">
      <c r="A21" s="105" t="str">
        <f>"3945105"</f>
        <v>3945105</v>
      </c>
      <c r="B21" s="105" t="s">
        <v>1093</v>
      </c>
      <c r="C21" s="105">
        <v>8.3800000000000008</v>
      </c>
      <c r="D21" s="105">
        <v>348931</v>
      </c>
      <c r="E21" s="106">
        <v>44200.919189814813</v>
      </c>
      <c r="F21" s="104">
        <v>100</v>
      </c>
    </row>
    <row r="22" spans="1:6" x14ac:dyDescent="0.25">
      <c r="A22" s="105" t="str">
        <f>"3907541"</f>
        <v>3907541</v>
      </c>
      <c r="B22" s="105" t="s">
        <v>578</v>
      </c>
      <c r="C22" s="105">
        <v>2.4300000000000002</v>
      </c>
      <c r="D22" s="105">
        <v>349205</v>
      </c>
      <c r="E22" s="106">
        <v>44200.919189814813</v>
      </c>
      <c r="F22" s="104">
        <v>101</v>
      </c>
    </row>
    <row r="23" spans="1:6" x14ac:dyDescent="0.25">
      <c r="A23" s="105" t="str">
        <f>"3902419"</f>
        <v>3902419</v>
      </c>
      <c r="B23" s="105" t="s">
        <v>561</v>
      </c>
      <c r="C23" s="105">
        <v>5.0599999999999996</v>
      </c>
      <c r="D23" s="105">
        <v>349804</v>
      </c>
      <c r="E23" s="106">
        <v>44200.919189814813</v>
      </c>
      <c r="F23" s="104">
        <v>102</v>
      </c>
    </row>
    <row r="24" spans="1:6" x14ac:dyDescent="0.25">
      <c r="A24" s="105" t="str">
        <f>"3903883"</f>
        <v>3903883</v>
      </c>
      <c r="B24" s="105" t="s">
        <v>1102</v>
      </c>
      <c r="C24" s="105">
        <v>1.68</v>
      </c>
      <c r="D24" s="105">
        <v>350416</v>
      </c>
      <c r="E24" s="106">
        <v>44200.919189814813</v>
      </c>
      <c r="F24" s="104">
        <v>103</v>
      </c>
    </row>
    <row r="25" spans="1:6" x14ac:dyDescent="0.25">
      <c r="A25" s="105" t="str">
        <f>"3903467"</f>
        <v>3903467</v>
      </c>
      <c r="B25" s="105" t="s">
        <v>562</v>
      </c>
      <c r="C25" s="105">
        <v>1.72</v>
      </c>
      <c r="D25" s="105">
        <v>349368</v>
      </c>
      <c r="E25" s="106">
        <v>44200.919189814813</v>
      </c>
      <c r="F25" s="104">
        <v>104</v>
      </c>
    </row>
    <row r="26" spans="1:6" x14ac:dyDescent="0.25">
      <c r="A26" s="105" t="str">
        <f>"3960277"</f>
        <v>3960277</v>
      </c>
      <c r="B26" s="105" t="s">
        <v>575</v>
      </c>
      <c r="C26" s="105">
        <v>7.82</v>
      </c>
      <c r="D26" s="105">
        <v>348899</v>
      </c>
      <c r="E26" s="106">
        <v>44200.919189814813</v>
      </c>
      <c r="F26" s="104">
        <v>105</v>
      </c>
    </row>
    <row r="27" spans="1:6" x14ac:dyDescent="0.25">
      <c r="A27" s="105" t="str">
        <f>"3950033"</f>
        <v>3950033</v>
      </c>
      <c r="B27" s="105" t="s">
        <v>567</v>
      </c>
      <c r="C27" s="105">
        <v>8.3800000000000008</v>
      </c>
      <c r="D27" s="105">
        <v>348888</v>
      </c>
      <c r="E27" s="106">
        <v>44200.919189814813</v>
      </c>
      <c r="F27" s="104">
        <v>106</v>
      </c>
    </row>
    <row r="28" spans="1:6" x14ac:dyDescent="0.25">
      <c r="A28" s="105" t="str">
        <f>"3900676"</f>
        <v>3900676</v>
      </c>
      <c r="B28" s="105" t="s">
        <v>1103</v>
      </c>
      <c r="C28" s="105">
        <v>1.7</v>
      </c>
      <c r="D28" s="105">
        <v>350326</v>
      </c>
      <c r="E28" s="106">
        <v>44200.919189814813</v>
      </c>
      <c r="F28" s="104">
        <v>107</v>
      </c>
    </row>
    <row r="29" spans="1:6" x14ac:dyDescent="0.25">
      <c r="A29" s="105" t="str">
        <f>"3940013"</f>
        <v>3940013</v>
      </c>
      <c r="B29" s="105" t="s">
        <v>590</v>
      </c>
      <c r="C29" s="105">
        <v>8.3800000000000008</v>
      </c>
      <c r="D29" s="105">
        <v>348874</v>
      </c>
      <c r="E29" s="106">
        <v>44200.919189814813</v>
      </c>
      <c r="F29" s="104">
        <v>108</v>
      </c>
    </row>
    <row r="30" spans="1:6" x14ac:dyDescent="0.25">
      <c r="A30" s="105" t="str">
        <f>"3906324"</f>
        <v>3906324</v>
      </c>
      <c r="B30" s="105" t="s">
        <v>591</v>
      </c>
      <c r="C30" s="105">
        <v>4.92</v>
      </c>
      <c r="D30" s="105">
        <v>349058</v>
      </c>
      <c r="E30" s="106">
        <v>44200.919189814813</v>
      </c>
      <c r="F30" s="104">
        <v>109</v>
      </c>
    </row>
    <row r="31" spans="1:6" x14ac:dyDescent="0.25">
      <c r="A31" s="105" t="str">
        <f>"3945272"</f>
        <v>3945272</v>
      </c>
      <c r="B31" s="105" t="s">
        <v>589</v>
      </c>
      <c r="C31" s="105">
        <v>4.1900000000000004</v>
      </c>
      <c r="D31" s="105">
        <v>349040</v>
      </c>
      <c r="E31" s="106">
        <v>44200.919189814813</v>
      </c>
      <c r="F31" s="104">
        <v>110</v>
      </c>
    </row>
    <row r="32" spans="1:6" x14ac:dyDescent="0.25">
      <c r="A32" s="105" t="str">
        <f>"3960264"</f>
        <v>3960264</v>
      </c>
      <c r="B32" s="105" t="s">
        <v>594</v>
      </c>
      <c r="C32" s="105">
        <v>7.82</v>
      </c>
      <c r="D32" s="105">
        <v>348878</v>
      </c>
      <c r="E32" s="106">
        <v>44200.919189814813</v>
      </c>
      <c r="F32" s="104">
        <v>111</v>
      </c>
    </row>
    <row r="33" spans="1:7" x14ac:dyDescent="0.25">
      <c r="A33" s="105" t="str">
        <f>"3960232"</f>
        <v>3960232</v>
      </c>
      <c r="B33" s="105" t="s">
        <v>595</v>
      </c>
      <c r="C33" s="105">
        <v>12.3</v>
      </c>
      <c r="D33" s="105">
        <v>348926</v>
      </c>
      <c r="E33" s="106">
        <v>44200.919189814813</v>
      </c>
      <c r="F33" s="104">
        <v>112</v>
      </c>
      <c r="G33" s="26"/>
    </row>
    <row r="34" spans="1:7" x14ac:dyDescent="0.25">
      <c r="A34" s="105" t="str">
        <f>"3901113"</f>
        <v>3901113</v>
      </c>
      <c r="B34" s="105" t="s">
        <v>592</v>
      </c>
      <c r="C34" s="105">
        <v>1.85</v>
      </c>
      <c r="D34" s="105">
        <v>349453</v>
      </c>
      <c r="E34" s="106">
        <v>44200.919189814813</v>
      </c>
      <c r="F34" s="104">
        <v>113</v>
      </c>
    </row>
    <row r="35" spans="1:7" x14ac:dyDescent="0.25">
      <c r="A35" s="105" t="str">
        <f>"3945262"</f>
        <v>3945262</v>
      </c>
      <c r="B35" s="105" t="s">
        <v>593</v>
      </c>
      <c r="C35" s="105">
        <v>3.36</v>
      </c>
      <c r="D35" s="105">
        <v>349043</v>
      </c>
      <c r="E35" s="106">
        <v>44200.919189814813</v>
      </c>
      <c r="F35" s="104">
        <v>116</v>
      </c>
    </row>
    <row r="36" spans="1:7" x14ac:dyDescent="0.25">
      <c r="A36" s="105" t="str">
        <f>"3909981"</f>
        <v>3909981</v>
      </c>
      <c r="B36" s="105" t="s">
        <v>582</v>
      </c>
      <c r="C36" s="105">
        <v>2.4</v>
      </c>
      <c r="D36" s="105">
        <v>349258</v>
      </c>
      <c r="E36" s="106">
        <v>44200.919189814813</v>
      </c>
      <c r="F36" s="104">
        <v>117</v>
      </c>
    </row>
    <row r="37" spans="1:7" x14ac:dyDescent="0.25">
      <c r="A37" s="105" t="str">
        <f>"3903098"</f>
        <v>3903098</v>
      </c>
      <c r="B37" s="105" t="s">
        <v>586</v>
      </c>
      <c r="C37" s="105">
        <v>3.47</v>
      </c>
      <c r="D37" s="105">
        <v>349136</v>
      </c>
      <c r="E37" s="106">
        <v>44200.919189814813</v>
      </c>
      <c r="F37" s="104">
        <v>118</v>
      </c>
    </row>
    <row r="38" spans="1:7" x14ac:dyDescent="0.25">
      <c r="A38" s="105" t="str">
        <f>"3950041"</f>
        <v>3950041</v>
      </c>
      <c r="B38" s="105" t="s">
        <v>587</v>
      </c>
      <c r="C38" s="105">
        <v>4.1900000000000004</v>
      </c>
      <c r="D38" s="105">
        <v>348887</v>
      </c>
      <c r="E38" s="106">
        <v>44200.919189814813</v>
      </c>
      <c r="F38" s="104">
        <v>119</v>
      </c>
    </row>
    <row r="39" spans="1:7" x14ac:dyDescent="0.25">
      <c r="A39" s="105" t="str">
        <f>"3920281"</f>
        <v>3920281</v>
      </c>
      <c r="B39" s="105" t="s">
        <v>588</v>
      </c>
      <c r="C39" s="105">
        <v>7.82</v>
      </c>
      <c r="D39" s="105">
        <v>348871</v>
      </c>
      <c r="E39" s="106">
        <v>44200.919189814813</v>
      </c>
      <c r="F39" s="104">
        <v>120</v>
      </c>
    </row>
    <row r="40" spans="1:7" x14ac:dyDescent="0.25">
      <c r="A40" s="105" t="str">
        <f>"3903282"</f>
        <v>3903282</v>
      </c>
      <c r="B40" s="105" t="s">
        <v>584</v>
      </c>
      <c r="C40" s="105">
        <v>1.95</v>
      </c>
      <c r="D40" s="105">
        <v>350186</v>
      </c>
      <c r="E40" s="106">
        <v>44200.919189814813</v>
      </c>
      <c r="F40" s="104">
        <v>122</v>
      </c>
    </row>
    <row r="41" spans="1:7" x14ac:dyDescent="0.25">
      <c r="A41" s="105" t="str">
        <f>"3950328"</f>
        <v>3950328</v>
      </c>
      <c r="B41" s="105" t="s">
        <v>585</v>
      </c>
      <c r="C41" s="105">
        <v>8.3800000000000008</v>
      </c>
      <c r="D41" s="105">
        <v>348987</v>
      </c>
      <c r="E41" s="106">
        <v>44200.919189814813</v>
      </c>
      <c r="F41" s="104">
        <v>123</v>
      </c>
    </row>
    <row r="42" spans="1:7" x14ac:dyDescent="0.25">
      <c r="A42" s="105" t="str">
        <f>"3960256"</f>
        <v>3960256</v>
      </c>
      <c r="B42" s="105" t="s">
        <v>580</v>
      </c>
      <c r="C42" s="105">
        <v>17.899999999999999</v>
      </c>
      <c r="D42" s="105">
        <v>348885</v>
      </c>
      <c r="E42" s="106">
        <v>44200.919189814813</v>
      </c>
      <c r="F42" s="104">
        <v>124</v>
      </c>
    </row>
    <row r="43" spans="1:7" x14ac:dyDescent="0.25">
      <c r="A43" s="105" t="str">
        <f>"3900389"</f>
        <v>3900389</v>
      </c>
      <c r="B43" s="105" t="s">
        <v>581</v>
      </c>
      <c r="C43" s="105">
        <v>2.17</v>
      </c>
      <c r="D43" s="105">
        <v>349980</v>
      </c>
      <c r="E43" s="106">
        <v>44200.919189814813</v>
      </c>
      <c r="F43" s="104">
        <v>125</v>
      </c>
    </row>
    <row r="44" spans="1:7" x14ac:dyDescent="0.25">
      <c r="A44" s="105" t="str">
        <f>"3908716"</f>
        <v>3908716</v>
      </c>
      <c r="B44" s="105" t="s">
        <v>597</v>
      </c>
      <c r="C44" s="105">
        <v>4.4000000000000004</v>
      </c>
      <c r="D44" s="105">
        <v>350740</v>
      </c>
      <c r="E44" s="106">
        <v>44200.919189814813</v>
      </c>
      <c r="F44" s="104">
        <v>126</v>
      </c>
    </row>
    <row r="45" spans="1:7" x14ac:dyDescent="0.25">
      <c r="A45" s="105" t="str">
        <f>"3906796"</f>
        <v>3906796</v>
      </c>
      <c r="B45" s="105" t="s">
        <v>596</v>
      </c>
      <c r="C45" s="105">
        <v>3.79</v>
      </c>
      <c r="D45" s="105">
        <v>350833</v>
      </c>
      <c r="E45" s="106">
        <v>44200.919189814813</v>
      </c>
      <c r="F45" s="104">
        <v>127</v>
      </c>
    </row>
    <row r="46" spans="1:7" x14ac:dyDescent="0.25">
      <c r="A46" s="105" t="str">
        <f>"3908672"</f>
        <v>3908672</v>
      </c>
      <c r="B46" s="105" t="s">
        <v>598</v>
      </c>
      <c r="C46" s="105">
        <v>1.94</v>
      </c>
      <c r="D46" s="105">
        <v>350732</v>
      </c>
      <c r="E46" s="106">
        <v>44200.919189814813</v>
      </c>
      <c r="F46" s="104">
        <v>128</v>
      </c>
    </row>
    <row r="47" spans="1:7" x14ac:dyDescent="0.25">
      <c r="A47" s="105" t="str">
        <f>"3900657"</f>
        <v>3900657</v>
      </c>
      <c r="B47" s="105" t="s">
        <v>599</v>
      </c>
      <c r="C47" s="105">
        <v>15.3</v>
      </c>
      <c r="D47" s="105">
        <v>350637</v>
      </c>
      <c r="E47" s="106">
        <v>44200.919189814813</v>
      </c>
      <c r="F47" s="104">
        <v>129</v>
      </c>
    </row>
    <row r="48" spans="1:7" x14ac:dyDescent="0.25">
      <c r="A48" s="105" t="str">
        <f>"3900340"</f>
        <v>3900340</v>
      </c>
      <c r="B48" s="105" t="s">
        <v>599</v>
      </c>
      <c r="C48" s="105">
        <v>15.3</v>
      </c>
      <c r="D48" s="105">
        <v>350638</v>
      </c>
      <c r="E48" s="106">
        <v>44200.919189814813</v>
      </c>
      <c r="F48" s="104">
        <v>130</v>
      </c>
    </row>
    <row r="49" spans="1:6" x14ac:dyDescent="0.25">
      <c r="A49" s="105" t="str">
        <f>"3900344"</f>
        <v>3900344</v>
      </c>
      <c r="B49" s="105" t="s">
        <v>599</v>
      </c>
      <c r="C49" s="105">
        <v>15.3</v>
      </c>
      <c r="D49" s="105">
        <v>350639</v>
      </c>
      <c r="E49" s="106">
        <v>44200.919189814813</v>
      </c>
      <c r="F49" s="104">
        <v>131</v>
      </c>
    </row>
    <row r="50" spans="1:6" x14ac:dyDescent="0.25">
      <c r="A50" s="105" t="str">
        <f>"3945038"</f>
        <v>3945038</v>
      </c>
      <c r="B50" s="105" t="s">
        <v>600</v>
      </c>
      <c r="C50" s="105">
        <v>15.3</v>
      </c>
      <c r="D50" s="105">
        <v>350642</v>
      </c>
      <c r="E50" s="106">
        <v>44200.919189814813</v>
      </c>
      <c r="F50" s="104">
        <v>132</v>
      </c>
    </row>
    <row r="51" spans="1:6" x14ac:dyDescent="0.25">
      <c r="A51" s="105" t="str">
        <f>"3901033"</f>
        <v>3901033</v>
      </c>
      <c r="B51" s="105" t="s">
        <v>601</v>
      </c>
      <c r="C51" s="105">
        <v>30.98</v>
      </c>
      <c r="D51" s="105">
        <v>350648</v>
      </c>
      <c r="E51" s="106">
        <v>44200.919189814813</v>
      </c>
      <c r="F51" s="104">
        <v>133</v>
      </c>
    </row>
    <row r="52" spans="1:6" x14ac:dyDescent="0.25">
      <c r="A52" s="105"/>
      <c r="B52" s="129">
        <v>1</v>
      </c>
      <c r="C52" s="129">
        <f>SUM(C3:C51)</f>
        <v>334.39000000000004</v>
      </c>
      <c r="D52" s="105"/>
      <c r="E52" s="106"/>
      <c r="F52" s="104"/>
    </row>
    <row r="53" spans="1:6" x14ac:dyDescent="0.25">
      <c r="A53" s="105"/>
      <c r="B53" s="105"/>
      <c r="C53" s="105"/>
      <c r="D53" s="105"/>
      <c r="E53" s="106"/>
      <c r="F53" s="104"/>
    </row>
    <row r="54" spans="1:6" x14ac:dyDescent="0.25">
      <c r="A54" s="105" t="str">
        <f>"3907846"</f>
        <v>3907846</v>
      </c>
      <c r="B54" s="105" t="s">
        <v>3565</v>
      </c>
      <c r="C54" s="105">
        <v>100.01</v>
      </c>
      <c r="D54" s="105">
        <v>344217</v>
      </c>
      <c r="E54" s="106">
        <v>44201.367395833331</v>
      </c>
      <c r="F54" s="104">
        <v>232</v>
      </c>
    </row>
    <row r="55" spans="1:6" x14ac:dyDescent="0.25">
      <c r="A55" s="105" t="str">
        <f>"3901940"</f>
        <v>3901940</v>
      </c>
      <c r="B55" s="105" t="s">
        <v>547</v>
      </c>
      <c r="C55" s="105">
        <v>2.5</v>
      </c>
      <c r="D55" s="105">
        <v>349199</v>
      </c>
      <c r="E55" s="106">
        <v>44201.389178240737</v>
      </c>
      <c r="F55" s="104">
        <v>211</v>
      </c>
    </row>
    <row r="56" spans="1:6" x14ac:dyDescent="0.25">
      <c r="A56" s="105" t="str">
        <f>"3908875"</f>
        <v>3908875</v>
      </c>
      <c r="B56" s="105" t="s">
        <v>1095</v>
      </c>
      <c r="C56" s="105">
        <v>1.68</v>
      </c>
      <c r="D56" s="105">
        <v>349396</v>
      </c>
      <c r="E56" s="106">
        <v>44201.429444444446</v>
      </c>
      <c r="F56" s="104">
        <v>212</v>
      </c>
    </row>
    <row r="57" spans="1:6" x14ac:dyDescent="0.25">
      <c r="A57" s="105" t="str">
        <f>"3960257"</f>
        <v>3960257</v>
      </c>
      <c r="B57" s="105" t="s">
        <v>605</v>
      </c>
      <c r="C57" s="105">
        <v>15.77</v>
      </c>
      <c r="D57" s="105">
        <v>350634</v>
      </c>
      <c r="E57" s="106">
        <v>44201.477222222224</v>
      </c>
      <c r="F57" s="104">
        <v>213</v>
      </c>
    </row>
    <row r="58" spans="1:6" x14ac:dyDescent="0.25">
      <c r="A58" s="105" t="str">
        <f>"3960275"</f>
        <v>3960275</v>
      </c>
      <c r="B58" s="105" t="s">
        <v>605</v>
      </c>
      <c r="C58" s="105">
        <v>17.11</v>
      </c>
      <c r="D58" s="105">
        <v>350641</v>
      </c>
      <c r="E58" s="106">
        <v>44201.477905092594</v>
      </c>
      <c r="F58" s="104">
        <v>214</v>
      </c>
    </row>
    <row r="59" spans="1:6" x14ac:dyDescent="0.25">
      <c r="A59" s="105" t="str">
        <f>"3930201"</f>
        <v>3930201</v>
      </c>
      <c r="B59" s="105" t="s">
        <v>3566</v>
      </c>
      <c r="C59" s="105">
        <v>16.489999999999998</v>
      </c>
      <c r="D59" s="105">
        <v>350801</v>
      </c>
      <c r="E59" s="106">
        <v>44201.478182870371</v>
      </c>
      <c r="F59" s="104">
        <v>233</v>
      </c>
    </row>
    <row r="60" spans="1:6" x14ac:dyDescent="0.25">
      <c r="A60" s="105" t="str">
        <f>"3900563"</f>
        <v>3900563</v>
      </c>
      <c r="B60" s="105" t="s">
        <v>3567</v>
      </c>
      <c r="C60" s="105">
        <v>6.69</v>
      </c>
      <c r="D60" s="105">
        <v>350022</v>
      </c>
      <c r="E60" s="106">
        <v>44201.492442129631</v>
      </c>
      <c r="F60" s="104">
        <v>215</v>
      </c>
    </row>
    <row r="61" spans="1:6" x14ac:dyDescent="0.25">
      <c r="A61" s="105" t="str">
        <f>"3907965"</f>
        <v>3907965</v>
      </c>
      <c r="B61" s="105" t="s">
        <v>1135</v>
      </c>
      <c r="C61" s="105">
        <v>8.43</v>
      </c>
      <c r="D61" s="105">
        <v>350354</v>
      </c>
      <c r="E61" s="106">
        <v>44201.502303240741</v>
      </c>
      <c r="F61" s="104">
        <v>216</v>
      </c>
    </row>
    <row r="62" spans="1:6" x14ac:dyDescent="0.25">
      <c r="A62" s="105" t="str">
        <f>"3906656"</f>
        <v>3906656</v>
      </c>
      <c r="B62" s="105" t="s">
        <v>635</v>
      </c>
      <c r="C62" s="105">
        <v>26.62</v>
      </c>
      <c r="D62" s="105">
        <v>350696</v>
      </c>
      <c r="E62" s="106">
        <v>44201.515613425923</v>
      </c>
      <c r="F62" s="104">
        <v>217</v>
      </c>
    </row>
    <row r="63" spans="1:6" x14ac:dyDescent="0.25">
      <c r="A63" s="105" t="str">
        <f>"3907994"</f>
        <v>3907994</v>
      </c>
      <c r="B63" s="105" t="s">
        <v>1110</v>
      </c>
      <c r="C63" s="105">
        <v>3.36</v>
      </c>
      <c r="D63" s="105">
        <v>349796</v>
      </c>
      <c r="E63" s="106">
        <v>44201.532731481479</v>
      </c>
      <c r="F63" s="104">
        <v>218</v>
      </c>
    </row>
    <row r="64" spans="1:6" x14ac:dyDescent="0.25">
      <c r="A64" s="105" t="str">
        <f>"3930028"</f>
        <v>3930028</v>
      </c>
      <c r="B64" s="105" t="s">
        <v>1596</v>
      </c>
      <c r="C64" s="105">
        <v>3.56</v>
      </c>
      <c r="D64" s="105">
        <v>349377</v>
      </c>
      <c r="E64" s="106">
        <v>44201.536076388889</v>
      </c>
      <c r="F64" s="104">
        <v>219</v>
      </c>
    </row>
    <row r="65" spans="1:6" x14ac:dyDescent="0.25">
      <c r="A65" s="105" t="str">
        <f>"3906819"</f>
        <v>3906819</v>
      </c>
      <c r="B65" s="105" t="s">
        <v>1123</v>
      </c>
      <c r="C65" s="105">
        <v>5.63</v>
      </c>
      <c r="D65" s="105">
        <v>349713</v>
      </c>
      <c r="E65" s="106">
        <v>44201.55023148148</v>
      </c>
      <c r="F65" s="104">
        <v>220</v>
      </c>
    </row>
    <row r="66" spans="1:6" x14ac:dyDescent="0.25">
      <c r="A66" s="105" t="str">
        <f>"3906034"</f>
        <v>3906034</v>
      </c>
      <c r="B66" s="105" t="s">
        <v>1099</v>
      </c>
      <c r="C66" s="105">
        <v>3.36</v>
      </c>
      <c r="D66" s="105">
        <v>350238</v>
      </c>
      <c r="E66" s="106">
        <v>44201.556157407409</v>
      </c>
      <c r="F66" s="104">
        <v>221</v>
      </c>
    </row>
    <row r="67" spans="1:6" x14ac:dyDescent="0.25">
      <c r="A67" s="105" t="str">
        <f>"3906033"</f>
        <v>3906033</v>
      </c>
      <c r="B67" s="105" t="s">
        <v>1099</v>
      </c>
      <c r="C67" s="105">
        <v>3.36</v>
      </c>
      <c r="D67" s="105">
        <v>350237</v>
      </c>
      <c r="E67" s="106">
        <v>44201.556817129633</v>
      </c>
      <c r="F67" s="104">
        <v>222</v>
      </c>
    </row>
    <row r="68" spans="1:6" x14ac:dyDescent="0.25">
      <c r="A68" s="105" t="str">
        <f>"3930053"</f>
        <v>3930053</v>
      </c>
      <c r="B68" s="105" t="s">
        <v>557</v>
      </c>
      <c r="C68" s="105">
        <v>19</v>
      </c>
      <c r="D68" s="105">
        <v>350757</v>
      </c>
      <c r="E68" s="106">
        <v>44201.577546296299</v>
      </c>
      <c r="F68" s="104">
        <v>223</v>
      </c>
    </row>
    <row r="69" spans="1:6" x14ac:dyDescent="0.25">
      <c r="A69" s="105" t="str">
        <f>"3908230"</f>
        <v>3908230</v>
      </c>
      <c r="B69" s="105" t="s">
        <v>1566</v>
      </c>
      <c r="C69" s="105">
        <v>5.61</v>
      </c>
      <c r="D69" s="105">
        <v>350977</v>
      </c>
      <c r="E69" s="106">
        <v>44201.584317129629</v>
      </c>
      <c r="F69" s="104">
        <v>224</v>
      </c>
    </row>
    <row r="70" spans="1:6" x14ac:dyDescent="0.25">
      <c r="A70" s="105" t="str">
        <f>"3907257"</f>
        <v>3907257</v>
      </c>
      <c r="B70" s="105" t="s">
        <v>631</v>
      </c>
      <c r="C70" s="105">
        <v>1.96</v>
      </c>
      <c r="D70" s="105">
        <v>349120</v>
      </c>
      <c r="E70" s="106">
        <v>44201.597025462965</v>
      </c>
      <c r="F70" s="104">
        <v>225</v>
      </c>
    </row>
    <row r="71" spans="1:6" x14ac:dyDescent="0.25">
      <c r="A71" s="105" t="str">
        <f>"3920523"</f>
        <v>3920523</v>
      </c>
      <c r="B71" s="105" t="s">
        <v>619</v>
      </c>
      <c r="C71" s="105">
        <v>16.760000000000002</v>
      </c>
      <c r="D71" s="105">
        <v>348921</v>
      </c>
      <c r="E71" s="106">
        <v>44201.621724537035</v>
      </c>
      <c r="F71" s="104">
        <v>226</v>
      </c>
    </row>
    <row r="72" spans="1:6" x14ac:dyDescent="0.25">
      <c r="A72" s="105" t="str">
        <f>"3960392"</f>
        <v>3960392</v>
      </c>
      <c r="B72" s="105" t="s">
        <v>602</v>
      </c>
      <c r="C72" s="105">
        <v>16.760000000000002</v>
      </c>
      <c r="D72" s="105">
        <v>348978</v>
      </c>
      <c r="E72" s="106">
        <v>44201.622349537036</v>
      </c>
      <c r="F72" s="104">
        <v>228</v>
      </c>
    </row>
    <row r="73" spans="1:6" x14ac:dyDescent="0.25">
      <c r="A73" s="105" t="str">
        <f>"3930394"</f>
        <v>3930394</v>
      </c>
      <c r="B73" s="105" t="s">
        <v>558</v>
      </c>
      <c r="C73" s="105">
        <v>3.63</v>
      </c>
      <c r="D73" s="105">
        <v>349782</v>
      </c>
      <c r="E73" s="106">
        <v>44201.683935185189</v>
      </c>
      <c r="F73" s="104">
        <v>229</v>
      </c>
    </row>
    <row r="74" spans="1:6" x14ac:dyDescent="0.25">
      <c r="A74" s="105" t="str">
        <f>"3900383"</f>
        <v>3900383</v>
      </c>
      <c r="B74" s="105" t="s">
        <v>634</v>
      </c>
      <c r="C74" s="105">
        <v>2.78</v>
      </c>
      <c r="D74" s="105">
        <v>349979</v>
      </c>
      <c r="E74" s="106">
        <v>44201.709733796299</v>
      </c>
      <c r="F74" s="104">
        <v>230</v>
      </c>
    </row>
    <row r="75" spans="1:6" x14ac:dyDescent="0.25">
      <c r="A75" s="105" t="str">
        <f>"23923168"</f>
        <v>23923168</v>
      </c>
      <c r="B75" s="105" t="s">
        <v>1108</v>
      </c>
      <c r="C75" s="105">
        <v>3.47</v>
      </c>
      <c r="D75" s="105">
        <v>3588</v>
      </c>
      <c r="E75" s="106">
        <v>44201.838993055557</v>
      </c>
      <c r="F75" s="104">
        <v>231</v>
      </c>
    </row>
    <row r="76" spans="1:6" x14ac:dyDescent="0.25">
      <c r="A76" s="105"/>
      <c r="B76" s="104">
        <v>2</v>
      </c>
      <c r="C76" s="104">
        <f>SUM(C54:C75)</f>
        <v>284.54000000000008</v>
      </c>
      <c r="D76" s="105"/>
      <c r="E76" s="106"/>
      <c r="F76" s="104"/>
    </row>
    <row r="77" spans="1:6" x14ac:dyDescent="0.25">
      <c r="A77" s="105"/>
      <c r="B77" s="105"/>
      <c r="C77" s="105"/>
      <c r="D77" s="105"/>
      <c r="E77" s="106"/>
      <c r="F77" s="104"/>
    </row>
    <row r="78" spans="1:6" x14ac:dyDescent="0.25">
      <c r="A78" s="105" t="str">
        <f>"3903497"</f>
        <v>3903497</v>
      </c>
      <c r="B78" s="105" t="s">
        <v>1117</v>
      </c>
      <c r="C78" s="105">
        <v>4.3899999999999997</v>
      </c>
      <c r="D78" s="105">
        <v>350986</v>
      </c>
      <c r="E78" s="106">
        <v>44202.417187500003</v>
      </c>
      <c r="F78" s="104">
        <v>410</v>
      </c>
    </row>
    <row r="79" spans="1:6" x14ac:dyDescent="0.25">
      <c r="A79" s="105" t="str">
        <f>"3960274"</f>
        <v>3960274</v>
      </c>
      <c r="B79" s="105" t="s">
        <v>553</v>
      </c>
      <c r="C79" s="105">
        <v>5.61</v>
      </c>
      <c r="D79" s="105">
        <v>348882</v>
      </c>
      <c r="E79" s="106">
        <v>44202.346076388887</v>
      </c>
      <c r="F79" s="104">
        <v>409</v>
      </c>
    </row>
    <row r="80" spans="1:6" x14ac:dyDescent="0.25">
      <c r="A80" s="105" t="str">
        <f>"3906994"</f>
        <v>3906994</v>
      </c>
      <c r="B80" s="105" t="s">
        <v>628</v>
      </c>
      <c r="C80" s="105">
        <v>32.32</v>
      </c>
      <c r="D80" s="105">
        <v>350706</v>
      </c>
      <c r="E80" s="106">
        <v>44202.43681712963</v>
      </c>
      <c r="F80" s="104">
        <v>411</v>
      </c>
    </row>
    <row r="81" spans="1:6" x14ac:dyDescent="0.25">
      <c r="A81" s="105" t="str">
        <f>"3945455"</f>
        <v>3945455</v>
      </c>
      <c r="B81" s="105" t="s">
        <v>1127</v>
      </c>
      <c r="C81" s="105">
        <v>8.3800000000000008</v>
      </c>
      <c r="D81" s="105">
        <v>348965</v>
      </c>
      <c r="E81" s="106">
        <v>44202.43855324074</v>
      </c>
      <c r="F81" s="104">
        <v>412</v>
      </c>
    </row>
    <row r="82" spans="1:6" x14ac:dyDescent="0.25">
      <c r="A82" s="105" t="str">
        <f>"3907527"</f>
        <v>3907527</v>
      </c>
      <c r="B82" s="105" t="s">
        <v>1089</v>
      </c>
      <c r="C82" s="105">
        <v>8.31</v>
      </c>
      <c r="D82" s="105">
        <v>349191</v>
      </c>
      <c r="E82" s="106">
        <v>44202.492465277777</v>
      </c>
      <c r="F82" s="104">
        <v>413</v>
      </c>
    </row>
    <row r="83" spans="1:6" x14ac:dyDescent="0.25">
      <c r="A83" s="105" t="str">
        <f>"3907622"</f>
        <v>3907622</v>
      </c>
      <c r="B83" s="105" t="s">
        <v>607</v>
      </c>
      <c r="C83" s="105">
        <v>249.28</v>
      </c>
      <c r="D83" s="105">
        <v>350962</v>
      </c>
      <c r="E83" s="106">
        <v>44202.51934027778</v>
      </c>
      <c r="F83" s="104">
        <v>414</v>
      </c>
    </row>
    <row r="84" spans="1:6" x14ac:dyDescent="0.25">
      <c r="A84" s="105" t="str">
        <f>"3906750"</f>
        <v>3906750</v>
      </c>
      <c r="B84" s="105" t="s">
        <v>616</v>
      </c>
      <c r="C84" s="105">
        <v>3.23</v>
      </c>
      <c r="D84" s="105">
        <v>349587</v>
      </c>
      <c r="E84" s="106">
        <v>44202.602118055554</v>
      </c>
      <c r="F84" s="104">
        <v>415</v>
      </c>
    </row>
    <row r="85" spans="1:6" x14ac:dyDescent="0.25">
      <c r="A85" s="105" t="str">
        <f>"3960265"</f>
        <v>3960265</v>
      </c>
      <c r="B85" s="105" t="s">
        <v>638</v>
      </c>
      <c r="C85" s="105">
        <v>13.8</v>
      </c>
      <c r="D85" s="105">
        <v>348880</v>
      </c>
      <c r="E85" s="106">
        <v>44202.637233796297</v>
      </c>
      <c r="F85" s="104">
        <v>416</v>
      </c>
    </row>
    <row r="86" spans="1:6" x14ac:dyDescent="0.25">
      <c r="A86" s="105" t="str">
        <f>"3907697"</f>
        <v>3907697</v>
      </c>
      <c r="B86" s="105" t="s">
        <v>1133</v>
      </c>
      <c r="C86" s="105">
        <v>3.36</v>
      </c>
      <c r="D86" s="105">
        <v>349343</v>
      </c>
      <c r="E86" s="106">
        <v>44202.662800925929</v>
      </c>
      <c r="F86" s="104">
        <v>417</v>
      </c>
    </row>
    <row r="87" spans="1:6" x14ac:dyDescent="0.25">
      <c r="A87" s="105" t="str">
        <f>"3908176"</f>
        <v>3908176</v>
      </c>
      <c r="B87" s="105" t="s">
        <v>1126</v>
      </c>
      <c r="C87" s="105">
        <v>6.02</v>
      </c>
      <c r="D87" s="105">
        <v>350971</v>
      </c>
      <c r="E87" s="106">
        <v>44202.664097222223</v>
      </c>
      <c r="F87" s="104">
        <v>418</v>
      </c>
    </row>
    <row r="88" spans="1:6" x14ac:dyDescent="0.25">
      <c r="A88" s="105" t="str">
        <f>"3908177"</f>
        <v>3908177</v>
      </c>
      <c r="B88" s="105" t="s">
        <v>1126</v>
      </c>
      <c r="C88" s="105">
        <v>32.200000000000003</v>
      </c>
      <c r="D88" s="105">
        <v>350972</v>
      </c>
      <c r="E88" s="106">
        <v>44202.664305555554</v>
      </c>
      <c r="F88" s="104">
        <v>419</v>
      </c>
    </row>
    <row r="89" spans="1:6" x14ac:dyDescent="0.25">
      <c r="A89" s="105" t="str">
        <f>"3945281"</f>
        <v>3945281</v>
      </c>
      <c r="B89" s="105" t="s">
        <v>1125</v>
      </c>
      <c r="C89" s="105">
        <v>8.3800000000000008</v>
      </c>
      <c r="D89" s="105">
        <v>349041</v>
      </c>
      <c r="E89" s="106">
        <v>44202.721215277779</v>
      </c>
      <c r="F89" s="104">
        <v>420</v>
      </c>
    </row>
    <row r="90" spans="1:6" x14ac:dyDescent="0.25">
      <c r="A90" s="105"/>
      <c r="B90" s="104">
        <v>3</v>
      </c>
      <c r="C90" s="104">
        <f>SUM(C78:C89)</f>
        <v>375.28000000000003</v>
      </c>
      <c r="D90" s="105"/>
      <c r="E90" s="106"/>
      <c r="F90" s="104"/>
    </row>
    <row r="91" spans="1:6" x14ac:dyDescent="0.25">
      <c r="A91" s="105"/>
      <c r="B91" s="105"/>
      <c r="C91" s="105"/>
      <c r="D91" s="105"/>
      <c r="E91" s="106"/>
      <c r="F91" s="104"/>
    </row>
    <row r="92" spans="1:6" x14ac:dyDescent="0.25">
      <c r="A92" s="105" t="str">
        <f>"3909154"</f>
        <v>3909154</v>
      </c>
      <c r="B92" s="105" t="s">
        <v>1113</v>
      </c>
      <c r="C92" s="105">
        <v>14.5</v>
      </c>
      <c r="D92" s="105">
        <v>350851</v>
      </c>
      <c r="E92" s="106">
        <v>44203.3284375</v>
      </c>
      <c r="F92" s="104">
        <v>486</v>
      </c>
    </row>
    <row r="93" spans="1:6" x14ac:dyDescent="0.25">
      <c r="A93" s="105" t="str">
        <f>"3920203"</f>
        <v>3920203</v>
      </c>
      <c r="B93" s="105" t="s">
        <v>1088</v>
      </c>
      <c r="C93" s="105">
        <v>17.899999999999999</v>
      </c>
      <c r="D93" s="105">
        <v>348875</v>
      </c>
      <c r="E93" s="106">
        <v>44203.420601851853</v>
      </c>
      <c r="F93" s="104">
        <v>487</v>
      </c>
    </row>
    <row r="94" spans="1:6" x14ac:dyDescent="0.25">
      <c r="A94" s="105" t="str">
        <f>"23923026"</f>
        <v>23923026</v>
      </c>
      <c r="B94" s="105" t="s">
        <v>3568</v>
      </c>
      <c r="C94" s="105">
        <v>11.04</v>
      </c>
      <c r="D94" s="105">
        <v>3510</v>
      </c>
      <c r="E94" s="106">
        <v>44203.501782407409</v>
      </c>
      <c r="F94" s="104">
        <v>488</v>
      </c>
    </row>
    <row r="95" spans="1:6" x14ac:dyDescent="0.25">
      <c r="A95" s="105" t="str">
        <f>"0"</f>
        <v>0</v>
      </c>
      <c r="B95" s="105" t="s">
        <v>3569</v>
      </c>
      <c r="C95" s="105">
        <v>2.69</v>
      </c>
      <c r="D95" s="105">
        <v>3622</v>
      </c>
      <c r="E95" s="106">
        <v>44203.503368055557</v>
      </c>
      <c r="F95" s="104">
        <v>494</v>
      </c>
    </row>
    <row r="96" spans="1:6" x14ac:dyDescent="0.25">
      <c r="A96" s="105" t="str">
        <f>"3901426"</f>
        <v>3901426</v>
      </c>
      <c r="B96" s="105" t="s">
        <v>609</v>
      </c>
      <c r="C96" s="105">
        <v>4.38</v>
      </c>
      <c r="D96" s="105">
        <v>350126</v>
      </c>
      <c r="E96" s="106">
        <v>44203.573287037034</v>
      </c>
      <c r="F96" s="104">
        <v>489</v>
      </c>
    </row>
    <row r="97" spans="1:6" x14ac:dyDescent="0.25">
      <c r="A97" s="105" t="str">
        <f>"3901111"</f>
        <v>3901111</v>
      </c>
      <c r="B97" s="105" t="s">
        <v>636</v>
      </c>
      <c r="C97" s="105">
        <v>10.8</v>
      </c>
      <c r="D97" s="105">
        <v>350787</v>
      </c>
      <c r="E97" s="106">
        <v>44203.582557870373</v>
      </c>
      <c r="F97" s="104">
        <v>490</v>
      </c>
    </row>
    <row r="98" spans="1:6" x14ac:dyDescent="0.25">
      <c r="A98" s="105" t="str">
        <f>"3900328"</f>
        <v>3900328</v>
      </c>
      <c r="B98" s="105" t="s">
        <v>606</v>
      </c>
      <c r="C98" s="105">
        <v>3.51</v>
      </c>
      <c r="D98" s="105">
        <v>349962</v>
      </c>
      <c r="E98" s="106">
        <v>44203.67832175926</v>
      </c>
      <c r="F98" s="104">
        <v>491</v>
      </c>
    </row>
    <row r="99" spans="1:6" x14ac:dyDescent="0.25">
      <c r="A99" s="105" t="str">
        <f>"3900325"</f>
        <v>3900325</v>
      </c>
      <c r="B99" s="105" t="s">
        <v>606</v>
      </c>
      <c r="C99" s="105">
        <v>4.04</v>
      </c>
      <c r="D99" s="105">
        <v>349961</v>
      </c>
      <c r="E99" s="106">
        <v>44203.678796296299</v>
      </c>
      <c r="F99" s="104">
        <v>492</v>
      </c>
    </row>
    <row r="100" spans="1:6" x14ac:dyDescent="0.25">
      <c r="A100" s="105" t="str">
        <f>"3930391"</f>
        <v>3930391</v>
      </c>
      <c r="B100" s="105" t="s">
        <v>1100</v>
      </c>
      <c r="C100" s="105">
        <v>3.49</v>
      </c>
      <c r="D100" s="105">
        <v>349773</v>
      </c>
      <c r="E100" s="106">
        <v>44203.813784722224</v>
      </c>
      <c r="F100" s="104">
        <v>493</v>
      </c>
    </row>
    <row r="101" spans="1:6" x14ac:dyDescent="0.25">
      <c r="A101" s="105"/>
      <c r="B101" s="104">
        <v>4</v>
      </c>
      <c r="C101" s="104">
        <f>SUM(C92:C100)</f>
        <v>72.350000000000009</v>
      </c>
      <c r="D101" s="105"/>
      <c r="E101" s="106"/>
      <c r="F101" s="104"/>
    </row>
    <row r="102" spans="1:6" x14ac:dyDescent="0.25">
      <c r="A102" s="105"/>
      <c r="B102" s="105"/>
      <c r="C102" s="105"/>
      <c r="D102" s="105"/>
      <c r="E102" s="106"/>
      <c r="F102" s="104"/>
    </row>
    <row r="103" spans="1:6" x14ac:dyDescent="0.25">
      <c r="A103" s="105" t="str">
        <f>"3930280"</f>
        <v>3930280</v>
      </c>
      <c r="B103" s="105" t="s">
        <v>637</v>
      </c>
      <c r="C103" s="105">
        <v>1.68</v>
      </c>
      <c r="D103" s="105">
        <v>349648</v>
      </c>
      <c r="E103" s="106">
        <v>44204.454189814816</v>
      </c>
      <c r="F103" s="104">
        <v>564</v>
      </c>
    </row>
    <row r="104" spans="1:6" x14ac:dyDescent="0.25">
      <c r="A104" s="105" t="str">
        <f>"3945504"</f>
        <v>3945504</v>
      </c>
      <c r="B104" s="105" t="s">
        <v>1112</v>
      </c>
      <c r="C104" s="105">
        <v>4.1900000000000004</v>
      </c>
      <c r="D104" s="105">
        <v>348974</v>
      </c>
      <c r="E104" s="106">
        <v>44204.465289351851</v>
      </c>
      <c r="F104" s="104">
        <v>565</v>
      </c>
    </row>
    <row r="105" spans="1:6" x14ac:dyDescent="0.25">
      <c r="A105" s="105" t="str">
        <f>"3903204"</f>
        <v>3903204</v>
      </c>
      <c r="B105" s="105" t="s">
        <v>1101</v>
      </c>
      <c r="C105" s="105">
        <v>5.24</v>
      </c>
      <c r="D105" s="105">
        <v>349260</v>
      </c>
      <c r="E105" s="106">
        <v>44204.59337962963</v>
      </c>
      <c r="F105" s="104">
        <v>566</v>
      </c>
    </row>
    <row r="106" spans="1:6" x14ac:dyDescent="0.25">
      <c r="A106" s="105" t="str">
        <f>"3909922"</f>
        <v>3909922</v>
      </c>
      <c r="B106" s="105" t="s">
        <v>1090</v>
      </c>
      <c r="C106" s="105">
        <v>10.99</v>
      </c>
      <c r="D106" s="105">
        <v>350737</v>
      </c>
      <c r="E106" s="106">
        <v>44204.606215277781</v>
      </c>
      <c r="F106" s="104">
        <v>567</v>
      </c>
    </row>
    <row r="107" spans="1:6" x14ac:dyDescent="0.25">
      <c r="A107" s="105"/>
      <c r="B107" s="104">
        <v>5</v>
      </c>
      <c r="C107" s="104">
        <f>SUM(C103:C106)</f>
        <v>22.1</v>
      </c>
      <c r="D107" s="105"/>
      <c r="E107" s="106"/>
      <c r="F107" s="104"/>
    </row>
    <row r="108" spans="1:6" x14ac:dyDescent="0.25">
      <c r="A108" s="105"/>
      <c r="B108" s="105"/>
      <c r="C108" s="105"/>
      <c r="D108" s="105"/>
      <c r="E108" s="106"/>
      <c r="F108" s="104"/>
    </row>
    <row r="109" spans="1:6" x14ac:dyDescent="0.25">
      <c r="A109" s="105" t="str">
        <f>"3945471"</f>
        <v>3945471</v>
      </c>
      <c r="B109" s="105" t="s">
        <v>1098</v>
      </c>
      <c r="C109" s="105">
        <v>42.67</v>
      </c>
      <c r="D109" s="105">
        <v>348971</v>
      </c>
      <c r="E109" s="106">
        <v>44207.422337962962</v>
      </c>
      <c r="F109" s="104">
        <v>715</v>
      </c>
    </row>
    <row r="110" spans="1:6" x14ac:dyDescent="0.25">
      <c r="A110" s="105" t="str">
        <f>"3945113"</f>
        <v>3945113</v>
      </c>
      <c r="B110" s="105" t="s">
        <v>551</v>
      </c>
      <c r="C110" s="105">
        <v>8.3800000000000008</v>
      </c>
      <c r="D110" s="105">
        <v>348940</v>
      </c>
      <c r="E110" s="106">
        <v>44207.514687499999</v>
      </c>
      <c r="F110" s="104">
        <v>716</v>
      </c>
    </row>
    <row r="111" spans="1:6" x14ac:dyDescent="0.25">
      <c r="A111" s="105" t="str">
        <f>"3908129"</f>
        <v>3908129</v>
      </c>
      <c r="B111" s="105" t="s">
        <v>1105</v>
      </c>
      <c r="C111" s="105">
        <v>1.76</v>
      </c>
      <c r="D111" s="105">
        <v>350372</v>
      </c>
      <c r="E111" s="106">
        <v>44207.267905092594</v>
      </c>
      <c r="F111" s="104">
        <v>717</v>
      </c>
    </row>
    <row r="112" spans="1:6" x14ac:dyDescent="0.25">
      <c r="A112" s="105" t="str">
        <f>"3901267"</f>
        <v>3901267</v>
      </c>
      <c r="B112" s="105" t="s">
        <v>556</v>
      </c>
      <c r="C112" s="105">
        <v>5.8</v>
      </c>
      <c r="D112" s="105">
        <v>350064</v>
      </c>
      <c r="E112" s="106">
        <v>44207.39739583333</v>
      </c>
      <c r="F112" s="104">
        <v>724</v>
      </c>
    </row>
    <row r="113" spans="1:6" x14ac:dyDescent="0.25">
      <c r="A113" s="105" t="str">
        <f>"3908019"</f>
        <v>3908019</v>
      </c>
      <c r="B113" s="105" t="s">
        <v>1094</v>
      </c>
      <c r="C113" s="105">
        <v>7.5</v>
      </c>
      <c r="D113" s="105">
        <v>349731</v>
      </c>
      <c r="E113" s="106">
        <v>44207.407106481478</v>
      </c>
      <c r="F113" s="104">
        <v>725</v>
      </c>
    </row>
    <row r="114" spans="1:6" x14ac:dyDescent="0.25">
      <c r="A114" s="105" t="str">
        <f>"3907892"</f>
        <v>3907892</v>
      </c>
      <c r="B114" s="105" t="s">
        <v>1085</v>
      </c>
      <c r="C114" s="105">
        <v>1.71</v>
      </c>
      <c r="D114" s="105">
        <v>349746</v>
      </c>
      <c r="E114" s="106">
        <v>44207.458680555559</v>
      </c>
      <c r="F114" s="104">
        <v>718</v>
      </c>
    </row>
    <row r="115" spans="1:6" x14ac:dyDescent="0.25">
      <c r="A115" s="105" t="str">
        <f>"3930371"</f>
        <v>3930371</v>
      </c>
      <c r="B115" s="105" t="s">
        <v>554</v>
      </c>
      <c r="C115" s="105">
        <v>9.57</v>
      </c>
      <c r="D115" s="105">
        <v>350859</v>
      </c>
      <c r="E115" s="106">
        <v>44207.499236111114</v>
      </c>
      <c r="F115" s="104">
        <v>719</v>
      </c>
    </row>
    <row r="116" spans="1:6" x14ac:dyDescent="0.25">
      <c r="A116" s="105" t="str">
        <f>"3906995"</f>
        <v>3906995</v>
      </c>
      <c r="B116" s="105" t="s">
        <v>628</v>
      </c>
      <c r="C116" s="105">
        <v>32.4</v>
      </c>
      <c r="D116" s="105">
        <v>350707</v>
      </c>
      <c r="E116" s="106">
        <v>44207.520451388889</v>
      </c>
      <c r="F116" s="104">
        <v>720</v>
      </c>
    </row>
    <row r="117" spans="1:6" x14ac:dyDescent="0.25">
      <c r="A117" s="105" t="str">
        <f>"3908621"</f>
        <v>3908621</v>
      </c>
      <c r="B117" s="105" t="s">
        <v>617</v>
      </c>
      <c r="C117" s="105">
        <v>1.76</v>
      </c>
      <c r="D117" s="105">
        <v>349166</v>
      </c>
      <c r="E117" s="106">
        <v>44207.526400462964</v>
      </c>
      <c r="F117" s="104">
        <v>721</v>
      </c>
    </row>
    <row r="118" spans="1:6" x14ac:dyDescent="0.25">
      <c r="A118" s="105" t="str">
        <f>"23923029"</f>
        <v>23923029</v>
      </c>
      <c r="B118" s="105" t="s">
        <v>621</v>
      </c>
      <c r="C118" s="105">
        <v>7.62</v>
      </c>
      <c r="D118" s="105">
        <v>3443</v>
      </c>
      <c r="E118" s="106">
        <v>44207.575810185182</v>
      </c>
      <c r="F118" s="104">
        <v>722</v>
      </c>
    </row>
    <row r="119" spans="1:6" x14ac:dyDescent="0.25">
      <c r="A119" s="105" t="str">
        <f>"3901121"</f>
        <v>3901121</v>
      </c>
      <c r="B119" s="105" t="s">
        <v>615</v>
      </c>
      <c r="C119" s="105">
        <v>2.9</v>
      </c>
      <c r="D119" s="105">
        <v>349454</v>
      </c>
      <c r="E119" s="106">
        <v>44207.616759259261</v>
      </c>
      <c r="F119" s="104">
        <v>723</v>
      </c>
    </row>
    <row r="120" spans="1:6" x14ac:dyDescent="0.25">
      <c r="A120" s="105"/>
      <c r="B120" s="104">
        <v>6</v>
      </c>
      <c r="C120" s="104">
        <f>SUM(C109:C119)</f>
        <v>122.07000000000001</v>
      </c>
      <c r="D120" s="105"/>
      <c r="E120" s="106"/>
      <c r="F120" s="104"/>
    </row>
    <row r="121" spans="1:6" x14ac:dyDescent="0.25">
      <c r="A121" s="105"/>
      <c r="B121" s="105"/>
      <c r="C121" s="105"/>
      <c r="D121" s="105"/>
      <c r="E121" s="106"/>
      <c r="F121" s="104"/>
    </row>
    <row r="122" spans="1:6" x14ac:dyDescent="0.25">
      <c r="A122" s="105" t="str">
        <f>"3907615"</f>
        <v>3907615</v>
      </c>
      <c r="B122" s="105" t="s">
        <v>548</v>
      </c>
      <c r="C122" s="105">
        <v>2.5</v>
      </c>
      <c r="D122" s="105">
        <v>349288</v>
      </c>
      <c r="E122" s="106">
        <v>44208.415798611109</v>
      </c>
      <c r="F122" s="104">
        <v>770</v>
      </c>
    </row>
    <row r="123" spans="1:6" x14ac:dyDescent="0.25">
      <c r="A123" s="105" t="str">
        <f>"3900565"</f>
        <v>3900565</v>
      </c>
      <c r="B123" s="105" t="s">
        <v>1562</v>
      </c>
      <c r="C123" s="105">
        <v>0.84</v>
      </c>
      <c r="D123" s="105">
        <v>350024</v>
      </c>
      <c r="E123" s="106">
        <v>44208.475335648145</v>
      </c>
      <c r="F123" s="104">
        <v>771</v>
      </c>
    </row>
    <row r="124" spans="1:6" x14ac:dyDescent="0.25">
      <c r="A124" s="105" t="str">
        <f>"3930044"</f>
        <v>3930044</v>
      </c>
      <c r="B124" s="105" t="s">
        <v>1116</v>
      </c>
      <c r="C124" s="105">
        <v>1.96</v>
      </c>
      <c r="D124" s="105">
        <v>349789</v>
      </c>
      <c r="E124" s="106">
        <v>44208.543877314813</v>
      </c>
      <c r="F124" s="104">
        <v>772</v>
      </c>
    </row>
    <row r="125" spans="1:6" x14ac:dyDescent="0.25">
      <c r="A125" s="105" t="str">
        <f>"3907489"</f>
        <v>3907489</v>
      </c>
      <c r="B125" s="105" t="s">
        <v>1092</v>
      </c>
      <c r="C125" s="105">
        <v>6.94</v>
      </c>
      <c r="D125" s="105">
        <v>349146</v>
      </c>
      <c r="E125" s="106">
        <v>44208.60429398148</v>
      </c>
      <c r="F125" s="104">
        <v>773</v>
      </c>
    </row>
    <row r="126" spans="1:6" x14ac:dyDescent="0.25">
      <c r="A126" s="105" t="str">
        <f>"3906070"</f>
        <v>3906070</v>
      </c>
      <c r="B126" s="105" t="s">
        <v>1132</v>
      </c>
      <c r="C126" s="105">
        <v>15.81</v>
      </c>
      <c r="D126" s="105">
        <v>349073</v>
      </c>
      <c r="E126" s="106">
        <v>44208.652939814812</v>
      </c>
      <c r="F126" s="104">
        <v>774</v>
      </c>
    </row>
    <row r="127" spans="1:6" x14ac:dyDescent="0.25">
      <c r="A127" s="105"/>
      <c r="B127" s="104">
        <v>7</v>
      </c>
      <c r="C127" s="104">
        <f>SUM(C122:C126)</f>
        <v>28.05</v>
      </c>
      <c r="D127" s="105"/>
      <c r="E127" s="106"/>
      <c r="F127" s="104"/>
    </row>
    <row r="128" spans="1:6" x14ac:dyDescent="0.25">
      <c r="A128" s="105"/>
      <c r="B128" s="105"/>
      <c r="C128" s="105"/>
      <c r="D128" s="105"/>
      <c r="E128" s="106"/>
      <c r="F128" s="104"/>
    </row>
    <row r="129" spans="1:6" x14ac:dyDescent="0.25">
      <c r="A129" s="105" t="str">
        <f>"3900329"</f>
        <v>3900329</v>
      </c>
      <c r="B129" s="105" t="s">
        <v>1097</v>
      </c>
      <c r="C129" s="105">
        <v>2.15</v>
      </c>
      <c r="D129" s="105">
        <v>349963</v>
      </c>
      <c r="E129" s="106">
        <v>44209.384328703702</v>
      </c>
      <c r="F129" s="104">
        <v>817</v>
      </c>
    </row>
    <row r="130" spans="1:6" x14ac:dyDescent="0.25">
      <c r="A130" s="105" t="str">
        <f>"3945448"</f>
        <v>3945448</v>
      </c>
      <c r="B130" s="105" t="s">
        <v>3570</v>
      </c>
      <c r="C130" s="105">
        <v>8.3800000000000008</v>
      </c>
      <c r="D130" s="105">
        <v>348964</v>
      </c>
      <c r="E130" s="106">
        <v>44209.410254629627</v>
      </c>
      <c r="F130" s="104">
        <v>818</v>
      </c>
    </row>
    <row r="131" spans="1:6" x14ac:dyDescent="0.25">
      <c r="A131" s="105" t="str">
        <f>"3909239"</f>
        <v>3909239</v>
      </c>
      <c r="B131" s="105" t="s">
        <v>1087</v>
      </c>
      <c r="C131" s="105">
        <v>1.68</v>
      </c>
      <c r="D131" s="105">
        <v>349853</v>
      </c>
      <c r="E131" s="106">
        <v>44209.416342592594</v>
      </c>
      <c r="F131" s="104">
        <v>819</v>
      </c>
    </row>
    <row r="132" spans="1:6" x14ac:dyDescent="0.25">
      <c r="A132" s="105" t="str">
        <f>"3907156"</f>
        <v>3907156</v>
      </c>
      <c r="B132" s="105" t="s">
        <v>1121</v>
      </c>
      <c r="C132" s="105">
        <v>6.94</v>
      </c>
      <c r="D132" s="105">
        <v>349100</v>
      </c>
      <c r="E132" s="106">
        <v>44209.50986111111</v>
      </c>
      <c r="F132" s="104">
        <v>820</v>
      </c>
    </row>
    <row r="133" spans="1:6" x14ac:dyDescent="0.25">
      <c r="A133" s="105" t="str">
        <f>"3908178"</f>
        <v>3908178</v>
      </c>
      <c r="B133" s="105" t="s">
        <v>1595</v>
      </c>
      <c r="C133" s="105">
        <v>1.77</v>
      </c>
      <c r="D133" s="105">
        <v>350391</v>
      </c>
      <c r="E133" s="106">
        <v>44209.521134259259</v>
      </c>
      <c r="F133" s="104">
        <v>821</v>
      </c>
    </row>
    <row r="134" spans="1:6" x14ac:dyDescent="0.25">
      <c r="A134" s="105" t="str">
        <f>"3940887"</f>
        <v>3940887</v>
      </c>
      <c r="B134" s="105" t="s">
        <v>623</v>
      </c>
      <c r="C134" s="105">
        <v>17.899999999999999</v>
      </c>
      <c r="D134" s="105">
        <v>348902</v>
      </c>
      <c r="E134" s="106">
        <v>44209.638541666667</v>
      </c>
      <c r="F134" s="104">
        <v>822</v>
      </c>
    </row>
    <row r="135" spans="1:6" x14ac:dyDescent="0.25">
      <c r="A135" s="105" t="str">
        <f>"3903545"</f>
        <v>3903545</v>
      </c>
      <c r="B135" s="105" t="s">
        <v>603</v>
      </c>
      <c r="C135" s="105">
        <v>1.74</v>
      </c>
      <c r="D135" s="105">
        <v>349574</v>
      </c>
      <c r="E135" s="106">
        <v>44209.717488425929</v>
      </c>
      <c r="F135" s="104">
        <v>823</v>
      </c>
    </row>
    <row r="136" spans="1:6" x14ac:dyDescent="0.25">
      <c r="A136" s="105"/>
      <c r="B136" s="104">
        <v>8</v>
      </c>
      <c r="C136" s="104">
        <f>SUM(C129:C135)</f>
        <v>40.56</v>
      </c>
      <c r="D136" s="105"/>
      <c r="E136" s="106"/>
      <c r="F136" s="104"/>
    </row>
    <row r="137" spans="1:6" x14ac:dyDescent="0.25">
      <c r="A137" s="105"/>
      <c r="B137" s="105"/>
      <c r="C137" s="105"/>
      <c r="D137" s="105"/>
      <c r="E137" s="106"/>
      <c r="F137" s="104"/>
    </row>
    <row r="138" spans="1:6" x14ac:dyDescent="0.25">
      <c r="A138" s="105" t="str">
        <f>"3906821"</f>
        <v>3906821</v>
      </c>
      <c r="B138" s="105" t="s">
        <v>629</v>
      </c>
      <c r="C138" s="105">
        <v>2.1800000000000002</v>
      </c>
      <c r="D138" s="105">
        <v>349715</v>
      </c>
      <c r="E138" s="106">
        <v>44210.372418981482</v>
      </c>
      <c r="F138" s="104">
        <v>848</v>
      </c>
    </row>
    <row r="139" spans="1:6" x14ac:dyDescent="0.25">
      <c r="A139" s="105" t="str">
        <f>"3901540"</f>
        <v>3901540</v>
      </c>
      <c r="B139" s="105" t="s">
        <v>1563</v>
      </c>
      <c r="C139" s="105">
        <v>3.49</v>
      </c>
      <c r="D139" s="105">
        <v>350088</v>
      </c>
      <c r="E139" s="106">
        <v>44210.460092592592</v>
      </c>
      <c r="F139" s="104">
        <v>849</v>
      </c>
    </row>
    <row r="140" spans="1:6" x14ac:dyDescent="0.25">
      <c r="A140" s="105" t="str">
        <f>"3930042"</f>
        <v>3930042</v>
      </c>
      <c r="B140" s="105" t="s">
        <v>620</v>
      </c>
      <c r="C140" s="105">
        <v>5.26</v>
      </c>
      <c r="D140" s="105">
        <v>350753</v>
      </c>
      <c r="E140" s="106">
        <v>44210.603715277779</v>
      </c>
      <c r="F140" s="104">
        <v>850</v>
      </c>
    </row>
    <row r="141" spans="1:6" x14ac:dyDescent="0.25">
      <c r="A141" s="105" t="str">
        <f>"3902243"</f>
        <v>3902243</v>
      </c>
      <c r="B141" s="105" t="s">
        <v>639</v>
      </c>
      <c r="C141" s="105">
        <v>15.13</v>
      </c>
      <c r="D141" s="105">
        <v>344147</v>
      </c>
      <c r="E141" s="106">
        <v>44210.608240740738</v>
      </c>
      <c r="F141" s="104">
        <v>853</v>
      </c>
    </row>
    <row r="142" spans="1:6" x14ac:dyDescent="0.25">
      <c r="A142" s="105" t="str">
        <f>"3960252"</f>
        <v>3960252</v>
      </c>
      <c r="B142" s="105" t="s">
        <v>1106</v>
      </c>
      <c r="C142" s="105">
        <v>8.3800000000000008</v>
      </c>
      <c r="D142" s="105">
        <v>348922</v>
      </c>
      <c r="E142" s="106">
        <v>44210.636504629627</v>
      </c>
      <c r="F142" s="104">
        <v>851</v>
      </c>
    </row>
    <row r="143" spans="1:6" x14ac:dyDescent="0.25">
      <c r="A143" s="105" t="str">
        <f>"3903951"</f>
        <v>3903951</v>
      </c>
      <c r="B143" s="105" t="s">
        <v>1565</v>
      </c>
      <c r="C143" s="105">
        <v>4.1900000000000004</v>
      </c>
      <c r="D143" s="105">
        <v>349046</v>
      </c>
      <c r="E143" s="106">
        <v>44210.637442129628</v>
      </c>
      <c r="F143" s="104">
        <v>852</v>
      </c>
    </row>
    <row r="144" spans="1:6" x14ac:dyDescent="0.25">
      <c r="A144" s="105"/>
      <c r="B144" s="104">
        <v>9</v>
      </c>
      <c r="C144" s="104">
        <f>SUM(C138:C143)</f>
        <v>38.630000000000003</v>
      </c>
      <c r="D144" s="105"/>
      <c r="E144" s="106"/>
      <c r="F144" s="104"/>
    </row>
    <row r="145" spans="1:6" x14ac:dyDescent="0.25">
      <c r="A145" s="105"/>
      <c r="B145" s="105"/>
      <c r="C145" s="105"/>
      <c r="D145" s="105"/>
      <c r="E145" s="106"/>
      <c r="F145" s="104"/>
    </row>
    <row r="146" spans="1:6" x14ac:dyDescent="0.25">
      <c r="A146" s="105" t="str">
        <f>"3902009"</f>
        <v>3902009</v>
      </c>
      <c r="B146" s="105" t="s">
        <v>608</v>
      </c>
      <c r="C146" s="105">
        <v>3.36</v>
      </c>
      <c r="D146" s="105">
        <v>350771</v>
      </c>
      <c r="E146" s="106">
        <v>44211.462511574071</v>
      </c>
      <c r="F146" s="104">
        <v>899</v>
      </c>
    </row>
    <row r="147" spans="1:6" x14ac:dyDescent="0.25">
      <c r="A147" s="105" t="str">
        <f>"3908657"</f>
        <v>3908657</v>
      </c>
      <c r="B147" s="105" t="s">
        <v>1128</v>
      </c>
      <c r="C147" s="105">
        <v>3.7</v>
      </c>
      <c r="D147" s="105">
        <v>349871</v>
      </c>
      <c r="E147" s="106">
        <v>44211.494525462964</v>
      </c>
      <c r="F147" s="104">
        <v>900</v>
      </c>
    </row>
    <row r="148" spans="1:6" x14ac:dyDescent="0.25">
      <c r="A148" s="105" t="str">
        <f>"3945401"</f>
        <v>3945401</v>
      </c>
      <c r="B148" s="105" t="s">
        <v>633</v>
      </c>
      <c r="C148" s="105">
        <v>8.3800000000000008</v>
      </c>
      <c r="D148" s="105">
        <v>348958</v>
      </c>
      <c r="E148" s="106">
        <v>44211.505011574074</v>
      </c>
      <c r="F148" s="104">
        <v>901</v>
      </c>
    </row>
    <row r="149" spans="1:6" x14ac:dyDescent="0.25">
      <c r="A149" s="105" t="str">
        <f>"3908939"</f>
        <v>3908939</v>
      </c>
      <c r="B149" s="105" t="s">
        <v>1119</v>
      </c>
      <c r="C149" s="105">
        <v>7.46</v>
      </c>
      <c r="D149" s="105">
        <v>350776</v>
      </c>
      <c r="E149" s="106">
        <v>44211.565555555557</v>
      </c>
      <c r="F149" s="104">
        <v>902</v>
      </c>
    </row>
    <row r="150" spans="1:6" x14ac:dyDescent="0.25">
      <c r="A150" s="105" t="str">
        <f>"3920065"</f>
        <v>3920065</v>
      </c>
      <c r="B150" s="105" t="s">
        <v>610</v>
      </c>
      <c r="C150" s="105">
        <v>15.3</v>
      </c>
      <c r="D150" s="105">
        <v>350633</v>
      </c>
      <c r="E150" s="106">
        <v>44211.646597222221</v>
      </c>
      <c r="F150" s="104">
        <v>903</v>
      </c>
    </row>
    <row r="151" spans="1:6" x14ac:dyDescent="0.25">
      <c r="A151" s="105" t="str">
        <f>"3908130"</f>
        <v>3908130</v>
      </c>
      <c r="B151" s="105" t="s">
        <v>3571</v>
      </c>
      <c r="C151" s="105">
        <v>8.81</v>
      </c>
      <c r="D151" s="105">
        <v>350373</v>
      </c>
      <c r="E151" s="106">
        <v>44211.661585648151</v>
      </c>
      <c r="F151" s="104">
        <v>905</v>
      </c>
    </row>
    <row r="152" spans="1:6" x14ac:dyDescent="0.25">
      <c r="A152" s="105" t="str">
        <f>"3901995"</f>
        <v>3901995</v>
      </c>
      <c r="B152" s="105" t="s">
        <v>1107</v>
      </c>
      <c r="C152" s="105">
        <v>1.68</v>
      </c>
      <c r="D152" s="105">
        <v>349904</v>
      </c>
      <c r="E152" s="106">
        <v>44211.712847222225</v>
      </c>
      <c r="F152" s="104">
        <v>904</v>
      </c>
    </row>
    <row r="153" spans="1:6" x14ac:dyDescent="0.25">
      <c r="A153" s="105"/>
      <c r="B153" s="104">
        <v>10</v>
      </c>
      <c r="C153" s="104">
        <f>SUM(C146:C152)</f>
        <v>48.690000000000005</v>
      </c>
      <c r="D153" s="105"/>
      <c r="E153" s="106"/>
      <c r="F153" s="104"/>
    </row>
    <row r="154" spans="1:6" x14ac:dyDescent="0.25">
      <c r="A154" s="105"/>
      <c r="B154" s="105"/>
      <c r="C154" s="105"/>
      <c r="D154" s="105"/>
      <c r="E154" s="106"/>
      <c r="F154" s="104"/>
    </row>
    <row r="155" spans="1:6" x14ac:dyDescent="0.25">
      <c r="A155" s="105" t="str">
        <f>"3903064"</f>
        <v>3903064</v>
      </c>
      <c r="B155" s="105" t="s">
        <v>1096</v>
      </c>
      <c r="C155" s="105">
        <v>6.94</v>
      </c>
      <c r="D155" s="105">
        <v>349128</v>
      </c>
      <c r="E155" s="106">
        <v>44214.510393518518</v>
      </c>
      <c r="F155" s="104">
        <v>1000</v>
      </c>
    </row>
    <row r="156" spans="1:6" x14ac:dyDescent="0.25">
      <c r="A156" s="105" t="str">
        <f>"3908344"</f>
        <v>3908344</v>
      </c>
      <c r="B156" s="105" t="s">
        <v>1130</v>
      </c>
      <c r="C156" s="105">
        <v>0.13</v>
      </c>
      <c r="D156" s="105">
        <v>350477</v>
      </c>
      <c r="E156" s="106">
        <v>44214.512430555558</v>
      </c>
      <c r="F156" s="104">
        <v>1001</v>
      </c>
    </row>
    <row r="157" spans="1:6" x14ac:dyDescent="0.25">
      <c r="A157" s="105" t="str">
        <f>"3907618"</f>
        <v>3907618</v>
      </c>
      <c r="B157" s="105" t="s">
        <v>550</v>
      </c>
      <c r="C157" s="105">
        <v>1.72</v>
      </c>
      <c r="D157" s="105">
        <v>350336</v>
      </c>
      <c r="E157" s="106">
        <v>44214.518472222226</v>
      </c>
      <c r="F157" s="104">
        <v>1002</v>
      </c>
    </row>
    <row r="158" spans="1:6" x14ac:dyDescent="0.25">
      <c r="A158" s="105" t="str">
        <f>"3904232"</f>
        <v>3904232</v>
      </c>
      <c r="B158" s="105" t="s">
        <v>1122</v>
      </c>
      <c r="C158" s="105">
        <v>15.3</v>
      </c>
      <c r="D158" s="105">
        <v>350661</v>
      </c>
      <c r="E158" s="106">
        <v>44214.5237037037</v>
      </c>
      <c r="F158" s="104">
        <v>1003</v>
      </c>
    </row>
    <row r="159" spans="1:6" x14ac:dyDescent="0.25">
      <c r="A159" s="105" t="str">
        <f>"3906658"</f>
        <v>3906658</v>
      </c>
      <c r="B159" s="105" t="s">
        <v>614</v>
      </c>
      <c r="C159" s="105">
        <v>15.76</v>
      </c>
      <c r="D159" s="105">
        <v>350788</v>
      </c>
      <c r="E159" s="106">
        <v>44214.605138888888</v>
      </c>
      <c r="F159" s="104">
        <v>1004</v>
      </c>
    </row>
    <row r="160" spans="1:6" x14ac:dyDescent="0.25">
      <c r="A160" s="105"/>
      <c r="B160" s="104">
        <v>11</v>
      </c>
      <c r="C160" s="104">
        <f>SUM(C155:C159)</f>
        <v>39.85</v>
      </c>
      <c r="D160" s="105"/>
      <c r="E160" s="106"/>
      <c r="F160" s="104"/>
    </row>
    <row r="161" spans="1:6" x14ac:dyDescent="0.25">
      <c r="A161" s="105"/>
      <c r="B161" s="105"/>
      <c r="C161" s="105"/>
      <c r="D161" s="105"/>
      <c r="E161" s="106"/>
      <c r="F161" s="104"/>
    </row>
    <row r="162" spans="1:6" x14ac:dyDescent="0.25">
      <c r="A162" s="105" t="str">
        <f>"3960373"</f>
        <v>3960373</v>
      </c>
      <c r="B162" s="105" t="s">
        <v>626</v>
      </c>
      <c r="C162" s="105">
        <v>8.6199999999999992</v>
      </c>
      <c r="D162" s="105">
        <v>348954</v>
      </c>
      <c r="E162" s="106">
        <v>44215.422534722224</v>
      </c>
      <c r="F162" s="104">
        <v>1005</v>
      </c>
    </row>
    <row r="163" spans="1:6" x14ac:dyDescent="0.25">
      <c r="A163" s="105" t="str">
        <f>"3901461"</f>
        <v>3901461</v>
      </c>
      <c r="B163" s="105" t="s">
        <v>622</v>
      </c>
      <c r="C163" s="105">
        <v>15.3</v>
      </c>
      <c r="D163" s="105">
        <v>350653</v>
      </c>
      <c r="E163" s="106">
        <v>44215.536238425928</v>
      </c>
      <c r="F163" s="104">
        <v>1006</v>
      </c>
    </row>
    <row r="164" spans="1:6" x14ac:dyDescent="0.25">
      <c r="A164" s="105" t="str">
        <f>"3907425"</f>
        <v>3907425</v>
      </c>
      <c r="B164" s="105" t="s">
        <v>559</v>
      </c>
      <c r="C164" s="105">
        <v>3.65</v>
      </c>
      <c r="D164" s="105">
        <v>350314</v>
      </c>
      <c r="E164" s="106">
        <v>44215.538553240738</v>
      </c>
      <c r="F164" s="104">
        <v>1007</v>
      </c>
    </row>
    <row r="165" spans="1:6" x14ac:dyDescent="0.25">
      <c r="A165" s="105" t="str">
        <f>"3909789"</f>
        <v>3909789</v>
      </c>
      <c r="B165" s="105" t="s">
        <v>604</v>
      </c>
      <c r="C165" s="105">
        <v>3.36</v>
      </c>
      <c r="D165" s="105">
        <v>349875</v>
      </c>
      <c r="E165" s="106">
        <v>44215.62641203704</v>
      </c>
      <c r="F165" s="104">
        <v>1008</v>
      </c>
    </row>
    <row r="166" spans="1:6" x14ac:dyDescent="0.25">
      <c r="A166" s="105"/>
      <c r="B166" s="104">
        <v>12</v>
      </c>
      <c r="C166" s="104">
        <f>SUM(C162:C165)</f>
        <v>30.93</v>
      </c>
      <c r="D166" s="105"/>
      <c r="E166" s="106"/>
      <c r="F166" s="104"/>
    </row>
    <row r="167" spans="1:6" x14ac:dyDescent="0.25">
      <c r="A167" s="105"/>
      <c r="B167" s="105"/>
      <c r="C167" s="105"/>
      <c r="D167" s="105"/>
      <c r="E167" s="106"/>
      <c r="F167" s="104"/>
    </row>
    <row r="168" spans="1:6" x14ac:dyDescent="0.25">
      <c r="A168" s="105" t="str">
        <f>"3945114"</f>
        <v>3945114</v>
      </c>
      <c r="B168" s="105" t="s">
        <v>627</v>
      </c>
      <c r="C168" s="105">
        <v>8.67</v>
      </c>
      <c r="D168" s="105">
        <v>348939</v>
      </c>
      <c r="E168" s="106">
        <v>44216.447164351855</v>
      </c>
      <c r="F168" s="104">
        <v>1061</v>
      </c>
    </row>
    <row r="169" spans="1:6" x14ac:dyDescent="0.25">
      <c r="A169" s="105" t="str">
        <f>"3920083"</f>
        <v>3920083</v>
      </c>
      <c r="B169" s="105" t="s">
        <v>630</v>
      </c>
      <c r="C169" s="105">
        <v>3.91</v>
      </c>
      <c r="D169" s="105">
        <v>348903</v>
      </c>
      <c r="E169" s="106">
        <v>44216.497847222221</v>
      </c>
      <c r="F169" s="104">
        <v>1062</v>
      </c>
    </row>
    <row r="170" spans="1:6" x14ac:dyDescent="0.25">
      <c r="A170" s="105" t="str">
        <f>"3900176"</f>
        <v>3900176</v>
      </c>
      <c r="B170" s="105" t="s">
        <v>1114</v>
      </c>
      <c r="C170" s="105">
        <v>2.83</v>
      </c>
      <c r="D170" s="105">
        <v>350978</v>
      </c>
      <c r="E170" s="106">
        <v>44216.531550925924</v>
      </c>
      <c r="F170" s="104">
        <v>1063</v>
      </c>
    </row>
    <row r="171" spans="1:6" x14ac:dyDescent="0.25">
      <c r="A171" s="105" t="str">
        <f>"3908608"</f>
        <v>3908608</v>
      </c>
      <c r="B171" s="105" t="s">
        <v>1082</v>
      </c>
      <c r="C171" s="105">
        <v>3.71</v>
      </c>
      <c r="D171" s="105">
        <v>349866</v>
      </c>
      <c r="E171" s="106">
        <v>44216.643738425926</v>
      </c>
      <c r="F171" s="104">
        <v>1064</v>
      </c>
    </row>
    <row r="172" spans="1:6" x14ac:dyDescent="0.25">
      <c r="A172" s="105"/>
      <c r="B172" s="104">
        <v>13</v>
      </c>
      <c r="C172" s="104">
        <f>SUM(C168:C171)</f>
        <v>19.12</v>
      </c>
      <c r="D172" s="105"/>
      <c r="E172" s="106"/>
      <c r="F172" s="104"/>
    </row>
    <row r="173" spans="1:6" x14ac:dyDescent="0.25">
      <c r="A173" s="105"/>
      <c r="B173" s="105"/>
      <c r="C173" s="105"/>
      <c r="D173" s="105"/>
      <c r="E173" s="106"/>
      <c r="F173" s="104"/>
    </row>
    <row r="174" spans="1:6" x14ac:dyDescent="0.25">
      <c r="A174" s="105" t="str">
        <f>"3903765"</f>
        <v>3903765</v>
      </c>
      <c r="B174" s="105" t="s">
        <v>3572</v>
      </c>
      <c r="C174" s="105">
        <v>3.27</v>
      </c>
      <c r="D174" s="105">
        <v>349414</v>
      </c>
      <c r="E174" s="106">
        <v>44217.406446759262</v>
      </c>
      <c r="F174" s="104">
        <v>1094</v>
      </c>
    </row>
    <row r="175" spans="1:6" x14ac:dyDescent="0.25">
      <c r="A175" s="105" t="str">
        <f>"3907169"</f>
        <v>3907169</v>
      </c>
      <c r="B175" s="105" t="s">
        <v>1134</v>
      </c>
      <c r="C175" s="105">
        <v>20.96</v>
      </c>
      <c r="D175" s="105">
        <v>351011</v>
      </c>
      <c r="E175" s="106">
        <v>44217.515497685185</v>
      </c>
      <c r="F175" s="104">
        <v>1095</v>
      </c>
    </row>
    <row r="176" spans="1:6" x14ac:dyDescent="0.25">
      <c r="A176" s="105" t="str">
        <f>"3909119"</f>
        <v>3909119</v>
      </c>
      <c r="B176" s="105" t="s">
        <v>1124</v>
      </c>
      <c r="C176" s="105">
        <v>8.16</v>
      </c>
      <c r="D176" s="105">
        <v>349725</v>
      </c>
      <c r="E176" s="106">
        <v>44217.519074074073</v>
      </c>
      <c r="F176" s="104">
        <v>1096</v>
      </c>
    </row>
    <row r="177" spans="1:6" x14ac:dyDescent="0.25">
      <c r="A177" s="105" t="str">
        <f>"3908785"</f>
        <v>3908785</v>
      </c>
      <c r="B177" s="105" t="s">
        <v>3573</v>
      </c>
      <c r="C177" s="105">
        <v>2.17</v>
      </c>
      <c r="D177" s="105">
        <v>350754</v>
      </c>
      <c r="E177" s="106">
        <v>44217.526562500003</v>
      </c>
      <c r="F177" s="104">
        <v>1097</v>
      </c>
    </row>
    <row r="178" spans="1:6" x14ac:dyDescent="0.25">
      <c r="A178" s="105" t="str">
        <f>"3908639"</f>
        <v>3908639</v>
      </c>
      <c r="B178" s="105" t="s">
        <v>613</v>
      </c>
      <c r="C178" s="105">
        <v>1.98</v>
      </c>
      <c r="D178" s="105">
        <v>350884</v>
      </c>
      <c r="E178" s="106">
        <v>44217.643101851849</v>
      </c>
      <c r="F178" s="104">
        <v>1098</v>
      </c>
    </row>
    <row r="179" spans="1:6" x14ac:dyDescent="0.25">
      <c r="A179" s="105" t="str">
        <f>"3901913"</f>
        <v>3901913</v>
      </c>
      <c r="B179" s="105" t="s">
        <v>612</v>
      </c>
      <c r="C179" s="105">
        <v>6.62</v>
      </c>
      <c r="D179" s="105">
        <v>350892</v>
      </c>
      <c r="E179" s="106">
        <v>44217.657523148147</v>
      </c>
      <c r="F179" s="104">
        <v>1099</v>
      </c>
    </row>
    <row r="180" spans="1:6" x14ac:dyDescent="0.25">
      <c r="A180" s="105" t="str">
        <f>"3902951"</f>
        <v>3902951</v>
      </c>
      <c r="B180" s="105" t="s">
        <v>612</v>
      </c>
      <c r="C180" s="105">
        <v>1.72</v>
      </c>
      <c r="D180" s="105">
        <v>350897</v>
      </c>
      <c r="E180" s="106">
        <v>44217.657638888886</v>
      </c>
      <c r="F180" s="104">
        <v>1100</v>
      </c>
    </row>
    <row r="181" spans="1:6" x14ac:dyDescent="0.25">
      <c r="A181" s="105"/>
      <c r="B181" s="104">
        <v>14</v>
      </c>
      <c r="C181" s="104">
        <f>SUM(C174:C180)</f>
        <v>44.879999999999995</v>
      </c>
      <c r="D181" s="105"/>
      <c r="E181" s="106"/>
      <c r="F181" s="104"/>
    </row>
    <row r="182" spans="1:6" x14ac:dyDescent="0.25">
      <c r="A182" s="105"/>
      <c r="B182" s="105"/>
      <c r="C182" s="105"/>
      <c r="D182" s="105"/>
      <c r="E182" s="106"/>
      <c r="F182" s="104"/>
    </row>
    <row r="183" spans="1:6" x14ac:dyDescent="0.25">
      <c r="A183" s="105" t="str">
        <f>"3902164"</f>
        <v>3902164</v>
      </c>
      <c r="B183" s="105" t="s">
        <v>1091</v>
      </c>
      <c r="C183" s="105">
        <v>5.74</v>
      </c>
      <c r="D183" s="105">
        <v>352062</v>
      </c>
      <c r="E183" s="106">
        <v>44221.474652777775</v>
      </c>
      <c r="F183" s="104">
        <v>1250</v>
      </c>
    </row>
    <row r="184" spans="1:6" x14ac:dyDescent="0.25">
      <c r="A184" s="105" t="str">
        <f>"3908292"</f>
        <v>3908292</v>
      </c>
      <c r="B184" s="105" t="s">
        <v>1567</v>
      </c>
      <c r="C184" s="105">
        <v>2.68</v>
      </c>
      <c r="D184" s="105">
        <v>352721</v>
      </c>
      <c r="E184" s="106">
        <v>44221.502013888887</v>
      </c>
      <c r="F184" s="104">
        <v>1251</v>
      </c>
    </row>
    <row r="185" spans="1:6" x14ac:dyDescent="0.25">
      <c r="A185" s="105" t="str">
        <f>"3908293"</f>
        <v>3908293</v>
      </c>
      <c r="B185" s="105" t="s">
        <v>1564</v>
      </c>
      <c r="C185" s="105">
        <v>1.68</v>
      </c>
      <c r="D185" s="105">
        <v>352722</v>
      </c>
      <c r="E185" s="106">
        <v>44221.521817129629</v>
      </c>
      <c r="F185" s="104">
        <v>1252</v>
      </c>
    </row>
    <row r="186" spans="1:6" x14ac:dyDescent="0.25">
      <c r="A186" s="105" t="str">
        <f>"3900255"</f>
        <v>3900255</v>
      </c>
      <c r="B186" s="105" t="s">
        <v>3574</v>
      </c>
      <c r="C186" s="105">
        <v>4.13</v>
      </c>
      <c r="D186" s="105">
        <v>352175</v>
      </c>
      <c r="E186" s="106">
        <v>44221.558842592596</v>
      </c>
      <c r="F186" s="104">
        <v>1253</v>
      </c>
    </row>
    <row r="187" spans="1:6" x14ac:dyDescent="0.25">
      <c r="A187" s="105" t="str">
        <f>"3907937"</f>
        <v>3907937</v>
      </c>
      <c r="B187" s="105" t="s">
        <v>1131</v>
      </c>
      <c r="C187" s="105">
        <v>8.36</v>
      </c>
      <c r="D187" s="105">
        <v>352621</v>
      </c>
      <c r="E187" s="106">
        <v>44221.630011574074</v>
      </c>
      <c r="F187" s="104">
        <v>1254</v>
      </c>
    </row>
    <row r="188" spans="1:6" x14ac:dyDescent="0.25">
      <c r="A188" s="105" t="str">
        <f>"3945504"</f>
        <v>3945504</v>
      </c>
      <c r="B188" s="105" t="s">
        <v>1112</v>
      </c>
      <c r="C188" s="105">
        <v>4.1900000000000004</v>
      </c>
      <c r="D188" s="105">
        <v>351163</v>
      </c>
      <c r="E188" s="106">
        <v>44221.651053240741</v>
      </c>
      <c r="F188" s="104">
        <v>1255</v>
      </c>
    </row>
    <row r="189" spans="1:6" x14ac:dyDescent="0.25">
      <c r="A189" s="105"/>
      <c r="B189" s="104">
        <v>15</v>
      </c>
      <c r="C189" s="104">
        <f>SUM(C183:C188)</f>
        <v>26.78</v>
      </c>
      <c r="D189" s="105"/>
      <c r="E189" s="106"/>
      <c r="F189" s="104"/>
    </row>
    <row r="190" spans="1:6" x14ac:dyDescent="0.25">
      <c r="A190" s="105"/>
      <c r="B190" s="105"/>
      <c r="C190" s="105"/>
      <c r="D190" s="105"/>
      <c r="E190" s="106"/>
      <c r="F190" s="104"/>
    </row>
    <row r="191" spans="1:6" x14ac:dyDescent="0.25">
      <c r="A191" s="105" t="str">
        <f>"3903105"</f>
        <v>3903105</v>
      </c>
      <c r="B191" s="105" t="s">
        <v>611</v>
      </c>
      <c r="C191" s="105">
        <v>3.88</v>
      </c>
      <c r="D191" s="105">
        <v>350886</v>
      </c>
      <c r="E191" s="106">
        <v>44222.607824074075</v>
      </c>
      <c r="F191" s="104">
        <v>1256</v>
      </c>
    </row>
    <row r="192" spans="1:6" x14ac:dyDescent="0.25">
      <c r="A192" s="105" t="str">
        <f>"3930030"</f>
        <v>3930030</v>
      </c>
      <c r="B192" s="105" t="s">
        <v>1111</v>
      </c>
      <c r="C192" s="105">
        <v>2.13</v>
      </c>
      <c r="D192" s="105">
        <v>351576</v>
      </c>
      <c r="E192" s="106">
        <v>44222.646226851852</v>
      </c>
      <c r="F192" s="104">
        <v>1257</v>
      </c>
    </row>
    <row r="193" spans="1:6" x14ac:dyDescent="0.25">
      <c r="A193" s="105" t="str">
        <f>"3908209"</f>
        <v>3908209</v>
      </c>
      <c r="B193" s="105" t="s">
        <v>1129</v>
      </c>
      <c r="C193" s="105">
        <v>1.74</v>
      </c>
      <c r="D193" s="105">
        <v>352678</v>
      </c>
      <c r="E193" s="106">
        <v>44222.646793981483</v>
      </c>
      <c r="F193" s="104">
        <v>1258</v>
      </c>
    </row>
    <row r="194" spans="1:6" x14ac:dyDescent="0.25">
      <c r="A194" s="105" t="str">
        <f>"3908224"</f>
        <v>3908224</v>
      </c>
      <c r="B194" s="105" t="s">
        <v>1104</v>
      </c>
      <c r="C194" s="105">
        <v>5.88</v>
      </c>
      <c r="D194" s="105">
        <v>352684</v>
      </c>
      <c r="E194" s="106">
        <v>44222.681759259256</v>
      </c>
      <c r="F194" s="104">
        <v>1259</v>
      </c>
    </row>
    <row r="195" spans="1:6" x14ac:dyDescent="0.25">
      <c r="A195" s="105"/>
      <c r="B195" s="104">
        <v>16</v>
      </c>
      <c r="C195" s="104">
        <f>SUM(C191:C194)</f>
        <v>13.629999999999999</v>
      </c>
      <c r="D195" s="104"/>
      <c r="E195" s="106"/>
      <c r="F195" s="104"/>
    </row>
    <row r="196" spans="1:6" x14ac:dyDescent="0.25">
      <c r="A196" s="105"/>
      <c r="B196" s="105"/>
      <c r="C196" s="105"/>
      <c r="D196" s="105"/>
      <c r="E196" s="106"/>
      <c r="F196" s="104"/>
    </row>
    <row r="197" spans="1:6" x14ac:dyDescent="0.25">
      <c r="A197" s="105" t="str">
        <f>"3903548"</f>
        <v>3903548</v>
      </c>
      <c r="B197" s="105" t="s">
        <v>546</v>
      </c>
      <c r="C197" s="105">
        <v>17.38</v>
      </c>
      <c r="D197" s="105">
        <v>351775</v>
      </c>
      <c r="E197" s="106">
        <v>44223.322256944448</v>
      </c>
      <c r="F197" s="104">
        <v>1299</v>
      </c>
    </row>
    <row r="198" spans="1:6" x14ac:dyDescent="0.25">
      <c r="A198" s="105" t="str">
        <f>"3945471"</f>
        <v>3945471</v>
      </c>
      <c r="B198" s="105" t="s">
        <v>1098</v>
      </c>
      <c r="C198" s="105">
        <v>12.17</v>
      </c>
      <c r="D198" s="105">
        <v>351160</v>
      </c>
      <c r="E198" s="106">
        <v>44223.826770833337</v>
      </c>
      <c r="F198" s="104">
        <v>1300</v>
      </c>
    </row>
    <row r="199" spans="1:6" x14ac:dyDescent="0.25">
      <c r="A199" s="105"/>
      <c r="B199" s="104">
        <v>17</v>
      </c>
      <c r="C199" s="104">
        <f>SUM(C197:C198)</f>
        <v>29.549999999999997</v>
      </c>
      <c r="D199" s="105"/>
      <c r="E199" s="106"/>
      <c r="F199" s="104"/>
    </row>
    <row r="200" spans="1:6" x14ac:dyDescent="0.25">
      <c r="A200" s="105"/>
      <c r="B200" s="105"/>
      <c r="C200" s="105"/>
      <c r="D200" s="105"/>
      <c r="E200" s="106"/>
      <c r="F200" s="104"/>
    </row>
    <row r="201" spans="1:6" x14ac:dyDescent="0.25">
      <c r="A201" s="105" t="str">
        <f>"3908129"</f>
        <v>3908129</v>
      </c>
      <c r="B201" s="105" t="s">
        <v>1105</v>
      </c>
      <c r="C201" s="105">
        <v>1.92</v>
      </c>
      <c r="D201" s="105">
        <v>352643</v>
      </c>
      <c r="E201" s="106">
        <v>44224.308379629627</v>
      </c>
      <c r="F201" s="104">
        <v>1377</v>
      </c>
    </row>
    <row r="202" spans="1:6" x14ac:dyDescent="0.25">
      <c r="A202" s="105" t="str">
        <f>"3908996"</f>
        <v>3908996</v>
      </c>
      <c r="B202" s="105" t="s">
        <v>1594</v>
      </c>
      <c r="C202" s="105">
        <v>7.38</v>
      </c>
      <c r="D202" s="105">
        <v>351698</v>
      </c>
      <c r="E202" s="106">
        <v>44224.388553240744</v>
      </c>
      <c r="F202" s="104">
        <v>1378</v>
      </c>
    </row>
    <row r="203" spans="1:6" x14ac:dyDescent="0.25">
      <c r="A203" s="105" t="str">
        <f>"3909016"</f>
        <v>3909016</v>
      </c>
      <c r="B203" s="105" t="s">
        <v>3575</v>
      </c>
      <c r="C203" s="105">
        <v>9.14</v>
      </c>
      <c r="D203" s="105">
        <v>351752</v>
      </c>
      <c r="E203" s="106">
        <v>44224.400439814817</v>
      </c>
      <c r="F203" s="104">
        <v>1379</v>
      </c>
    </row>
    <row r="204" spans="1:6" x14ac:dyDescent="0.25">
      <c r="A204" s="105" t="str">
        <f>"23923267"</f>
        <v>23923267</v>
      </c>
      <c r="B204" s="105" t="s">
        <v>1109</v>
      </c>
      <c r="C204" s="105">
        <v>10.06</v>
      </c>
      <c r="D204" s="105">
        <v>3728</v>
      </c>
      <c r="E204" s="106">
        <v>44224.468622685185</v>
      </c>
      <c r="F204" s="104">
        <v>1380</v>
      </c>
    </row>
    <row r="205" spans="1:6" x14ac:dyDescent="0.25">
      <c r="A205" s="105" t="str">
        <f>"3930021"</f>
        <v>3930021</v>
      </c>
      <c r="B205" s="105" t="s">
        <v>1120</v>
      </c>
      <c r="C205" s="105">
        <v>1.68</v>
      </c>
      <c r="D205" s="105">
        <v>351573</v>
      </c>
      <c r="E205" s="106">
        <v>44224.479849537034</v>
      </c>
      <c r="F205" s="104">
        <v>1381</v>
      </c>
    </row>
    <row r="206" spans="1:6" x14ac:dyDescent="0.25">
      <c r="A206" s="105" t="str">
        <f>"3907867"</f>
        <v>3907867</v>
      </c>
      <c r="B206" s="105" t="s">
        <v>552</v>
      </c>
      <c r="C206" s="105">
        <v>6.14</v>
      </c>
      <c r="D206" s="105">
        <v>351712</v>
      </c>
      <c r="E206" s="106">
        <v>44224.483807870369</v>
      </c>
      <c r="F206" s="104">
        <v>1382</v>
      </c>
    </row>
    <row r="207" spans="1:6" x14ac:dyDescent="0.25">
      <c r="A207" s="105" t="str">
        <f>"3902576"</f>
        <v>3902576</v>
      </c>
      <c r="B207" s="105" t="s">
        <v>1115</v>
      </c>
      <c r="C207" s="105">
        <v>5.41</v>
      </c>
      <c r="D207" s="105">
        <v>352384</v>
      </c>
      <c r="E207" s="106">
        <v>44224.530775462961</v>
      </c>
      <c r="F207" s="104">
        <v>1383</v>
      </c>
    </row>
    <row r="208" spans="1:6" x14ac:dyDescent="0.25">
      <c r="A208" s="105" t="str">
        <f>"3960375"</f>
        <v>3960375</v>
      </c>
      <c r="B208" s="105" t="s">
        <v>624</v>
      </c>
      <c r="C208" s="105">
        <v>8.3800000000000008</v>
      </c>
      <c r="D208" s="105">
        <v>351147</v>
      </c>
      <c r="E208" s="106">
        <v>44224.543043981481</v>
      </c>
      <c r="F208" s="104">
        <v>1384</v>
      </c>
    </row>
    <row r="209" spans="1:6" x14ac:dyDescent="0.25">
      <c r="A209" s="105" t="str">
        <f>"3960357"</f>
        <v>3960357</v>
      </c>
      <c r="B209" s="105" t="s">
        <v>1086</v>
      </c>
      <c r="C209" s="105">
        <v>8.3800000000000008</v>
      </c>
      <c r="D209" s="105">
        <v>351169</v>
      </c>
      <c r="E209" s="106">
        <v>44224.544062499997</v>
      </c>
      <c r="F209" s="104">
        <v>1385</v>
      </c>
    </row>
    <row r="210" spans="1:6" x14ac:dyDescent="0.25">
      <c r="A210" s="105" t="str">
        <f>"3960265"</f>
        <v>3960265</v>
      </c>
      <c r="B210" s="105" t="s">
        <v>638</v>
      </c>
      <c r="C210" s="105">
        <v>12.3</v>
      </c>
      <c r="D210" s="105">
        <v>351064</v>
      </c>
      <c r="E210" s="106">
        <v>44224.561655092592</v>
      </c>
      <c r="F210" s="104">
        <v>1386</v>
      </c>
    </row>
    <row r="211" spans="1:6" x14ac:dyDescent="0.25">
      <c r="A211" s="105" t="str">
        <f>"3902710"</f>
        <v>3902710</v>
      </c>
      <c r="B211" s="105" t="s">
        <v>632</v>
      </c>
      <c r="C211" s="105">
        <v>2.84</v>
      </c>
      <c r="D211" s="105">
        <v>352405</v>
      </c>
      <c r="E211" s="106">
        <v>44224.654664351852</v>
      </c>
      <c r="F211" s="104">
        <v>1387</v>
      </c>
    </row>
    <row r="212" spans="1:6" x14ac:dyDescent="0.25">
      <c r="A212" s="105"/>
      <c r="B212" s="104">
        <v>18</v>
      </c>
      <c r="C212" s="139">
        <f>SUM(C201:C211)</f>
        <v>73.63000000000001</v>
      </c>
      <c r="D212" s="105"/>
      <c r="E212" s="106"/>
      <c r="F212" s="104"/>
    </row>
    <row r="213" spans="1:6" x14ac:dyDescent="0.25">
      <c r="A213" s="105"/>
      <c r="B213" s="105"/>
      <c r="C213" s="105"/>
      <c r="D213" s="105"/>
      <c r="E213" s="106"/>
      <c r="F213" s="104"/>
    </row>
    <row r="214" spans="1:6" x14ac:dyDescent="0.25">
      <c r="A214" s="105" t="str">
        <f>"3940102"</f>
        <v>3940102</v>
      </c>
      <c r="B214" s="105" t="s">
        <v>1081</v>
      </c>
      <c r="C214" s="105">
        <v>8.3800000000000008</v>
      </c>
      <c r="D214" s="105">
        <v>351058</v>
      </c>
      <c r="E214" s="106">
        <v>44225.333449074074</v>
      </c>
      <c r="F214" s="104">
        <v>1438</v>
      </c>
    </row>
    <row r="215" spans="1:6" x14ac:dyDescent="0.25">
      <c r="A215" s="105" t="str">
        <f>"3945304"</f>
        <v>3945304</v>
      </c>
      <c r="B215" s="105" t="s">
        <v>549</v>
      </c>
      <c r="C215" s="105">
        <v>13.94</v>
      </c>
      <c r="D215" s="105">
        <v>351257</v>
      </c>
      <c r="E215" s="106">
        <v>44225.389652777776</v>
      </c>
      <c r="F215" s="104">
        <v>1439</v>
      </c>
    </row>
    <row r="216" spans="1:6" x14ac:dyDescent="0.25">
      <c r="A216" s="105" t="str">
        <f>"3909013"</f>
        <v>3909013</v>
      </c>
      <c r="B216" s="105" t="s">
        <v>625</v>
      </c>
      <c r="C216" s="105">
        <v>5.04</v>
      </c>
      <c r="D216" s="105">
        <v>349516</v>
      </c>
      <c r="E216" s="106">
        <v>44225.414270833331</v>
      </c>
      <c r="F216" s="104">
        <v>1445</v>
      </c>
    </row>
    <row r="217" spans="1:6" x14ac:dyDescent="0.25">
      <c r="A217" s="105" t="str">
        <f>"3902666"</f>
        <v>3902666</v>
      </c>
      <c r="B217" s="105" t="s">
        <v>3576</v>
      </c>
      <c r="C217" s="105">
        <v>3.88</v>
      </c>
      <c r="D217" s="105">
        <v>350940</v>
      </c>
      <c r="E217" s="106">
        <v>44225.4296875</v>
      </c>
      <c r="F217" s="104">
        <v>1440</v>
      </c>
    </row>
    <row r="218" spans="1:6" x14ac:dyDescent="0.25">
      <c r="A218" s="105" t="str">
        <f>"3945113"</f>
        <v>3945113</v>
      </c>
      <c r="B218" s="105" t="s">
        <v>551</v>
      </c>
      <c r="C218" s="105">
        <v>8.3800000000000008</v>
      </c>
      <c r="D218" s="105">
        <v>351130</v>
      </c>
      <c r="E218" s="106">
        <v>44225.43372685185</v>
      </c>
      <c r="F218" s="104">
        <v>1441</v>
      </c>
    </row>
    <row r="219" spans="1:6" x14ac:dyDescent="0.25">
      <c r="A219" s="105" t="str">
        <f>"3906750"</f>
        <v>3906750</v>
      </c>
      <c r="B219" s="105" t="s">
        <v>616</v>
      </c>
      <c r="C219" s="105">
        <v>5.3</v>
      </c>
      <c r="D219" s="105">
        <v>351799</v>
      </c>
      <c r="E219" s="106">
        <v>44225.442453703705</v>
      </c>
      <c r="F219" s="104">
        <v>1442</v>
      </c>
    </row>
    <row r="220" spans="1:6" x14ac:dyDescent="0.25">
      <c r="A220" s="105" t="str">
        <f>"3930280"</f>
        <v>3930280</v>
      </c>
      <c r="B220" s="105" t="s">
        <v>637</v>
      </c>
      <c r="C220" s="105">
        <v>1.68</v>
      </c>
      <c r="D220" s="105">
        <v>351868</v>
      </c>
      <c r="E220" s="106">
        <v>44225.458831018521</v>
      </c>
      <c r="F220" s="104">
        <v>1443</v>
      </c>
    </row>
    <row r="221" spans="1:6" x14ac:dyDescent="0.25">
      <c r="A221" s="105" t="str">
        <f>"3945204"</f>
        <v>3945204</v>
      </c>
      <c r="B221" s="105" t="s">
        <v>555</v>
      </c>
      <c r="C221" s="105">
        <v>8.3800000000000008</v>
      </c>
      <c r="D221" s="105">
        <v>351196</v>
      </c>
      <c r="E221" s="106">
        <v>44225.461967592593</v>
      </c>
      <c r="F221" s="104">
        <v>1444</v>
      </c>
    </row>
    <row r="222" spans="1:6" x14ac:dyDescent="0.25">
      <c r="A222" s="105"/>
      <c r="B222" s="104">
        <v>19</v>
      </c>
      <c r="C222" s="104">
        <f>SUM(C214:C221)</f>
        <v>54.98</v>
      </c>
      <c r="D222" s="105"/>
      <c r="E222" s="106"/>
      <c r="F222" s="104"/>
    </row>
    <row r="223" spans="1:6" x14ac:dyDescent="0.25">
      <c r="A223" s="23"/>
      <c r="B223" s="23"/>
      <c r="C223" s="23"/>
      <c r="D223" s="23"/>
      <c r="E223" s="24"/>
      <c r="F223" s="83"/>
    </row>
    <row r="224" spans="1:6" x14ac:dyDescent="0.25">
      <c r="A224" s="23"/>
      <c r="B224" s="23"/>
      <c r="C224" s="23"/>
      <c r="D224" s="23"/>
      <c r="E224" s="24"/>
      <c r="F224" s="83"/>
    </row>
    <row r="225" spans="1:6" x14ac:dyDescent="0.25">
      <c r="A225" s="23"/>
      <c r="B225" s="23"/>
      <c r="C225" s="23"/>
      <c r="D225" s="23"/>
      <c r="E225" s="24"/>
      <c r="F225" s="83"/>
    </row>
  </sheetData>
  <mergeCells count="1">
    <mergeCell ref="A1:F1"/>
  </mergeCells>
  <pageMargins left="0.70866141732283472" right="0.70866141732283472" top="0.74803149606299213" bottom="0.74803149606299213" header="0.31496062992125984" footer="0.31496062992125984"/>
  <pageSetup paperSize="9" scale="85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F746B-FB05-4AEC-A488-8979983A418E}">
  <sheetPr>
    <pageSetUpPr fitToPage="1"/>
  </sheetPr>
  <dimension ref="A1:L83"/>
  <sheetViews>
    <sheetView topLeftCell="A55" zoomScaleNormal="100" workbookViewId="0">
      <selection activeCell="D65" sqref="D65"/>
    </sheetView>
  </sheetViews>
  <sheetFormatPr baseColWidth="10" defaultColWidth="11.42578125" defaultRowHeight="11.25" x14ac:dyDescent="0.2"/>
  <cols>
    <col min="1" max="1" width="11.5703125" style="6" customWidth="1"/>
    <col min="2" max="2" width="55.7109375" style="19" customWidth="1"/>
    <col min="3" max="3" width="12.42578125" style="73" bestFit="1" customWidth="1"/>
    <col min="4" max="4" width="11.28515625" style="161" bestFit="1" customWidth="1"/>
    <col min="5" max="5" width="6.140625" style="6" bestFit="1" customWidth="1"/>
    <col min="6" max="6" width="13.140625" style="6" customWidth="1"/>
    <col min="7" max="7" width="3.5703125" style="6" customWidth="1"/>
    <col min="8" max="8" width="14" style="5" customWidth="1"/>
    <col min="9" max="9" width="11.42578125" style="5"/>
    <col min="10" max="10" width="17.28515625" style="5" customWidth="1"/>
    <col min="11" max="256" width="11.42578125" style="5"/>
    <col min="257" max="257" width="14.140625" style="5" customWidth="1"/>
    <col min="258" max="258" width="55.7109375" style="5" customWidth="1"/>
    <col min="259" max="259" width="12.42578125" style="5" bestFit="1" customWidth="1"/>
    <col min="260" max="260" width="11.28515625" style="5" bestFit="1" customWidth="1"/>
    <col min="261" max="261" width="6.140625" style="5" bestFit="1" customWidth="1"/>
    <col min="262" max="262" width="13.140625" style="5" customWidth="1"/>
    <col min="263" max="263" width="3.5703125" style="5" customWidth="1"/>
    <col min="264" max="264" width="14" style="5" customWidth="1"/>
    <col min="265" max="265" width="11.42578125" style="5"/>
    <col min="266" max="266" width="17.28515625" style="5" customWidth="1"/>
    <col min="267" max="512" width="11.42578125" style="5"/>
    <col min="513" max="513" width="14.140625" style="5" customWidth="1"/>
    <col min="514" max="514" width="55.7109375" style="5" customWidth="1"/>
    <col min="515" max="515" width="12.42578125" style="5" bestFit="1" customWidth="1"/>
    <col min="516" max="516" width="11.28515625" style="5" bestFit="1" customWidth="1"/>
    <col min="517" max="517" width="6.140625" style="5" bestFit="1" customWidth="1"/>
    <col min="518" max="518" width="13.140625" style="5" customWidth="1"/>
    <col min="519" max="519" width="3.5703125" style="5" customWidth="1"/>
    <col min="520" max="520" width="14" style="5" customWidth="1"/>
    <col min="521" max="521" width="11.42578125" style="5"/>
    <col min="522" max="522" width="17.28515625" style="5" customWidth="1"/>
    <col min="523" max="768" width="11.42578125" style="5"/>
    <col min="769" max="769" width="14.140625" style="5" customWidth="1"/>
    <col min="770" max="770" width="55.7109375" style="5" customWidth="1"/>
    <col min="771" max="771" width="12.42578125" style="5" bestFit="1" customWidth="1"/>
    <col min="772" max="772" width="11.28515625" style="5" bestFit="1" customWidth="1"/>
    <col min="773" max="773" width="6.140625" style="5" bestFit="1" customWidth="1"/>
    <col min="774" max="774" width="13.140625" style="5" customWidth="1"/>
    <col min="775" max="775" width="3.5703125" style="5" customWidth="1"/>
    <col min="776" max="776" width="14" style="5" customWidth="1"/>
    <col min="777" max="777" width="11.42578125" style="5"/>
    <col min="778" max="778" width="17.28515625" style="5" customWidth="1"/>
    <col min="779" max="1024" width="11.42578125" style="5"/>
    <col min="1025" max="1025" width="14.140625" style="5" customWidth="1"/>
    <col min="1026" max="1026" width="55.7109375" style="5" customWidth="1"/>
    <col min="1027" max="1027" width="12.42578125" style="5" bestFit="1" customWidth="1"/>
    <col min="1028" max="1028" width="11.28515625" style="5" bestFit="1" customWidth="1"/>
    <col min="1029" max="1029" width="6.140625" style="5" bestFit="1" customWidth="1"/>
    <col min="1030" max="1030" width="13.140625" style="5" customWidth="1"/>
    <col min="1031" max="1031" width="3.5703125" style="5" customWidth="1"/>
    <col min="1032" max="1032" width="14" style="5" customWidth="1"/>
    <col min="1033" max="1033" width="11.42578125" style="5"/>
    <col min="1034" max="1034" width="17.28515625" style="5" customWidth="1"/>
    <col min="1035" max="1280" width="11.42578125" style="5"/>
    <col min="1281" max="1281" width="14.140625" style="5" customWidth="1"/>
    <col min="1282" max="1282" width="55.7109375" style="5" customWidth="1"/>
    <col min="1283" max="1283" width="12.42578125" style="5" bestFit="1" customWidth="1"/>
    <col min="1284" max="1284" width="11.28515625" style="5" bestFit="1" customWidth="1"/>
    <col min="1285" max="1285" width="6.140625" style="5" bestFit="1" customWidth="1"/>
    <col min="1286" max="1286" width="13.140625" style="5" customWidth="1"/>
    <col min="1287" max="1287" width="3.5703125" style="5" customWidth="1"/>
    <col min="1288" max="1288" width="14" style="5" customWidth="1"/>
    <col min="1289" max="1289" width="11.42578125" style="5"/>
    <col min="1290" max="1290" width="17.28515625" style="5" customWidth="1"/>
    <col min="1291" max="1536" width="11.42578125" style="5"/>
    <col min="1537" max="1537" width="14.140625" style="5" customWidth="1"/>
    <col min="1538" max="1538" width="55.7109375" style="5" customWidth="1"/>
    <col min="1539" max="1539" width="12.42578125" style="5" bestFit="1" customWidth="1"/>
    <col min="1540" max="1540" width="11.28515625" style="5" bestFit="1" customWidth="1"/>
    <col min="1541" max="1541" width="6.140625" style="5" bestFit="1" customWidth="1"/>
    <col min="1542" max="1542" width="13.140625" style="5" customWidth="1"/>
    <col min="1543" max="1543" width="3.5703125" style="5" customWidth="1"/>
    <col min="1544" max="1544" width="14" style="5" customWidth="1"/>
    <col min="1545" max="1545" width="11.42578125" style="5"/>
    <col min="1546" max="1546" width="17.28515625" style="5" customWidth="1"/>
    <col min="1547" max="1792" width="11.42578125" style="5"/>
    <col min="1793" max="1793" width="14.140625" style="5" customWidth="1"/>
    <col min="1794" max="1794" width="55.7109375" style="5" customWidth="1"/>
    <col min="1795" max="1795" width="12.42578125" style="5" bestFit="1" customWidth="1"/>
    <col min="1796" max="1796" width="11.28515625" style="5" bestFit="1" customWidth="1"/>
    <col min="1797" max="1797" width="6.140625" style="5" bestFit="1" customWidth="1"/>
    <col min="1798" max="1798" width="13.140625" style="5" customWidth="1"/>
    <col min="1799" max="1799" width="3.5703125" style="5" customWidth="1"/>
    <col min="1800" max="1800" width="14" style="5" customWidth="1"/>
    <col min="1801" max="1801" width="11.42578125" style="5"/>
    <col min="1802" max="1802" width="17.28515625" style="5" customWidth="1"/>
    <col min="1803" max="2048" width="11.42578125" style="5"/>
    <col min="2049" max="2049" width="14.140625" style="5" customWidth="1"/>
    <col min="2050" max="2050" width="55.7109375" style="5" customWidth="1"/>
    <col min="2051" max="2051" width="12.42578125" style="5" bestFit="1" customWidth="1"/>
    <col min="2052" max="2052" width="11.28515625" style="5" bestFit="1" customWidth="1"/>
    <col min="2053" max="2053" width="6.140625" style="5" bestFit="1" customWidth="1"/>
    <col min="2054" max="2054" width="13.140625" style="5" customWidth="1"/>
    <col min="2055" max="2055" width="3.5703125" style="5" customWidth="1"/>
    <col min="2056" max="2056" width="14" style="5" customWidth="1"/>
    <col min="2057" max="2057" width="11.42578125" style="5"/>
    <col min="2058" max="2058" width="17.28515625" style="5" customWidth="1"/>
    <col min="2059" max="2304" width="11.42578125" style="5"/>
    <col min="2305" max="2305" width="14.140625" style="5" customWidth="1"/>
    <col min="2306" max="2306" width="55.7109375" style="5" customWidth="1"/>
    <col min="2307" max="2307" width="12.42578125" style="5" bestFit="1" customWidth="1"/>
    <col min="2308" max="2308" width="11.28515625" style="5" bestFit="1" customWidth="1"/>
    <col min="2309" max="2309" width="6.140625" style="5" bestFit="1" customWidth="1"/>
    <col min="2310" max="2310" width="13.140625" style="5" customWidth="1"/>
    <col min="2311" max="2311" width="3.5703125" style="5" customWidth="1"/>
    <col min="2312" max="2312" width="14" style="5" customWidth="1"/>
    <col min="2313" max="2313" width="11.42578125" style="5"/>
    <col min="2314" max="2314" width="17.28515625" style="5" customWidth="1"/>
    <col min="2315" max="2560" width="11.42578125" style="5"/>
    <col min="2561" max="2561" width="14.140625" style="5" customWidth="1"/>
    <col min="2562" max="2562" width="55.7109375" style="5" customWidth="1"/>
    <col min="2563" max="2563" width="12.42578125" style="5" bestFit="1" customWidth="1"/>
    <col min="2564" max="2564" width="11.28515625" style="5" bestFit="1" customWidth="1"/>
    <col min="2565" max="2565" width="6.140625" style="5" bestFit="1" customWidth="1"/>
    <col min="2566" max="2566" width="13.140625" style="5" customWidth="1"/>
    <col min="2567" max="2567" width="3.5703125" style="5" customWidth="1"/>
    <col min="2568" max="2568" width="14" style="5" customWidth="1"/>
    <col min="2569" max="2569" width="11.42578125" style="5"/>
    <col min="2570" max="2570" width="17.28515625" style="5" customWidth="1"/>
    <col min="2571" max="2816" width="11.42578125" style="5"/>
    <col min="2817" max="2817" width="14.140625" style="5" customWidth="1"/>
    <col min="2818" max="2818" width="55.7109375" style="5" customWidth="1"/>
    <col min="2819" max="2819" width="12.42578125" style="5" bestFit="1" customWidth="1"/>
    <col min="2820" max="2820" width="11.28515625" style="5" bestFit="1" customWidth="1"/>
    <col min="2821" max="2821" width="6.140625" style="5" bestFit="1" customWidth="1"/>
    <col min="2822" max="2822" width="13.140625" style="5" customWidth="1"/>
    <col min="2823" max="2823" width="3.5703125" style="5" customWidth="1"/>
    <col min="2824" max="2824" width="14" style="5" customWidth="1"/>
    <col min="2825" max="2825" width="11.42578125" style="5"/>
    <col min="2826" max="2826" width="17.28515625" style="5" customWidth="1"/>
    <col min="2827" max="3072" width="11.42578125" style="5"/>
    <col min="3073" max="3073" width="14.140625" style="5" customWidth="1"/>
    <col min="3074" max="3074" width="55.7109375" style="5" customWidth="1"/>
    <col min="3075" max="3075" width="12.42578125" style="5" bestFit="1" customWidth="1"/>
    <col min="3076" max="3076" width="11.28515625" style="5" bestFit="1" customWidth="1"/>
    <col min="3077" max="3077" width="6.140625" style="5" bestFit="1" customWidth="1"/>
    <col min="3078" max="3078" width="13.140625" style="5" customWidth="1"/>
    <col min="3079" max="3079" width="3.5703125" style="5" customWidth="1"/>
    <col min="3080" max="3080" width="14" style="5" customWidth="1"/>
    <col min="3081" max="3081" width="11.42578125" style="5"/>
    <col min="3082" max="3082" width="17.28515625" style="5" customWidth="1"/>
    <col min="3083" max="3328" width="11.42578125" style="5"/>
    <col min="3329" max="3329" width="14.140625" style="5" customWidth="1"/>
    <col min="3330" max="3330" width="55.7109375" style="5" customWidth="1"/>
    <col min="3331" max="3331" width="12.42578125" style="5" bestFit="1" customWidth="1"/>
    <col min="3332" max="3332" width="11.28515625" style="5" bestFit="1" customWidth="1"/>
    <col min="3333" max="3333" width="6.140625" style="5" bestFit="1" customWidth="1"/>
    <col min="3334" max="3334" width="13.140625" style="5" customWidth="1"/>
    <col min="3335" max="3335" width="3.5703125" style="5" customWidth="1"/>
    <col min="3336" max="3336" width="14" style="5" customWidth="1"/>
    <col min="3337" max="3337" width="11.42578125" style="5"/>
    <col min="3338" max="3338" width="17.28515625" style="5" customWidth="1"/>
    <col min="3339" max="3584" width="11.42578125" style="5"/>
    <col min="3585" max="3585" width="14.140625" style="5" customWidth="1"/>
    <col min="3586" max="3586" width="55.7109375" style="5" customWidth="1"/>
    <col min="3587" max="3587" width="12.42578125" style="5" bestFit="1" customWidth="1"/>
    <col min="3588" max="3588" width="11.28515625" style="5" bestFit="1" customWidth="1"/>
    <col min="3589" max="3589" width="6.140625" style="5" bestFit="1" customWidth="1"/>
    <col min="3590" max="3590" width="13.140625" style="5" customWidth="1"/>
    <col min="3591" max="3591" width="3.5703125" style="5" customWidth="1"/>
    <col min="3592" max="3592" width="14" style="5" customWidth="1"/>
    <col min="3593" max="3593" width="11.42578125" style="5"/>
    <col min="3594" max="3594" width="17.28515625" style="5" customWidth="1"/>
    <col min="3595" max="3840" width="11.42578125" style="5"/>
    <col min="3841" max="3841" width="14.140625" style="5" customWidth="1"/>
    <col min="3842" max="3842" width="55.7109375" style="5" customWidth="1"/>
    <col min="3843" max="3843" width="12.42578125" style="5" bestFit="1" customWidth="1"/>
    <col min="3844" max="3844" width="11.28515625" style="5" bestFit="1" customWidth="1"/>
    <col min="3845" max="3845" width="6.140625" style="5" bestFit="1" customWidth="1"/>
    <col min="3846" max="3846" width="13.140625" style="5" customWidth="1"/>
    <col min="3847" max="3847" width="3.5703125" style="5" customWidth="1"/>
    <col min="3848" max="3848" width="14" style="5" customWidth="1"/>
    <col min="3849" max="3849" width="11.42578125" style="5"/>
    <col min="3850" max="3850" width="17.28515625" style="5" customWidth="1"/>
    <col min="3851" max="4096" width="11.42578125" style="5"/>
    <col min="4097" max="4097" width="14.140625" style="5" customWidth="1"/>
    <col min="4098" max="4098" width="55.7109375" style="5" customWidth="1"/>
    <col min="4099" max="4099" width="12.42578125" style="5" bestFit="1" customWidth="1"/>
    <col min="4100" max="4100" width="11.28515625" style="5" bestFit="1" customWidth="1"/>
    <col min="4101" max="4101" width="6.140625" style="5" bestFit="1" customWidth="1"/>
    <col min="4102" max="4102" width="13.140625" style="5" customWidth="1"/>
    <col min="4103" max="4103" width="3.5703125" style="5" customWidth="1"/>
    <col min="4104" max="4104" width="14" style="5" customWidth="1"/>
    <col min="4105" max="4105" width="11.42578125" style="5"/>
    <col min="4106" max="4106" width="17.28515625" style="5" customWidth="1"/>
    <col min="4107" max="4352" width="11.42578125" style="5"/>
    <col min="4353" max="4353" width="14.140625" style="5" customWidth="1"/>
    <col min="4354" max="4354" width="55.7109375" style="5" customWidth="1"/>
    <col min="4355" max="4355" width="12.42578125" style="5" bestFit="1" customWidth="1"/>
    <col min="4356" max="4356" width="11.28515625" style="5" bestFit="1" customWidth="1"/>
    <col min="4357" max="4357" width="6.140625" style="5" bestFit="1" customWidth="1"/>
    <col min="4358" max="4358" width="13.140625" style="5" customWidth="1"/>
    <col min="4359" max="4359" width="3.5703125" style="5" customWidth="1"/>
    <col min="4360" max="4360" width="14" style="5" customWidth="1"/>
    <col min="4361" max="4361" width="11.42578125" style="5"/>
    <col min="4362" max="4362" width="17.28515625" style="5" customWidth="1"/>
    <col min="4363" max="4608" width="11.42578125" style="5"/>
    <col min="4609" max="4609" width="14.140625" style="5" customWidth="1"/>
    <col min="4610" max="4610" width="55.7109375" style="5" customWidth="1"/>
    <col min="4611" max="4611" width="12.42578125" style="5" bestFit="1" customWidth="1"/>
    <col min="4612" max="4612" width="11.28515625" style="5" bestFit="1" customWidth="1"/>
    <col min="4613" max="4613" width="6.140625" style="5" bestFit="1" customWidth="1"/>
    <col min="4614" max="4614" width="13.140625" style="5" customWidth="1"/>
    <col min="4615" max="4615" width="3.5703125" style="5" customWidth="1"/>
    <col min="4616" max="4616" width="14" style="5" customWidth="1"/>
    <col min="4617" max="4617" width="11.42578125" style="5"/>
    <col min="4618" max="4618" width="17.28515625" style="5" customWidth="1"/>
    <col min="4619" max="4864" width="11.42578125" style="5"/>
    <col min="4865" max="4865" width="14.140625" style="5" customWidth="1"/>
    <col min="4866" max="4866" width="55.7109375" style="5" customWidth="1"/>
    <col min="4867" max="4867" width="12.42578125" style="5" bestFit="1" customWidth="1"/>
    <col min="4868" max="4868" width="11.28515625" style="5" bestFit="1" customWidth="1"/>
    <col min="4869" max="4869" width="6.140625" style="5" bestFit="1" customWidth="1"/>
    <col min="4870" max="4870" width="13.140625" style="5" customWidth="1"/>
    <col min="4871" max="4871" width="3.5703125" style="5" customWidth="1"/>
    <col min="4872" max="4872" width="14" style="5" customWidth="1"/>
    <col min="4873" max="4873" width="11.42578125" style="5"/>
    <col min="4874" max="4874" width="17.28515625" style="5" customWidth="1"/>
    <col min="4875" max="5120" width="11.42578125" style="5"/>
    <col min="5121" max="5121" width="14.140625" style="5" customWidth="1"/>
    <col min="5122" max="5122" width="55.7109375" style="5" customWidth="1"/>
    <col min="5123" max="5123" width="12.42578125" style="5" bestFit="1" customWidth="1"/>
    <col min="5124" max="5124" width="11.28515625" style="5" bestFit="1" customWidth="1"/>
    <col min="5125" max="5125" width="6.140625" style="5" bestFit="1" customWidth="1"/>
    <col min="5126" max="5126" width="13.140625" style="5" customWidth="1"/>
    <col min="5127" max="5127" width="3.5703125" style="5" customWidth="1"/>
    <col min="5128" max="5128" width="14" style="5" customWidth="1"/>
    <col min="5129" max="5129" width="11.42578125" style="5"/>
    <col min="5130" max="5130" width="17.28515625" style="5" customWidth="1"/>
    <col min="5131" max="5376" width="11.42578125" style="5"/>
    <col min="5377" max="5377" width="14.140625" style="5" customWidth="1"/>
    <col min="5378" max="5378" width="55.7109375" style="5" customWidth="1"/>
    <col min="5379" max="5379" width="12.42578125" style="5" bestFit="1" customWidth="1"/>
    <col min="5380" max="5380" width="11.28515625" style="5" bestFit="1" customWidth="1"/>
    <col min="5381" max="5381" width="6.140625" style="5" bestFit="1" customWidth="1"/>
    <col min="5382" max="5382" width="13.140625" style="5" customWidth="1"/>
    <col min="5383" max="5383" width="3.5703125" style="5" customWidth="1"/>
    <col min="5384" max="5384" width="14" style="5" customWidth="1"/>
    <col min="5385" max="5385" width="11.42578125" style="5"/>
    <col min="5386" max="5386" width="17.28515625" style="5" customWidth="1"/>
    <col min="5387" max="5632" width="11.42578125" style="5"/>
    <col min="5633" max="5633" width="14.140625" style="5" customWidth="1"/>
    <col min="5634" max="5634" width="55.7109375" style="5" customWidth="1"/>
    <col min="5635" max="5635" width="12.42578125" style="5" bestFit="1" customWidth="1"/>
    <col min="5636" max="5636" width="11.28515625" style="5" bestFit="1" customWidth="1"/>
    <col min="5637" max="5637" width="6.140625" style="5" bestFit="1" customWidth="1"/>
    <col min="5638" max="5638" width="13.140625" style="5" customWidth="1"/>
    <col min="5639" max="5639" width="3.5703125" style="5" customWidth="1"/>
    <col min="5640" max="5640" width="14" style="5" customWidth="1"/>
    <col min="5641" max="5641" width="11.42578125" style="5"/>
    <col min="5642" max="5642" width="17.28515625" style="5" customWidth="1"/>
    <col min="5643" max="5888" width="11.42578125" style="5"/>
    <col min="5889" max="5889" width="14.140625" style="5" customWidth="1"/>
    <col min="5890" max="5890" width="55.7109375" style="5" customWidth="1"/>
    <col min="5891" max="5891" width="12.42578125" style="5" bestFit="1" customWidth="1"/>
    <col min="5892" max="5892" width="11.28515625" style="5" bestFit="1" customWidth="1"/>
    <col min="5893" max="5893" width="6.140625" style="5" bestFit="1" customWidth="1"/>
    <col min="5894" max="5894" width="13.140625" style="5" customWidth="1"/>
    <col min="5895" max="5895" width="3.5703125" style="5" customWidth="1"/>
    <col min="5896" max="5896" width="14" style="5" customWidth="1"/>
    <col min="5897" max="5897" width="11.42578125" style="5"/>
    <col min="5898" max="5898" width="17.28515625" style="5" customWidth="1"/>
    <col min="5899" max="6144" width="11.42578125" style="5"/>
    <col min="6145" max="6145" width="14.140625" style="5" customWidth="1"/>
    <col min="6146" max="6146" width="55.7109375" style="5" customWidth="1"/>
    <col min="6147" max="6147" width="12.42578125" style="5" bestFit="1" customWidth="1"/>
    <col min="6148" max="6148" width="11.28515625" style="5" bestFit="1" customWidth="1"/>
    <col min="6149" max="6149" width="6.140625" style="5" bestFit="1" customWidth="1"/>
    <col min="6150" max="6150" width="13.140625" style="5" customWidth="1"/>
    <col min="6151" max="6151" width="3.5703125" style="5" customWidth="1"/>
    <col min="6152" max="6152" width="14" style="5" customWidth="1"/>
    <col min="6153" max="6153" width="11.42578125" style="5"/>
    <col min="6154" max="6154" width="17.28515625" style="5" customWidth="1"/>
    <col min="6155" max="6400" width="11.42578125" style="5"/>
    <col min="6401" max="6401" width="14.140625" style="5" customWidth="1"/>
    <col min="6402" max="6402" width="55.7109375" style="5" customWidth="1"/>
    <col min="6403" max="6403" width="12.42578125" style="5" bestFit="1" customWidth="1"/>
    <col min="6404" max="6404" width="11.28515625" style="5" bestFit="1" customWidth="1"/>
    <col min="6405" max="6405" width="6.140625" style="5" bestFit="1" customWidth="1"/>
    <col min="6406" max="6406" width="13.140625" style="5" customWidth="1"/>
    <col min="6407" max="6407" width="3.5703125" style="5" customWidth="1"/>
    <col min="6408" max="6408" width="14" style="5" customWidth="1"/>
    <col min="6409" max="6409" width="11.42578125" style="5"/>
    <col min="6410" max="6410" width="17.28515625" style="5" customWidth="1"/>
    <col min="6411" max="6656" width="11.42578125" style="5"/>
    <col min="6657" max="6657" width="14.140625" style="5" customWidth="1"/>
    <col min="6658" max="6658" width="55.7109375" style="5" customWidth="1"/>
    <col min="6659" max="6659" width="12.42578125" style="5" bestFit="1" customWidth="1"/>
    <col min="6660" max="6660" width="11.28515625" style="5" bestFit="1" customWidth="1"/>
    <col min="6661" max="6661" width="6.140625" style="5" bestFit="1" customWidth="1"/>
    <col min="6662" max="6662" width="13.140625" style="5" customWidth="1"/>
    <col min="6663" max="6663" width="3.5703125" style="5" customWidth="1"/>
    <col min="6664" max="6664" width="14" style="5" customWidth="1"/>
    <col min="6665" max="6665" width="11.42578125" style="5"/>
    <col min="6666" max="6666" width="17.28515625" style="5" customWidth="1"/>
    <col min="6667" max="6912" width="11.42578125" style="5"/>
    <col min="6913" max="6913" width="14.140625" style="5" customWidth="1"/>
    <col min="6914" max="6914" width="55.7109375" style="5" customWidth="1"/>
    <col min="6915" max="6915" width="12.42578125" style="5" bestFit="1" customWidth="1"/>
    <col min="6916" max="6916" width="11.28515625" style="5" bestFit="1" customWidth="1"/>
    <col min="6917" max="6917" width="6.140625" style="5" bestFit="1" customWidth="1"/>
    <col min="6918" max="6918" width="13.140625" style="5" customWidth="1"/>
    <col min="6919" max="6919" width="3.5703125" style="5" customWidth="1"/>
    <col min="6920" max="6920" width="14" style="5" customWidth="1"/>
    <col min="6921" max="6921" width="11.42578125" style="5"/>
    <col min="6922" max="6922" width="17.28515625" style="5" customWidth="1"/>
    <col min="6923" max="7168" width="11.42578125" style="5"/>
    <col min="7169" max="7169" width="14.140625" style="5" customWidth="1"/>
    <col min="7170" max="7170" width="55.7109375" style="5" customWidth="1"/>
    <col min="7171" max="7171" width="12.42578125" style="5" bestFit="1" customWidth="1"/>
    <col min="7172" max="7172" width="11.28515625" style="5" bestFit="1" customWidth="1"/>
    <col min="7173" max="7173" width="6.140625" style="5" bestFit="1" customWidth="1"/>
    <col min="7174" max="7174" width="13.140625" style="5" customWidth="1"/>
    <col min="7175" max="7175" width="3.5703125" style="5" customWidth="1"/>
    <col min="7176" max="7176" width="14" style="5" customWidth="1"/>
    <col min="7177" max="7177" width="11.42578125" style="5"/>
    <col min="7178" max="7178" width="17.28515625" style="5" customWidth="1"/>
    <col min="7179" max="7424" width="11.42578125" style="5"/>
    <col min="7425" max="7425" width="14.140625" style="5" customWidth="1"/>
    <col min="7426" max="7426" width="55.7109375" style="5" customWidth="1"/>
    <col min="7427" max="7427" width="12.42578125" style="5" bestFit="1" customWidth="1"/>
    <col min="7428" max="7428" width="11.28515625" style="5" bestFit="1" customWidth="1"/>
    <col min="7429" max="7429" width="6.140625" style="5" bestFit="1" customWidth="1"/>
    <col min="7430" max="7430" width="13.140625" style="5" customWidth="1"/>
    <col min="7431" max="7431" width="3.5703125" style="5" customWidth="1"/>
    <col min="7432" max="7432" width="14" style="5" customWidth="1"/>
    <col min="7433" max="7433" width="11.42578125" style="5"/>
    <col min="7434" max="7434" width="17.28515625" style="5" customWidth="1"/>
    <col min="7435" max="7680" width="11.42578125" style="5"/>
    <col min="7681" max="7681" width="14.140625" style="5" customWidth="1"/>
    <col min="7682" max="7682" width="55.7109375" style="5" customWidth="1"/>
    <col min="7683" max="7683" width="12.42578125" style="5" bestFit="1" customWidth="1"/>
    <col min="7684" max="7684" width="11.28515625" style="5" bestFit="1" customWidth="1"/>
    <col min="7685" max="7685" width="6.140625" style="5" bestFit="1" customWidth="1"/>
    <col min="7686" max="7686" width="13.140625" style="5" customWidth="1"/>
    <col min="7687" max="7687" width="3.5703125" style="5" customWidth="1"/>
    <col min="7688" max="7688" width="14" style="5" customWidth="1"/>
    <col min="7689" max="7689" width="11.42578125" style="5"/>
    <col min="7690" max="7690" width="17.28515625" style="5" customWidth="1"/>
    <col min="7691" max="7936" width="11.42578125" style="5"/>
    <col min="7937" max="7937" width="14.140625" style="5" customWidth="1"/>
    <col min="7938" max="7938" width="55.7109375" style="5" customWidth="1"/>
    <col min="7939" max="7939" width="12.42578125" style="5" bestFit="1" customWidth="1"/>
    <col min="7940" max="7940" width="11.28515625" style="5" bestFit="1" customWidth="1"/>
    <col min="7941" max="7941" width="6.140625" style="5" bestFit="1" customWidth="1"/>
    <col min="7942" max="7942" width="13.140625" style="5" customWidth="1"/>
    <col min="7943" max="7943" width="3.5703125" style="5" customWidth="1"/>
    <col min="7944" max="7944" width="14" style="5" customWidth="1"/>
    <col min="7945" max="7945" width="11.42578125" style="5"/>
    <col min="7946" max="7946" width="17.28515625" style="5" customWidth="1"/>
    <col min="7947" max="8192" width="11.42578125" style="5"/>
    <col min="8193" max="8193" width="14.140625" style="5" customWidth="1"/>
    <col min="8194" max="8194" width="55.7109375" style="5" customWidth="1"/>
    <col min="8195" max="8195" width="12.42578125" style="5" bestFit="1" customWidth="1"/>
    <col min="8196" max="8196" width="11.28515625" style="5" bestFit="1" customWidth="1"/>
    <col min="8197" max="8197" width="6.140625" style="5" bestFit="1" customWidth="1"/>
    <col min="8198" max="8198" width="13.140625" style="5" customWidth="1"/>
    <col min="8199" max="8199" width="3.5703125" style="5" customWidth="1"/>
    <col min="8200" max="8200" width="14" style="5" customWidth="1"/>
    <col min="8201" max="8201" width="11.42578125" style="5"/>
    <col min="8202" max="8202" width="17.28515625" style="5" customWidth="1"/>
    <col min="8203" max="8448" width="11.42578125" style="5"/>
    <col min="8449" max="8449" width="14.140625" style="5" customWidth="1"/>
    <col min="8450" max="8450" width="55.7109375" style="5" customWidth="1"/>
    <col min="8451" max="8451" width="12.42578125" style="5" bestFit="1" customWidth="1"/>
    <col min="8452" max="8452" width="11.28515625" style="5" bestFit="1" customWidth="1"/>
    <col min="8453" max="8453" width="6.140625" style="5" bestFit="1" customWidth="1"/>
    <col min="8454" max="8454" width="13.140625" style="5" customWidth="1"/>
    <col min="8455" max="8455" width="3.5703125" style="5" customWidth="1"/>
    <col min="8456" max="8456" width="14" style="5" customWidth="1"/>
    <col min="8457" max="8457" width="11.42578125" style="5"/>
    <col min="8458" max="8458" width="17.28515625" style="5" customWidth="1"/>
    <col min="8459" max="8704" width="11.42578125" style="5"/>
    <col min="8705" max="8705" width="14.140625" style="5" customWidth="1"/>
    <col min="8706" max="8706" width="55.7109375" style="5" customWidth="1"/>
    <col min="8707" max="8707" width="12.42578125" style="5" bestFit="1" customWidth="1"/>
    <col min="8708" max="8708" width="11.28515625" style="5" bestFit="1" customWidth="1"/>
    <col min="8709" max="8709" width="6.140625" style="5" bestFit="1" customWidth="1"/>
    <col min="8710" max="8710" width="13.140625" style="5" customWidth="1"/>
    <col min="8711" max="8711" width="3.5703125" style="5" customWidth="1"/>
    <col min="8712" max="8712" width="14" style="5" customWidth="1"/>
    <col min="8713" max="8713" width="11.42578125" style="5"/>
    <col min="8714" max="8714" width="17.28515625" style="5" customWidth="1"/>
    <col min="8715" max="8960" width="11.42578125" style="5"/>
    <col min="8961" max="8961" width="14.140625" style="5" customWidth="1"/>
    <col min="8962" max="8962" width="55.7109375" style="5" customWidth="1"/>
    <col min="8963" max="8963" width="12.42578125" style="5" bestFit="1" customWidth="1"/>
    <col min="8964" max="8964" width="11.28515625" style="5" bestFit="1" customWidth="1"/>
    <col min="8965" max="8965" width="6.140625" style="5" bestFit="1" customWidth="1"/>
    <col min="8966" max="8966" width="13.140625" style="5" customWidth="1"/>
    <col min="8967" max="8967" width="3.5703125" style="5" customWidth="1"/>
    <col min="8968" max="8968" width="14" style="5" customWidth="1"/>
    <col min="8969" max="8969" width="11.42578125" style="5"/>
    <col min="8970" max="8970" width="17.28515625" style="5" customWidth="1"/>
    <col min="8971" max="9216" width="11.42578125" style="5"/>
    <col min="9217" max="9217" width="14.140625" style="5" customWidth="1"/>
    <col min="9218" max="9218" width="55.7109375" style="5" customWidth="1"/>
    <col min="9219" max="9219" width="12.42578125" style="5" bestFit="1" customWidth="1"/>
    <col min="9220" max="9220" width="11.28515625" style="5" bestFit="1" customWidth="1"/>
    <col min="9221" max="9221" width="6.140625" style="5" bestFit="1" customWidth="1"/>
    <col min="9222" max="9222" width="13.140625" style="5" customWidth="1"/>
    <col min="9223" max="9223" width="3.5703125" style="5" customWidth="1"/>
    <col min="9224" max="9224" width="14" style="5" customWidth="1"/>
    <col min="9225" max="9225" width="11.42578125" style="5"/>
    <col min="9226" max="9226" width="17.28515625" style="5" customWidth="1"/>
    <col min="9227" max="9472" width="11.42578125" style="5"/>
    <col min="9473" max="9473" width="14.140625" style="5" customWidth="1"/>
    <col min="9474" max="9474" width="55.7109375" style="5" customWidth="1"/>
    <col min="9475" max="9475" width="12.42578125" style="5" bestFit="1" customWidth="1"/>
    <col min="9476" max="9476" width="11.28515625" style="5" bestFit="1" customWidth="1"/>
    <col min="9477" max="9477" width="6.140625" style="5" bestFit="1" customWidth="1"/>
    <col min="9478" max="9478" width="13.140625" style="5" customWidth="1"/>
    <col min="9479" max="9479" width="3.5703125" style="5" customWidth="1"/>
    <col min="9480" max="9480" width="14" style="5" customWidth="1"/>
    <col min="9481" max="9481" width="11.42578125" style="5"/>
    <col min="9482" max="9482" width="17.28515625" style="5" customWidth="1"/>
    <col min="9483" max="9728" width="11.42578125" style="5"/>
    <col min="9729" max="9729" width="14.140625" style="5" customWidth="1"/>
    <col min="9730" max="9730" width="55.7109375" style="5" customWidth="1"/>
    <col min="9731" max="9731" width="12.42578125" style="5" bestFit="1" customWidth="1"/>
    <col min="9732" max="9732" width="11.28515625" style="5" bestFit="1" customWidth="1"/>
    <col min="9733" max="9733" width="6.140625" style="5" bestFit="1" customWidth="1"/>
    <col min="9734" max="9734" width="13.140625" style="5" customWidth="1"/>
    <col min="9735" max="9735" width="3.5703125" style="5" customWidth="1"/>
    <col min="9736" max="9736" width="14" style="5" customWidth="1"/>
    <col min="9737" max="9737" width="11.42578125" style="5"/>
    <col min="9738" max="9738" width="17.28515625" style="5" customWidth="1"/>
    <col min="9739" max="9984" width="11.42578125" style="5"/>
    <col min="9985" max="9985" width="14.140625" style="5" customWidth="1"/>
    <col min="9986" max="9986" width="55.7109375" style="5" customWidth="1"/>
    <col min="9987" max="9987" width="12.42578125" style="5" bestFit="1" customWidth="1"/>
    <col min="9988" max="9988" width="11.28515625" style="5" bestFit="1" customWidth="1"/>
    <col min="9989" max="9989" width="6.140625" style="5" bestFit="1" customWidth="1"/>
    <col min="9990" max="9990" width="13.140625" style="5" customWidth="1"/>
    <col min="9991" max="9991" width="3.5703125" style="5" customWidth="1"/>
    <col min="9992" max="9992" width="14" style="5" customWidth="1"/>
    <col min="9993" max="9993" width="11.42578125" style="5"/>
    <col min="9994" max="9994" width="17.28515625" style="5" customWidth="1"/>
    <col min="9995" max="10240" width="11.42578125" style="5"/>
    <col min="10241" max="10241" width="14.140625" style="5" customWidth="1"/>
    <col min="10242" max="10242" width="55.7109375" style="5" customWidth="1"/>
    <col min="10243" max="10243" width="12.42578125" style="5" bestFit="1" customWidth="1"/>
    <col min="10244" max="10244" width="11.28515625" style="5" bestFit="1" customWidth="1"/>
    <col min="10245" max="10245" width="6.140625" style="5" bestFit="1" customWidth="1"/>
    <col min="10246" max="10246" width="13.140625" style="5" customWidth="1"/>
    <col min="10247" max="10247" width="3.5703125" style="5" customWidth="1"/>
    <col min="10248" max="10248" width="14" style="5" customWidth="1"/>
    <col min="10249" max="10249" width="11.42578125" style="5"/>
    <col min="10250" max="10250" width="17.28515625" style="5" customWidth="1"/>
    <col min="10251" max="10496" width="11.42578125" style="5"/>
    <col min="10497" max="10497" width="14.140625" style="5" customWidth="1"/>
    <col min="10498" max="10498" width="55.7109375" style="5" customWidth="1"/>
    <col min="10499" max="10499" width="12.42578125" style="5" bestFit="1" customWidth="1"/>
    <col min="10500" max="10500" width="11.28515625" style="5" bestFit="1" customWidth="1"/>
    <col min="10501" max="10501" width="6.140625" style="5" bestFit="1" customWidth="1"/>
    <col min="10502" max="10502" width="13.140625" style="5" customWidth="1"/>
    <col min="10503" max="10503" width="3.5703125" style="5" customWidth="1"/>
    <col min="10504" max="10504" width="14" style="5" customWidth="1"/>
    <col min="10505" max="10505" width="11.42578125" style="5"/>
    <col min="10506" max="10506" width="17.28515625" style="5" customWidth="1"/>
    <col min="10507" max="10752" width="11.42578125" style="5"/>
    <col min="10753" max="10753" width="14.140625" style="5" customWidth="1"/>
    <col min="10754" max="10754" width="55.7109375" style="5" customWidth="1"/>
    <col min="10755" max="10755" width="12.42578125" style="5" bestFit="1" customWidth="1"/>
    <col min="10756" max="10756" width="11.28515625" style="5" bestFit="1" customWidth="1"/>
    <col min="10757" max="10757" width="6.140625" style="5" bestFit="1" customWidth="1"/>
    <col min="10758" max="10758" width="13.140625" style="5" customWidth="1"/>
    <col min="10759" max="10759" width="3.5703125" style="5" customWidth="1"/>
    <col min="10760" max="10760" width="14" style="5" customWidth="1"/>
    <col min="10761" max="10761" width="11.42578125" style="5"/>
    <col min="10762" max="10762" width="17.28515625" style="5" customWidth="1"/>
    <col min="10763" max="11008" width="11.42578125" style="5"/>
    <col min="11009" max="11009" width="14.140625" style="5" customWidth="1"/>
    <col min="11010" max="11010" width="55.7109375" style="5" customWidth="1"/>
    <col min="11011" max="11011" width="12.42578125" style="5" bestFit="1" customWidth="1"/>
    <col min="11012" max="11012" width="11.28515625" style="5" bestFit="1" customWidth="1"/>
    <col min="11013" max="11013" width="6.140625" style="5" bestFit="1" customWidth="1"/>
    <col min="11014" max="11014" width="13.140625" style="5" customWidth="1"/>
    <col min="11015" max="11015" width="3.5703125" style="5" customWidth="1"/>
    <col min="11016" max="11016" width="14" style="5" customWidth="1"/>
    <col min="11017" max="11017" width="11.42578125" style="5"/>
    <col min="11018" max="11018" width="17.28515625" style="5" customWidth="1"/>
    <col min="11019" max="11264" width="11.42578125" style="5"/>
    <col min="11265" max="11265" width="14.140625" style="5" customWidth="1"/>
    <col min="11266" max="11266" width="55.7109375" style="5" customWidth="1"/>
    <col min="11267" max="11267" width="12.42578125" style="5" bestFit="1" customWidth="1"/>
    <col min="11268" max="11268" width="11.28515625" style="5" bestFit="1" customWidth="1"/>
    <col min="11269" max="11269" width="6.140625" style="5" bestFit="1" customWidth="1"/>
    <col min="11270" max="11270" width="13.140625" style="5" customWidth="1"/>
    <col min="11271" max="11271" width="3.5703125" style="5" customWidth="1"/>
    <col min="11272" max="11272" width="14" style="5" customWidth="1"/>
    <col min="11273" max="11273" width="11.42578125" style="5"/>
    <col min="11274" max="11274" width="17.28515625" style="5" customWidth="1"/>
    <col min="11275" max="11520" width="11.42578125" style="5"/>
    <col min="11521" max="11521" width="14.140625" style="5" customWidth="1"/>
    <col min="11522" max="11522" width="55.7109375" style="5" customWidth="1"/>
    <col min="11523" max="11523" width="12.42578125" style="5" bestFit="1" customWidth="1"/>
    <col min="11524" max="11524" width="11.28515625" style="5" bestFit="1" customWidth="1"/>
    <col min="11525" max="11525" width="6.140625" style="5" bestFit="1" customWidth="1"/>
    <col min="11526" max="11526" width="13.140625" style="5" customWidth="1"/>
    <col min="11527" max="11527" width="3.5703125" style="5" customWidth="1"/>
    <col min="11528" max="11528" width="14" style="5" customWidth="1"/>
    <col min="11529" max="11529" width="11.42578125" style="5"/>
    <col min="11530" max="11530" width="17.28515625" style="5" customWidth="1"/>
    <col min="11531" max="11776" width="11.42578125" style="5"/>
    <col min="11777" max="11777" width="14.140625" style="5" customWidth="1"/>
    <col min="11778" max="11778" width="55.7109375" style="5" customWidth="1"/>
    <col min="11779" max="11779" width="12.42578125" style="5" bestFit="1" customWidth="1"/>
    <col min="11780" max="11780" width="11.28515625" style="5" bestFit="1" customWidth="1"/>
    <col min="11781" max="11781" width="6.140625" style="5" bestFit="1" customWidth="1"/>
    <col min="11782" max="11782" width="13.140625" style="5" customWidth="1"/>
    <col min="11783" max="11783" width="3.5703125" style="5" customWidth="1"/>
    <col min="11784" max="11784" width="14" style="5" customWidth="1"/>
    <col min="11785" max="11785" width="11.42578125" style="5"/>
    <col min="11786" max="11786" width="17.28515625" style="5" customWidth="1"/>
    <col min="11787" max="12032" width="11.42578125" style="5"/>
    <col min="12033" max="12033" width="14.140625" style="5" customWidth="1"/>
    <col min="12034" max="12034" width="55.7109375" style="5" customWidth="1"/>
    <col min="12035" max="12035" width="12.42578125" style="5" bestFit="1" customWidth="1"/>
    <col min="12036" max="12036" width="11.28515625" style="5" bestFit="1" customWidth="1"/>
    <col min="12037" max="12037" width="6.140625" style="5" bestFit="1" customWidth="1"/>
    <col min="12038" max="12038" width="13.140625" style="5" customWidth="1"/>
    <col min="12039" max="12039" width="3.5703125" style="5" customWidth="1"/>
    <col min="12040" max="12040" width="14" style="5" customWidth="1"/>
    <col min="12041" max="12041" width="11.42578125" style="5"/>
    <col min="12042" max="12042" width="17.28515625" style="5" customWidth="1"/>
    <col min="12043" max="12288" width="11.42578125" style="5"/>
    <col min="12289" max="12289" width="14.140625" style="5" customWidth="1"/>
    <col min="12290" max="12290" width="55.7109375" style="5" customWidth="1"/>
    <col min="12291" max="12291" width="12.42578125" style="5" bestFit="1" customWidth="1"/>
    <col min="12292" max="12292" width="11.28515625" style="5" bestFit="1" customWidth="1"/>
    <col min="12293" max="12293" width="6.140625" style="5" bestFit="1" customWidth="1"/>
    <col min="12294" max="12294" width="13.140625" style="5" customWidth="1"/>
    <col min="12295" max="12295" width="3.5703125" style="5" customWidth="1"/>
    <col min="12296" max="12296" width="14" style="5" customWidth="1"/>
    <col min="12297" max="12297" width="11.42578125" style="5"/>
    <col min="12298" max="12298" width="17.28515625" style="5" customWidth="1"/>
    <col min="12299" max="12544" width="11.42578125" style="5"/>
    <col min="12545" max="12545" width="14.140625" style="5" customWidth="1"/>
    <col min="12546" max="12546" width="55.7109375" style="5" customWidth="1"/>
    <col min="12547" max="12547" width="12.42578125" style="5" bestFit="1" customWidth="1"/>
    <col min="12548" max="12548" width="11.28515625" style="5" bestFit="1" customWidth="1"/>
    <col min="12549" max="12549" width="6.140625" style="5" bestFit="1" customWidth="1"/>
    <col min="12550" max="12550" width="13.140625" style="5" customWidth="1"/>
    <col min="12551" max="12551" width="3.5703125" style="5" customWidth="1"/>
    <col min="12552" max="12552" width="14" style="5" customWidth="1"/>
    <col min="12553" max="12553" width="11.42578125" style="5"/>
    <col min="12554" max="12554" width="17.28515625" style="5" customWidth="1"/>
    <col min="12555" max="12800" width="11.42578125" style="5"/>
    <col min="12801" max="12801" width="14.140625" style="5" customWidth="1"/>
    <col min="12802" max="12802" width="55.7109375" style="5" customWidth="1"/>
    <col min="12803" max="12803" width="12.42578125" style="5" bestFit="1" customWidth="1"/>
    <col min="12804" max="12804" width="11.28515625" style="5" bestFit="1" customWidth="1"/>
    <col min="12805" max="12805" width="6.140625" style="5" bestFit="1" customWidth="1"/>
    <col min="12806" max="12806" width="13.140625" style="5" customWidth="1"/>
    <col min="12807" max="12807" width="3.5703125" style="5" customWidth="1"/>
    <col min="12808" max="12808" width="14" style="5" customWidth="1"/>
    <col min="12809" max="12809" width="11.42578125" style="5"/>
    <col min="12810" max="12810" width="17.28515625" style="5" customWidth="1"/>
    <col min="12811" max="13056" width="11.42578125" style="5"/>
    <col min="13057" max="13057" width="14.140625" style="5" customWidth="1"/>
    <col min="13058" max="13058" width="55.7109375" style="5" customWidth="1"/>
    <col min="13059" max="13059" width="12.42578125" style="5" bestFit="1" customWidth="1"/>
    <col min="13060" max="13060" width="11.28515625" style="5" bestFit="1" customWidth="1"/>
    <col min="13061" max="13061" width="6.140625" style="5" bestFit="1" customWidth="1"/>
    <col min="13062" max="13062" width="13.140625" style="5" customWidth="1"/>
    <col min="13063" max="13063" width="3.5703125" style="5" customWidth="1"/>
    <col min="13064" max="13064" width="14" style="5" customWidth="1"/>
    <col min="13065" max="13065" width="11.42578125" style="5"/>
    <col min="13066" max="13066" width="17.28515625" style="5" customWidth="1"/>
    <col min="13067" max="13312" width="11.42578125" style="5"/>
    <col min="13313" max="13313" width="14.140625" style="5" customWidth="1"/>
    <col min="13314" max="13314" width="55.7109375" style="5" customWidth="1"/>
    <col min="13315" max="13315" width="12.42578125" style="5" bestFit="1" customWidth="1"/>
    <col min="13316" max="13316" width="11.28515625" style="5" bestFit="1" customWidth="1"/>
    <col min="13317" max="13317" width="6.140625" style="5" bestFit="1" customWidth="1"/>
    <col min="13318" max="13318" width="13.140625" style="5" customWidth="1"/>
    <col min="13319" max="13319" width="3.5703125" style="5" customWidth="1"/>
    <col min="13320" max="13320" width="14" style="5" customWidth="1"/>
    <col min="13321" max="13321" width="11.42578125" style="5"/>
    <col min="13322" max="13322" width="17.28515625" style="5" customWidth="1"/>
    <col min="13323" max="13568" width="11.42578125" style="5"/>
    <col min="13569" max="13569" width="14.140625" style="5" customWidth="1"/>
    <col min="13570" max="13570" width="55.7109375" style="5" customWidth="1"/>
    <col min="13571" max="13571" width="12.42578125" style="5" bestFit="1" customWidth="1"/>
    <col min="13572" max="13572" width="11.28515625" style="5" bestFit="1" customWidth="1"/>
    <col min="13573" max="13573" width="6.140625" style="5" bestFit="1" customWidth="1"/>
    <col min="13574" max="13574" width="13.140625" style="5" customWidth="1"/>
    <col min="13575" max="13575" width="3.5703125" style="5" customWidth="1"/>
    <col min="13576" max="13576" width="14" style="5" customWidth="1"/>
    <col min="13577" max="13577" width="11.42578125" style="5"/>
    <col min="13578" max="13578" width="17.28515625" style="5" customWidth="1"/>
    <col min="13579" max="13824" width="11.42578125" style="5"/>
    <col min="13825" max="13825" width="14.140625" style="5" customWidth="1"/>
    <col min="13826" max="13826" width="55.7109375" style="5" customWidth="1"/>
    <col min="13827" max="13827" width="12.42578125" style="5" bestFit="1" customWidth="1"/>
    <col min="13828" max="13828" width="11.28515625" style="5" bestFit="1" customWidth="1"/>
    <col min="13829" max="13829" width="6.140625" style="5" bestFit="1" customWidth="1"/>
    <col min="13830" max="13830" width="13.140625" style="5" customWidth="1"/>
    <col min="13831" max="13831" width="3.5703125" style="5" customWidth="1"/>
    <col min="13832" max="13832" width="14" style="5" customWidth="1"/>
    <col min="13833" max="13833" width="11.42578125" style="5"/>
    <col min="13834" max="13834" width="17.28515625" style="5" customWidth="1"/>
    <col min="13835" max="14080" width="11.42578125" style="5"/>
    <col min="14081" max="14081" width="14.140625" style="5" customWidth="1"/>
    <col min="14082" max="14082" width="55.7109375" style="5" customWidth="1"/>
    <col min="14083" max="14083" width="12.42578125" style="5" bestFit="1" customWidth="1"/>
    <col min="14084" max="14084" width="11.28515625" style="5" bestFit="1" customWidth="1"/>
    <col min="14085" max="14085" width="6.140625" style="5" bestFit="1" customWidth="1"/>
    <col min="14086" max="14086" width="13.140625" style="5" customWidth="1"/>
    <col min="14087" max="14087" width="3.5703125" style="5" customWidth="1"/>
    <col min="14088" max="14088" width="14" style="5" customWidth="1"/>
    <col min="14089" max="14089" width="11.42578125" style="5"/>
    <col min="14090" max="14090" width="17.28515625" style="5" customWidth="1"/>
    <col min="14091" max="14336" width="11.42578125" style="5"/>
    <col min="14337" max="14337" width="14.140625" style="5" customWidth="1"/>
    <col min="14338" max="14338" width="55.7109375" style="5" customWidth="1"/>
    <col min="14339" max="14339" width="12.42578125" style="5" bestFit="1" customWidth="1"/>
    <col min="14340" max="14340" width="11.28515625" style="5" bestFit="1" customWidth="1"/>
    <col min="14341" max="14341" width="6.140625" style="5" bestFit="1" customWidth="1"/>
    <col min="14342" max="14342" width="13.140625" style="5" customWidth="1"/>
    <col min="14343" max="14343" width="3.5703125" style="5" customWidth="1"/>
    <col min="14344" max="14344" width="14" style="5" customWidth="1"/>
    <col min="14345" max="14345" width="11.42578125" style="5"/>
    <col min="14346" max="14346" width="17.28515625" style="5" customWidth="1"/>
    <col min="14347" max="14592" width="11.42578125" style="5"/>
    <col min="14593" max="14593" width="14.140625" style="5" customWidth="1"/>
    <col min="14594" max="14594" width="55.7109375" style="5" customWidth="1"/>
    <col min="14595" max="14595" width="12.42578125" style="5" bestFit="1" customWidth="1"/>
    <col min="14596" max="14596" width="11.28515625" style="5" bestFit="1" customWidth="1"/>
    <col min="14597" max="14597" width="6.140625" style="5" bestFit="1" customWidth="1"/>
    <col min="14598" max="14598" width="13.140625" style="5" customWidth="1"/>
    <col min="14599" max="14599" width="3.5703125" style="5" customWidth="1"/>
    <col min="14600" max="14600" width="14" style="5" customWidth="1"/>
    <col min="14601" max="14601" width="11.42578125" style="5"/>
    <col min="14602" max="14602" width="17.28515625" style="5" customWidth="1"/>
    <col min="14603" max="14848" width="11.42578125" style="5"/>
    <col min="14849" max="14849" width="14.140625" style="5" customWidth="1"/>
    <col min="14850" max="14850" width="55.7109375" style="5" customWidth="1"/>
    <col min="14851" max="14851" width="12.42578125" style="5" bestFit="1" customWidth="1"/>
    <col min="14852" max="14852" width="11.28515625" style="5" bestFit="1" customWidth="1"/>
    <col min="14853" max="14853" width="6.140625" style="5" bestFit="1" customWidth="1"/>
    <col min="14854" max="14854" width="13.140625" style="5" customWidth="1"/>
    <col min="14855" max="14855" width="3.5703125" style="5" customWidth="1"/>
    <col min="14856" max="14856" width="14" style="5" customWidth="1"/>
    <col min="14857" max="14857" width="11.42578125" style="5"/>
    <col min="14858" max="14858" width="17.28515625" style="5" customWidth="1"/>
    <col min="14859" max="15104" width="11.42578125" style="5"/>
    <col min="15105" max="15105" width="14.140625" style="5" customWidth="1"/>
    <col min="15106" max="15106" width="55.7109375" style="5" customWidth="1"/>
    <col min="15107" max="15107" width="12.42578125" style="5" bestFit="1" customWidth="1"/>
    <col min="15108" max="15108" width="11.28515625" style="5" bestFit="1" customWidth="1"/>
    <col min="15109" max="15109" width="6.140625" style="5" bestFit="1" customWidth="1"/>
    <col min="15110" max="15110" width="13.140625" style="5" customWidth="1"/>
    <col min="15111" max="15111" width="3.5703125" style="5" customWidth="1"/>
    <col min="15112" max="15112" width="14" style="5" customWidth="1"/>
    <col min="15113" max="15113" width="11.42578125" style="5"/>
    <col min="15114" max="15114" width="17.28515625" style="5" customWidth="1"/>
    <col min="15115" max="15360" width="11.42578125" style="5"/>
    <col min="15361" max="15361" width="14.140625" style="5" customWidth="1"/>
    <col min="15362" max="15362" width="55.7109375" style="5" customWidth="1"/>
    <col min="15363" max="15363" width="12.42578125" style="5" bestFit="1" customWidth="1"/>
    <col min="15364" max="15364" width="11.28515625" style="5" bestFit="1" customWidth="1"/>
    <col min="15365" max="15365" width="6.140625" style="5" bestFit="1" customWidth="1"/>
    <col min="15366" max="15366" width="13.140625" style="5" customWidth="1"/>
    <col min="15367" max="15367" width="3.5703125" style="5" customWidth="1"/>
    <col min="15368" max="15368" width="14" style="5" customWidth="1"/>
    <col min="15369" max="15369" width="11.42578125" style="5"/>
    <col min="15370" max="15370" width="17.28515625" style="5" customWidth="1"/>
    <col min="15371" max="15616" width="11.42578125" style="5"/>
    <col min="15617" max="15617" width="14.140625" style="5" customWidth="1"/>
    <col min="15618" max="15618" width="55.7109375" style="5" customWidth="1"/>
    <col min="15619" max="15619" width="12.42578125" style="5" bestFit="1" customWidth="1"/>
    <col min="15620" max="15620" width="11.28515625" style="5" bestFit="1" customWidth="1"/>
    <col min="15621" max="15621" width="6.140625" style="5" bestFit="1" customWidth="1"/>
    <col min="15622" max="15622" width="13.140625" style="5" customWidth="1"/>
    <col min="15623" max="15623" width="3.5703125" style="5" customWidth="1"/>
    <col min="15624" max="15624" width="14" style="5" customWidth="1"/>
    <col min="15625" max="15625" width="11.42578125" style="5"/>
    <col min="15626" max="15626" width="17.28515625" style="5" customWidth="1"/>
    <col min="15627" max="15872" width="11.42578125" style="5"/>
    <col min="15873" max="15873" width="14.140625" style="5" customWidth="1"/>
    <col min="15874" max="15874" width="55.7109375" style="5" customWidth="1"/>
    <col min="15875" max="15875" width="12.42578125" style="5" bestFit="1" customWidth="1"/>
    <col min="15876" max="15876" width="11.28515625" style="5" bestFit="1" customWidth="1"/>
    <col min="15877" max="15877" width="6.140625" style="5" bestFit="1" customWidth="1"/>
    <col min="15878" max="15878" width="13.140625" style="5" customWidth="1"/>
    <col min="15879" max="15879" width="3.5703125" style="5" customWidth="1"/>
    <col min="15880" max="15880" width="14" style="5" customWidth="1"/>
    <col min="15881" max="15881" width="11.42578125" style="5"/>
    <col min="15882" max="15882" width="17.28515625" style="5" customWidth="1"/>
    <col min="15883" max="16128" width="11.42578125" style="5"/>
    <col min="16129" max="16129" width="14.140625" style="5" customWidth="1"/>
    <col min="16130" max="16130" width="55.7109375" style="5" customWidth="1"/>
    <col min="16131" max="16131" width="12.42578125" style="5" bestFit="1" customWidth="1"/>
    <col min="16132" max="16132" width="11.28515625" style="5" bestFit="1" customWidth="1"/>
    <col min="16133" max="16133" width="6.140625" style="5" bestFit="1" customWidth="1"/>
    <col min="16134" max="16134" width="13.140625" style="5" customWidth="1"/>
    <col min="16135" max="16135" width="3.5703125" style="5" customWidth="1"/>
    <col min="16136" max="16136" width="14" style="5" customWidth="1"/>
    <col min="16137" max="16137" width="11.42578125" style="5"/>
    <col min="16138" max="16138" width="17.28515625" style="5" customWidth="1"/>
    <col min="16139" max="16384" width="11.42578125" style="5"/>
  </cols>
  <sheetData>
    <row r="1" spans="1:8" x14ac:dyDescent="0.2">
      <c r="A1" s="1" t="s">
        <v>0</v>
      </c>
      <c r="B1" s="2"/>
      <c r="C1" s="7"/>
      <c r="D1" s="160"/>
      <c r="E1" s="3"/>
      <c r="F1" s="3"/>
      <c r="G1" s="3"/>
      <c r="H1" s="4"/>
    </row>
    <row r="2" spans="1:8" x14ac:dyDescent="0.2">
      <c r="A2" s="1"/>
      <c r="B2" s="2"/>
      <c r="C2" s="7"/>
      <c r="D2" s="160"/>
      <c r="E2" s="3"/>
      <c r="F2" s="3"/>
      <c r="G2" s="3"/>
      <c r="H2" s="4"/>
    </row>
    <row r="3" spans="1:8" x14ac:dyDescent="0.2">
      <c r="A3" s="1"/>
      <c r="B3" s="2"/>
      <c r="C3" s="7"/>
      <c r="D3" s="160"/>
      <c r="E3" s="3"/>
      <c r="F3" s="3"/>
      <c r="G3" s="3"/>
      <c r="H3" s="4"/>
    </row>
    <row r="4" spans="1:8" x14ac:dyDescent="0.2">
      <c r="A4" s="1" t="s">
        <v>1</v>
      </c>
      <c r="B4" s="1"/>
      <c r="E4" s="5"/>
      <c r="G4" s="5"/>
    </row>
    <row r="5" spans="1:8" x14ac:dyDescent="0.2">
      <c r="A5" s="7"/>
      <c r="B5" s="2"/>
      <c r="C5" s="7"/>
      <c r="D5" s="160"/>
      <c r="E5" s="3"/>
      <c r="F5" s="3"/>
      <c r="G5" s="3"/>
      <c r="H5" s="4"/>
    </row>
    <row r="6" spans="1:8" x14ac:dyDescent="0.2">
      <c r="A6" s="7"/>
      <c r="B6" s="2"/>
      <c r="C6" s="7"/>
      <c r="D6" s="160"/>
      <c r="E6" s="3"/>
      <c r="F6" s="3"/>
      <c r="G6" s="3"/>
      <c r="H6" s="4"/>
    </row>
    <row r="7" spans="1:8" x14ac:dyDescent="0.2">
      <c r="A7" s="7"/>
      <c r="B7" s="8" t="s">
        <v>2</v>
      </c>
      <c r="C7" s="7"/>
      <c r="D7" s="160"/>
      <c r="E7" s="3"/>
      <c r="F7" s="3"/>
      <c r="G7" s="3"/>
      <c r="H7" s="4"/>
    </row>
    <row r="8" spans="1:8" x14ac:dyDescent="0.2">
      <c r="A8" s="7"/>
      <c r="B8" s="2"/>
      <c r="C8" s="7"/>
      <c r="D8" s="160"/>
      <c r="E8" s="3"/>
      <c r="F8" s="3"/>
      <c r="G8" s="3"/>
      <c r="H8" s="4"/>
    </row>
    <row r="9" spans="1:8" ht="13.5" customHeight="1" x14ac:dyDescent="0.2">
      <c r="A9" s="9" t="s">
        <v>3741</v>
      </c>
      <c r="B9" s="9"/>
      <c r="C9" s="74"/>
      <c r="D9" s="160"/>
      <c r="E9" s="3"/>
      <c r="F9" s="3"/>
      <c r="G9" s="10" t="s">
        <v>3</v>
      </c>
      <c r="H9" s="11">
        <v>66796.490000000005</v>
      </c>
    </row>
    <row r="10" spans="1:8" x14ac:dyDescent="0.2">
      <c r="A10" s="3"/>
      <c r="B10" s="8"/>
      <c r="C10" s="7"/>
      <c r="D10" s="160"/>
      <c r="E10" s="3"/>
      <c r="F10" s="3"/>
      <c r="G10" s="3"/>
      <c r="H10" s="4"/>
    </row>
    <row r="11" spans="1:8" x14ac:dyDescent="0.2">
      <c r="A11" s="12"/>
      <c r="B11" s="13" t="s">
        <v>4</v>
      </c>
      <c r="C11" s="7"/>
      <c r="D11" s="162"/>
      <c r="E11" s="14"/>
      <c r="F11" s="15"/>
      <c r="G11" s="3"/>
      <c r="H11" s="4"/>
    </row>
    <row r="12" spans="1:8" ht="12.75" customHeight="1" x14ac:dyDescent="0.2">
      <c r="A12" s="12"/>
      <c r="B12" s="16" t="s">
        <v>1553</v>
      </c>
      <c r="C12" s="7"/>
      <c r="D12" s="162"/>
      <c r="E12" s="14"/>
      <c r="F12" s="15"/>
      <c r="G12" s="3"/>
      <c r="H12" s="4"/>
    </row>
    <row r="13" spans="1:8" x14ac:dyDescent="0.2">
      <c r="A13" s="12"/>
      <c r="B13" s="8"/>
      <c r="C13" s="7"/>
      <c r="D13" s="162"/>
      <c r="E13" s="14"/>
      <c r="F13" s="15"/>
      <c r="G13" s="3"/>
      <c r="H13" s="4"/>
    </row>
    <row r="14" spans="1:8" ht="12.75" x14ac:dyDescent="0.2">
      <c r="A14" s="38" t="s">
        <v>5</v>
      </c>
      <c r="B14" s="39" t="s">
        <v>6</v>
      </c>
      <c r="C14" s="75" t="s">
        <v>7</v>
      </c>
      <c r="D14" s="163" t="s">
        <v>8</v>
      </c>
      <c r="E14" s="41"/>
      <c r="F14" s="41" t="s">
        <v>9</v>
      </c>
      <c r="G14" s="42"/>
      <c r="H14" s="36"/>
    </row>
    <row r="15" spans="1:8" ht="12.75" x14ac:dyDescent="0.2">
      <c r="A15" s="43"/>
      <c r="B15" s="44"/>
      <c r="C15" s="76"/>
      <c r="D15" s="164"/>
      <c r="E15" s="41"/>
      <c r="F15" s="46"/>
      <c r="G15" s="42"/>
      <c r="H15" s="36"/>
    </row>
    <row r="16" spans="1:8" ht="12.75" x14ac:dyDescent="0.2">
      <c r="A16" s="47"/>
      <c r="B16" s="48"/>
      <c r="C16" s="77"/>
      <c r="D16" s="149"/>
      <c r="E16" s="41"/>
      <c r="F16" s="68"/>
      <c r="G16" s="42"/>
      <c r="H16" s="49">
        <f>SUM(F15:F15)</f>
        <v>0</v>
      </c>
    </row>
    <row r="17" spans="1:9" ht="12.75" x14ac:dyDescent="0.2">
      <c r="A17" s="38"/>
      <c r="B17" s="50"/>
      <c r="C17" s="78"/>
      <c r="D17" s="163"/>
      <c r="E17" s="41"/>
      <c r="F17" s="51"/>
      <c r="G17" s="52"/>
      <c r="H17" s="36"/>
    </row>
    <row r="18" spans="1:9" ht="12.75" x14ac:dyDescent="0.2">
      <c r="A18" s="42"/>
      <c r="B18" s="53" t="s">
        <v>4</v>
      </c>
      <c r="C18" s="78"/>
      <c r="D18" s="165"/>
      <c r="E18" s="54"/>
      <c r="F18" s="41" t="s">
        <v>9</v>
      </c>
      <c r="G18" s="42"/>
      <c r="H18" s="36"/>
    </row>
    <row r="19" spans="1:9" ht="13.5" customHeight="1" x14ac:dyDescent="0.2">
      <c r="A19" s="40" t="s">
        <v>5</v>
      </c>
      <c r="B19" s="55" t="s">
        <v>10</v>
      </c>
      <c r="C19" s="78"/>
      <c r="D19" s="165"/>
      <c r="E19" s="54"/>
      <c r="F19" s="51"/>
      <c r="G19" s="42"/>
      <c r="H19" s="36"/>
    </row>
    <row r="20" spans="1:9" ht="12.75" x14ac:dyDescent="0.2">
      <c r="A20" s="155"/>
      <c r="B20" s="156"/>
      <c r="C20" s="157"/>
      <c r="D20" s="158"/>
      <c r="E20" s="154"/>
      <c r="F20" s="191"/>
      <c r="G20" s="42"/>
      <c r="H20" s="49">
        <f>SUM(F20:F20)</f>
        <v>0</v>
      </c>
    </row>
    <row r="21" spans="1:9" ht="12.75" x14ac:dyDescent="0.2">
      <c r="A21" s="155"/>
      <c r="B21" s="156"/>
      <c r="C21" s="157"/>
      <c r="D21" s="158"/>
      <c r="E21" s="154"/>
      <c r="F21" s="192"/>
      <c r="G21" s="42"/>
      <c r="H21" s="49"/>
    </row>
    <row r="22" spans="1:9" s="20" customFormat="1" ht="12.75" x14ac:dyDescent="0.2">
      <c r="A22" s="58"/>
      <c r="B22" s="59" t="s">
        <v>12</v>
      </c>
      <c r="C22" s="75"/>
      <c r="D22" s="166"/>
      <c r="E22" s="40"/>
      <c r="F22" s="42"/>
      <c r="G22" s="60"/>
      <c r="H22" s="37"/>
    </row>
    <row r="23" spans="1:9" s="20" customFormat="1" ht="12.75" x14ac:dyDescent="0.2">
      <c r="A23" s="40" t="s">
        <v>5</v>
      </c>
      <c r="B23" s="59" t="s">
        <v>13</v>
      </c>
      <c r="C23" s="75"/>
      <c r="D23" s="166"/>
      <c r="E23" s="40"/>
      <c r="F23" s="41" t="s">
        <v>9</v>
      </c>
      <c r="G23" s="60"/>
      <c r="H23" s="37"/>
    </row>
    <row r="24" spans="1:9" ht="12.75" x14ac:dyDescent="0.2">
      <c r="A24" s="43"/>
      <c r="B24" s="44"/>
      <c r="C24" s="78"/>
      <c r="D24" s="165"/>
      <c r="E24" s="54"/>
      <c r="F24" s="69"/>
      <c r="G24" s="42"/>
      <c r="H24" s="36"/>
    </row>
    <row r="25" spans="1:9" ht="12.75" x14ac:dyDescent="0.2">
      <c r="A25" s="61"/>
      <c r="B25" s="57"/>
      <c r="C25" s="78"/>
      <c r="D25" s="165"/>
      <c r="E25" s="54"/>
      <c r="F25" s="51"/>
      <c r="G25" s="42"/>
      <c r="H25" s="49">
        <f>SUM(F24:F24)</f>
        <v>0</v>
      </c>
    </row>
    <row r="26" spans="1:9" ht="12.75" x14ac:dyDescent="0.2">
      <c r="A26" s="42"/>
      <c r="B26" s="57"/>
      <c r="C26" s="78"/>
      <c r="D26" s="165"/>
      <c r="E26" s="54"/>
      <c r="F26" s="51"/>
      <c r="G26" s="42"/>
      <c r="H26" s="36"/>
    </row>
    <row r="27" spans="1:9" ht="12.75" x14ac:dyDescent="0.2">
      <c r="A27" s="42"/>
      <c r="B27" s="59" t="s">
        <v>12</v>
      </c>
      <c r="C27" s="78"/>
      <c r="D27" s="165"/>
      <c r="E27" s="54"/>
      <c r="F27" s="41" t="s">
        <v>9</v>
      </c>
      <c r="G27" s="42"/>
      <c r="H27" s="36"/>
    </row>
    <row r="28" spans="1:9" ht="12.75" x14ac:dyDescent="0.2">
      <c r="A28" s="40" t="s">
        <v>5</v>
      </c>
      <c r="B28" s="55" t="s">
        <v>14</v>
      </c>
      <c r="C28" s="78"/>
      <c r="D28" s="165"/>
      <c r="E28" s="54"/>
      <c r="F28" s="52"/>
      <c r="G28" s="42"/>
      <c r="H28" s="36"/>
    </row>
    <row r="29" spans="1:9" ht="12.75" x14ac:dyDescent="0.2">
      <c r="A29" s="90">
        <v>44225</v>
      </c>
      <c r="B29" s="89" t="s">
        <v>1666</v>
      </c>
      <c r="C29" s="91" t="s">
        <v>69</v>
      </c>
      <c r="D29" s="149" t="s">
        <v>3577</v>
      </c>
      <c r="E29" s="35"/>
      <c r="F29" s="88">
        <v>7.64</v>
      </c>
      <c r="G29" s="42"/>
      <c r="H29" s="37"/>
      <c r="I29" s="17"/>
    </row>
    <row r="30" spans="1:9" ht="12.75" x14ac:dyDescent="0.2">
      <c r="A30" s="90">
        <v>44225</v>
      </c>
      <c r="B30" s="89" t="s">
        <v>1664</v>
      </c>
      <c r="C30" s="91" t="s">
        <v>1665</v>
      </c>
      <c r="D30" s="161" t="s">
        <v>3577</v>
      </c>
      <c r="E30" s="35"/>
      <c r="F30" s="88">
        <v>4.91</v>
      </c>
      <c r="G30" s="42"/>
      <c r="H30" s="37"/>
      <c r="I30" s="17"/>
    </row>
    <row r="31" spans="1:9" ht="12.75" x14ac:dyDescent="0.2">
      <c r="A31" s="90">
        <v>44225</v>
      </c>
      <c r="B31" s="89" t="s">
        <v>1663</v>
      </c>
      <c r="C31" s="91" t="s">
        <v>68</v>
      </c>
      <c r="D31" s="149" t="s">
        <v>3577</v>
      </c>
      <c r="E31" s="154"/>
      <c r="F31" s="88">
        <v>9.64</v>
      </c>
      <c r="I31" s="17"/>
    </row>
    <row r="32" spans="1:9" ht="12.75" x14ac:dyDescent="0.2">
      <c r="A32" s="90">
        <v>44225</v>
      </c>
      <c r="B32" s="89" t="s">
        <v>1661</v>
      </c>
      <c r="C32" s="91" t="s">
        <v>1662</v>
      </c>
      <c r="D32" s="149" t="s">
        <v>3577</v>
      </c>
      <c r="E32" s="35"/>
      <c r="F32" s="88">
        <v>8.77</v>
      </c>
      <c r="G32" s="42"/>
      <c r="H32" s="37"/>
      <c r="I32" s="17"/>
    </row>
    <row r="33" spans="1:9" ht="12.75" x14ac:dyDescent="0.2">
      <c r="A33" s="90">
        <v>44225</v>
      </c>
      <c r="B33" s="89" t="s">
        <v>1660</v>
      </c>
      <c r="C33" s="91" t="s">
        <v>67</v>
      </c>
      <c r="D33" s="161" t="s">
        <v>3577</v>
      </c>
      <c r="E33" s="35"/>
      <c r="F33" s="88">
        <v>1.68</v>
      </c>
      <c r="G33" s="42"/>
      <c r="H33" s="37"/>
      <c r="I33" s="17"/>
    </row>
    <row r="34" spans="1:9" ht="12.75" x14ac:dyDescent="0.2">
      <c r="A34" s="90">
        <v>44225</v>
      </c>
      <c r="B34" s="89" t="s">
        <v>1659</v>
      </c>
      <c r="C34" s="91" t="s">
        <v>66</v>
      </c>
      <c r="D34" s="149" t="s">
        <v>3577</v>
      </c>
      <c r="E34" s="35"/>
      <c r="F34" s="88">
        <v>5.04</v>
      </c>
      <c r="G34" s="42"/>
      <c r="H34" s="37"/>
      <c r="I34" s="17"/>
    </row>
    <row r="35" spans="1:9" ht="12.75" x14ac:dyDescent="0.2">
      <c r="A35" s="90">
        <v>44225</v>
      </c>
      <c r="B35" s="89" t="s">
        <v>1658</v>
      </c>
      <c r="C35" s="91" t="s">
        <v>65</v>
      </c>
      <c r="D35" s="149" t="s">
        <v>3577</v>
      </c>
      <c r="E35" s="35"/>
      <c r="F35" s="88">
        <v>4.59</v>
      </c>
      <c r="G35" s="42"/>
      <c r="H35" s="37"/>
      <c r="I35" s="17"/>
    </row>
    <row r="36" spans="1:9" ht="12.75" x14ac:dyDescent="0.2">
      <c r="A36" s="90">
        <v>44225</v>
      </c>
      <c r="B36" s="89" t="s">
        <v>1657</v>
      </c>
      <c r="C36" s="91" t="s">
        <v>64</v>
      </c>
      <c r="D36" s="161" t="s">
        <v>3577</v>
      </c>
      <c r="E36" s="35"/>
      <c r="F36" s="88">
        <v>0.91</v>
      </c>
      <c r="G36" s="42"/>
      <c r="H36" s="37"/>
      <c r="I36" s="17"/>
    </row>
    <row r="37" spans="1:9" ht="12.75" x14ac:dyDescent="0.2">
      <c r="A37" s="90">
        <v>44225</v>
      </c>
      <c r="B37" s="89" t="s">
        <v>1656</v>
      </c>
      <c r="C37" s="91" t="s">
        <v>63</v>
      </c>
      <c r="D37" s="149" t="s">
        <v>3577</v>
      </c>
      <c r="E37" s="35"/>
      <c r="F37" s="88">
        <v>7.19</v>
      </c>
      <c r="G37" s="42"/>
      <c r="H37" s="37"/>
      <c r="I37" s="17"/>
    </row>
    <row r="38" spans="1:9" ht="12.75" x14ac:dyDescent="0.2">
      <c r="A38" s="90">
        <v>44225</v>
      </c>
      <c r="B38" s="89" t="s">
        <v>1655</v>
      </c>
      <c r="C38" s="91" t="s">
        <v>62</v>
      </c>
      <c r="D38" s="149" t="s">
        <v>3577</v>
      </c>
      <c r="E38" s="35"/>
      <c r="F38" s="88">
        <v>2.71</v>
      </c>
      <c r="G38" s="42"/>
      <c r="H38" s="37"/>
      <c r="I38" s="17"/>
    </row>
    <row r="39" spans="1:9" ht="12.75" x14ac:dyDescent="0.2">
      <c r="A39" s="90">
        <v>44225</v>
      </c>
      <c r="B39" s="89" t="s">
        <v>1654</v>
      </c>
      <c r="C39" s="91" t="s">
        <v>61</v>
      </c>
      <c r="D39" s="161" t="s">
        <v>3577</v>
      </c>
      <c r="E39" s="35"/>
      <c r="F39" s="88">
        <v>1.94</v>
      </c>
      <c r="G39" s="42"/>
      <c r="H39" s="37"/>
      <c r="I39" s="17"/>
    </row>
    <row r="40" spans="1:9" ht="12.75" x14ac:dyDescent="0.2">
      <c r="A40" s="90">
        <v>44225</v>
      </c>
      <c r="B40" s="89" t="s">
        <v>1653</v>
      </c>
      <c r="C40" s="91" t="s">
        <v>60</v>
      </c>
      <c r="D40" s="149" t="s">
        <v>3577</v>
      </c>
      <c r="E40" s="35"/>
      <c r="F40" s="88">
        <v>28.72</v>
      </c>
      <c r="G40" s="42"/>
      <c r="H40" s="37"/>
      <c r="I40" s="17"/>
    </row>
    <row r="41" spans="1:9" ht="12.75" x14ac:dyDescent="0.2">
      <c r="A41" s="90">
        <v>44225</v>
      </c>
      <c r="B41" s="89" t="s">
        <v>1652</v>
      </c>
      <c r="C41" s="91" t="s">
        <v>59</v>
      </c>
      <c r="D41" s="149" t="s">
        <v>3577</v>
      </c>
      <c r="E41" s="35"/>
      <c r="F41" s="88">
        <v>2.52</v>
      </c>
      <c r="G41" s="42"/>
      <c r="H41" s="37"/>
      <c r="I41" s="17"/>
    </row>
    <row r="42" spans="1:9" ht="12.75" x14ac:dyDescent="0.2">
      <c r="A42" s="90">
        <v>44225</v>
      </c>
      <c r="B42" s="89" t="s">
        <v>1650</v>
      </c>
      <c r="C42" s="91" t="s">
        <v>1651</v>
      </c>
      <c r="D42" s="161" t="s">
        <v>3577</v>
      </c>
      <c r="E42" s="35"/>
      <c r="F42" s="88">
        <v>2.8</v>
      </c>
      <c r="G42" s="42"/>
      <c r="H42" s="37"/>
      <c r="I42" s="17"/>
    </row>
    <row r="43" spans="1:9" ht="12.75" x14ac:dyDescent="0.2">
      <c r="A43" s="90">
        <v>44225</v>
      </c>
      <c r="B43" s="89" t="s">
        <v>1648</v>
      </c>
      <c r="C43" s="91" t="s">
        <v>1649</v>
      </c>
      <c r="D43" s="149" t="s">
        <v>3577</v>
      </c>
      <c r="E43" s="35"/>
      <c r="F43" s="88">
        <v>2.88</v>
      </c>
      <c r="G43" s="42"/>
      <c r="H43" s="37"/>
      <c r="I43" s="17"/>
    </row>
    <row r="44" spans="1:9" ht="12.75" x14ac:dyDescent="0.2">
      <c r="A44" s="90">
        <v>44225</v>
      </c>
      <c r="B44" s="89" t="s">
        <v>1646</v>
      </c>
      <c r="C44" s="91" t="s">
        <v>1647</v>
      </c>
      <c r="D44" s="149" t="s">
        <v>3577</v>
      </c>
      <c r="E44" s="35"/>
      <c r="F44" s="88">
        <v>5.54</v>
      </c>
      <c r="G44" s="42"/>
      <c r="H44" s="37"/>
      <c r="I44" s="17"/>
    </row>
    <row r="45" spans="1:9" ht="12.75" x14ac:dyDescent="0.2">
      <c r="A45" s="90">
        <v>44225</v>
      </c>
      <c r="B45" s="89" t="s">
        <v>1644</v>
      </c>
      <c r="C45" s="91" t="s">
        <v>1645</v>
      </c>
      <c r="D45" s="161" t="s">
        <v>3577</v>
      </c>
      <c r="E45" s="35"/>
      <c r="F45" s="88">
        <v>14.64</v>
      </c>
      <c r="G45" s="42"/>
      <c r="H45" s="37"/>
      <c r="I45" s="17"/>
    </row>
    <row r="46" spans="1:9" ht="12.75" x14ac:dyDescent="0.2">
      <c r="A46" s="90">
        <v>44225</v>
      </c>
      <c r="B46" s="89" t="s">
        <v>1643</v>
      </c>
      <c r="C46" s="91" t="s">
        <v>58</v>
      </c>
      <c r="D46" s="149" t="s">
        <v>3577</v>
      </c>
      <c r="E46" s="35"/>
      <c r="F46" s="88">
        <v>27.03</v>
      </c>
      <c r="G46" s="42"/>
      <c r="H46" s="37"/>
      <c r="I46" s="17"/>
    </row>
    <row r="47" spans="1:9" ht="12.75" x14ac:dyDescent="0.2">
      <c r="A47" s="90">
        <v>44225</v>
      </c>
      <c r="B47" s="89" t="s">
        <v>1642</v>
      </c>
      <c r="C47" s="91" t="s">
        <v>57</v>
      </c>
      <c r="D47" s="149" t="s">
        <v>3577</v>
      </c>
      <c r="E47" s="35"/>
      <c r="F47" s="88">
        <v>17.899999999999999</v>
      </c>
      <c r="G47" s="42"/>
      <c r="H47" s="37"/>
      <c r="I47" s="17"/>
    </row>
    <row r="48" spans="1:9" ht="12.75" x14ac:dyDescent="0.2">
      <c r="A48" s="90">
        <v>44225</v>
      </c>
      <c r="B48" s="89" t="s">
        <v>1632</v>
      </c>
      <c r="C48" s="91" t="s">
        <v>47</v>
      </c>
      <c r="D48" s="161" t="s">
        <v>3577</v>
      </c>
      <c r="E48" s="35"/>
      <c r="F48" s="88">
        <v>4.43</v>
      </c>
      <c r="G48" s="42"/>
      <c r="H48" s="37"/>
      <c r="I48" s="17"/>
    </row>
    <row r="49" spans="1:9" ht="12.75" x14ac:dyDescent="0.2">
      <c r="A49" s="90">
        <v>44226</v>
      </c>
      <c r="B49" s="89" t="s">
        <v>1622</v>
      </c>
      <c r="C49" s="91" t="s">
        <v>46</v>
      </c>
      <c r="D49" s="149" t="s">
        <v>3577</v>
      </c>
      <c r="E49" s="35"/>
      <c r="F49" s="88">
        <v>4.07</v>
      </c>
      <c r="G49" s="42"/>
      <c r="H49" s="37"/>
      <c r="I49" s="17"/>
    </row>
    <row r="50" spans="1:9" ht="12.75" x14ac:dyDescent="0.2">
      <c r="A50" s="90">
        <v>44226</v>
      </c>
      <c r="B50" s="89" t="s">
        <v>1621</v>
      </c>
      <c r="C50" s="91" t="s">
        <v>45</v>
      </c>
      <c r="D50" s="149" t="s">
        <v>3577</v>
      </c>
      <c r="E50" s="35"/>
      <c r="F50" s="88">
        <v>3.23</v>
      </c>
      <c r="G50" s="42"/>
      <c r="H50" s="37"/>
      <c r="I50" s="17"/>
    </row>
    <row r="51" spans="1:9" ht="12.75" x14ac:dyDescent="0.2">
      <c r="A51" s="90">
        <v>44226</v>
      </c>
      <c r="B51" s="89" t="s">
        <v>1620</v>
      </c>
      <c r="C51" s="91" t="s">
        <v>44</v>
      </c>
      <c r="D51" s="161" t="s">
        <v>3577</v>
      </c>
      <c r="E51" s="35"/>
      <c r="F51" s="88">
        <v>4.57</v>
      </c>
      <c r="G51" s="42"/>
      <c r="H51" s="37"/>
      <c r="I51" s="17"/>
    </row>
    <row r="52" spans="1:9" ht="12.75" x14ac:dyDescent="0.2">
      <c r="A52" s="90">
        <v>44226</v>
      </c>
      <c r="B52" s="89" t="s">
        <v>1619</v>
      </c>
      <c r="C52" s="91" t="s">
        <v>43</v>
      </c>
      <c r="D52" s="149" t="s">
        <v>3577</v>
      </c>
      <c r="E52" s="35"/>
      <c r="F52" s="88">
        <v>8.41</v>
      </c>
      <c r="G52" s="42"/>
      <c r="H52" s="37"/>
      <c r="I52" s="17"/>
    </row>
    <row r="53" spans="1:9" ht="12.75" x14ac:dyDescent="0.2">
      <c r="A53" s="90">
        <v>44226</v>
      </c>
      <c r="B53" s="89" t="s">
        <v>1618</v>
      </c>
      <c r="C53" s="91" t="s">
        <v>42</v>
      </c>
      <c r="D53" s="149" t="s">
        <v>3577</v>
      </c>
      <c r="E53" s="35"/>
      <c r="F53" s="88">
        <v>2.0699999999999998</v>
      </c>
      <c r="G53" s="42"/>
      <c r="H53" s="37"/>
      <c r="I53" s="17"/>
    </row>
    <row r="54" spans="1:9" ht="12.75" x14ac:dyDescent="0.2">
      <c r="A54" s="90">
        <v>44226</v>
      </c>
      <c r="B54" s="89" t="s">
        <v>1617</v>
      </c>
      <c r="C54" s="91" t="s">
        <v>41</v>
      </c>
      <c r="D54" s="161" t="s">
        <v>3577</v>
      </c>
      <c r="E54" s="35"/>
      <c r="F54" s="88">
        <v>6.29</v>
      </c>
      <c r="G54" s="42"/>
      <c r="H54" s="37"/>
      <c r="I54" s="17"/>
    </row>
    <row r="55" spans="1:9" ht="12.75" x14ac:dyDescent="0.2">
      <c r="A55" s="90">
        <v>44226</v>
      </c>
      <c r="B55" s="89" t="s">
        <v>1616</v>
      </c>
      <c r="C55" s="91" t="s">
        <v>40</v>
      </c>
      <c r="D55" s="149" t="s">
        <v>3577</v>
      </c>
      <c r="E55" s="35"/>
      <c r="F55" s="88">
        <v>6.55</v>
      </c>
      <c r="G55" s="42"/>
      <c r="H55" s="37"/>
      <c r="I55" s="17"/>
    </row>
    <row r="56" spans="1:9" ht="12.75" x14ac:dyDescent="0.2">
      <c r="A56" s="90">
        <v>44226</v>
      </c>
      <c r="B56" s="89" t="s">
        <v>1615</v>
      </c>
      <c r="C56" s="91" t="s">
        <v>39</v>
      </c>
      <c r="D56" s="149" t="s">
        <v>3577</v>
      </c>
      <c r="E56" s="35"/>
      <c r="F56" s="88">
        <v>16.97</v>
      </c>
      <c r="G56" s="42"/>
      <c r="H56" s="37"/>
      <c r="I56" s="17"/>
    </row>
    <row r="57" spans="1:9" ht="12.75" x14ac:dyDescent="0.2">
      <c r="A57" s="90">
        <v>44226</v>
      </c>
      <c r="B57" s="89" t="s">
        <v>1614</v>
      </c>
      <c r="C57" s="91" t="s">
        <v>38</v>
      </c>
      <c r="D57" s="161" t="s">
        <v>3577</v>
      </c>
      <c r="E57" s="35"/>
      <c r="F57" s="88">
        <v>7.17</v>
      </c>
      <c r="G57" s="42"/>
      <c r="H57" s="37"/>
      <c r="I57" s="17"/>
    </row>
    <row r="58" spans="1:9" ht="12.75" x14ac:dyDescent="0.2">
      <c r="A58" s="90">
        <v>44226</v>
      </c>
      <c r="B58" s="89" t="s">
        <v>1613</v>
      </c>
      <c r="C58" s="91" t="s">
        <v>37</v>
      </c>
      <c r="D58" s="149" t="s">
        <v>3577</v>
      </c>
      <c r="E58" s="35"/>
      <c r="F58" s="88">
        <v>1.69</v>
      </c>
      <c r="G58" s="42"/>
      <c r="H58" s="37"/>
      <c r="I58" s="17"/>
    </row>
    <row r="59" spans="1:9" ht="12.75" x14ac:dyDescent="0.2">
      <c r="A59" s="90">
        <v>44226</v>
      </c>
      <c r="B59" s="89" t="s">
        <v>1612</v>
      </c>
      <c r="C59" s="91" t="s">
        <v>36</v>
      </c>
      <c r="D59" s="149" t="s">
        <v>3577</v>
      </c>
      <c r="E59" s="35"/>
      <c r="F59" s="88">
        <v>1.68</v>
      </c>
      <c r="G59" s="42"/>
      <c r="H59" s="37"/>
      <c r="I59" s="17"/>
    </row>
    <row r="60" spans="1:9" ht="12.75" x14ac:dyDescent="0.2">
      <c r="A60" s="90">
        <v>44226</v>
      </c>
      <c r="B60" s="89" t="s">
        <v>1611</v>
      </c>
      <c r="C60" s="91" t="s">
        <v>35</v>
      </c>
      <c r="D60" s="161" t="s">
        <v>3577</v>
      </c>
      <c r="E60" s="35"/>
      <c r="F60" s="88">
        <v>6.94</v>
      </c>
      <c r="G60" s="42"/>
      <c r="H60" s="37"/>
      <c r="I60" s="17"/>
    </row>
    <row r="61" spans="1:9" ht="12.75" x14ac:dyDescent="0.2">
      <c r="A61" s="90">
        <v>44226</v>
      </c>
      <c r="B61" s="89" t="s">
        <v>1610</v>
      </c>
      <c r="C61" s="91" t="s">
        <v>34</v>
      </c>
      <c r="D61" s="149" t="s">
        <v>3577</v>
      </c>
      <c r="E61" s="35"/>
      <c r="F61" s="88">
        <v>6.68</v>
      </c>
      <c r="G61" s="42"/>
      <c r="H61" s="37"/>
      <c r="I61" s="17"/>
    </row>
    <row r="62" spans="1:9" ht="12.75" x14ac:dyDescent="0.2">
      <c r="A62" s="90">
        <v>44226</v>
      </c>
      <c r="B62" s="89" t="s">
        <v>1609</v>
      </c>
      <c r="C62" s="91" t="s">
        <v>33</v>
      </c>
      <c r="D62" s="149" t="s">
        <v>3577</v>
      </c>
      <c r="E62" s="35"/>
      <c r="F62" s="88">
        <v>2.21</v>
      </c>
      <c r="G62" s="42"/>
      <c r="H62" s="37"/>
      <c r="I62" s="17"/>
    </row>
    <row r="63" spans="1:9" ht="12.75" x14ac:dyDescent="0.2">
      <c r="A63" s="90">
        <v>44226</v>
      </c>
      <c r="B63" s="89" t="s">
        <v>1608</v>
      </c>
      <c r="C63" s="91" t="s">
        <v>32</v>
      </c>
      <c r="D63" s="161" t="s">
        <v>3577</v>
      </c>
      <c r="E63" s="35"/>
      <c r="F63" s="88">
        <v>1.88</v>
      </c>
      <c r="G63" s="42"/>
      <c r="H63" s="37"/>
      <c r="I63" s="17"/>
    </row>
    <row r="64" spans="1:9" ht="12.75" x14ac:dyDescent="0.2">
      <c r="A64" s="90">
        <v>44227</v>
      </c>
      <c r="B64" s="89" t="s">
        <v>1607</v>
      </c>
      <c r="C64" s="91" t="s">
        <v>31</v>
      </c>
      <c r="D64" s="149" t="s">
        <v>3577</v>
      </c>
      <c r="E64" s="35"/>
      <c r="F64" s="88">
        <v>5.29</v>
      </c>
      <c r="G64" s="42"/>
      <c r="H64" s="37"/>
      <c r="I64" s="17"/>
    </row>
    <row r="65" spans="1:12" ht="12.75" x14ac:dyDescent="0.2">
      <c r="A65" s="90">
        <v>44227</v>
      </c>
      <c r="B65" s="89" t="s">
        <v>1606</v>
      </c>
      <c r="C65" s="91" t="s">
        <v>30</v>
      </c>
      <c r="D65" s="149" t="s">
        <v>3577</v>
      </c>
      <c r="E65" s="35"/>
      <c r="F65" s="88">
        <v>2.17</v>
      </c>
      <c r="G65" s="42"/>
      <c r="H65" s="37"/>
      <c r="I65" s="17"/>
    </row>
    <row r="66" spans="1:12" ht="12.75" x14ac:dyDescent="0.2">
      <c r="A66" s="90">
        <v>44227</v>
      </c>
      <c r="B66" s="89" t="s">
        <v>1605</v>
      </c>
      <c r="C66" s="91" t="s">
        <v>29</v>
      </c>
      <c r="D66" s="161" t="s">
        <v>3577</v>
      </c>
      <c r="E66" s="35"/>
      <c r="F66" s="88">
        <v>2.2000000000000002</v>
      </c>
      <c r="G66" s="42"/>
      <c r="H66" s="37"/>
      <c r="I66" s="17"/>
    </row>
    <row r="67" spans="1:12" ht="12.75" x14ac:dyDescent="0.2">
      <c r="A67" s="90">
        <v>44227</v>
      </c>
      <c r="B67" s="89" t="s">
        <v>1604</v>
      </c>
      <c r="C67" s="91" t="s">
        <v>28</v>
      </c>
      <c r="D67" s="149" t="s">
        <v>3577</v>
      </c>
      <c r="E67" s="35"/>
      <c r="F67" s="88">
        <v>1.68</v>
      </c>
      <c r="G67" s="42"/>
      <c r="H67" s="37"/>
      <c r="I67" s="17"/>
    </row>
    <row r="68" spans="1:12" ht="12.75" x14ac:dyDescent="0.2">
      <c r="A68" s="90">
        <v>44227</v>
      </c>
      <c r="B68" s="89" t="s">
        <v>1603</v>
      </c>
      <c r="C68" s="91" t="s">
        <v>27</v>
      </c>
      <c r="D68" s="149" t="s">
        <v>3577</v>
      </c>
      <c r="E68" s="35"/>
      <c r="F68" s="88">
        <v>9.9700000000000006</v>
      </c>
      <c r="G68" s="42"/>
      <c r="H68" s="37"/>
      <c r="I68" s="17"/>
    </row>
    <row r="69" spans="1:12" ht="12.75" x14ac:dyDescent="0.2">
      <c r="A69" s="90">
        <v>44227</v>
      </c>
      <c r="B69" s="89" t="s">
        <v>1602</v>
      </c>
      <c r="C69" s="91" t="s">
        <v>26</v>
      </c>
      <c r="D69" s="161" t="s">
        <v>3577</v>
      </c>
      <c r="E69" s="35"/>
      <c r="F69" s="88">
        <v>6.6</v>
      </c>
      <c r="G69" s="42"/>
      <c r="H69" s="37"/>
      <c r="I69" s="17"/>
    </row>
    <row r="70" spans="1:12" ht="12.75" x14ac:dyDescent="0.2">
      <c r="A70" s="90">
        <v>44227</v>
      </c>
      <c r="B70" s="89" t="s">
        <v>1601</v>
      </c>
      <c r="C70" s="91" t="s">
        <v>25</v>
      </c>
      <c r="D70" s="149" t="s">
        <v>3577</v>
      </c>
      <c r="E70" s="35"/>
      <c r="F70" s="88">
        <v>4.33</v>
      </c>
      <c r="G70" s="42"/>
      <c r="H70" s="37"/>
      <c r="I70" s="17"/>
    </row>
    <row r="71" spans="1:12" ht="12.75" x14ac:dyDescent="0.2">
      <c r="A71" s="62"/>
      <c r="B71" s="63"/>
      <c r="C71" s="63"/>
      <c r="D71" s="165"/>
      <c r="E71" s="54"/>
      <c r="F71" s="70"/>
      <c r="G71" s="42"/>
      <c r="H71" s="82">
        <f>SUM(F29:F70)</f>
        <v>274.12999999999994</v>
      </c>
    </row>
    <row r="72" spans="1:12" ht="12.75" x14ac:dyDescent="0.2">
      <c r="A72" s="42"/>
      <c r="B72" s="57"/>
      <c r="C72" s="78"/>
      <c r="D72" s="167"/>
      <c r="E72" s="42"/>
      <c r="F72" s="51"/>
      <c r="G72" s="42"/>
      <c r="H72" s="36"/>
    </row>
    <row r="73" spans="1:12" s="21" customFormat="1" ht="20.25" customHeight="1" thickBot="1" x14ac:dyDescent="0.3">
      <c r="A73" s="64"/>
      <c r="B73" s="65" t="s">
        <v>3742</v>
      </c>
      <c r="C73" s="79"/>
      <c r="D73" s="168"/>
      <c r="E73" s="64"/>
      <c r="F73" s="71"/>
      <c r="G73" s="66" t="s">
        <v>3</v>
      </c>
      <c r="H73" s="81">
        <f>+H9-H16-H20+H25+H71</f>
        <v>67070.62000000001</v>
      </c>
      <c r="I73" s="28"/>
      <c r="J73" s="28"/>
    </row>
    <row r="74" spans="1:12" ht="13.5" thickTop="1" x14ac:dyDescent="0.2">
      <c r="A74" s="42"/>
      <c r="B74" s="57"/>
      <c r="C74" s="78"/>
      <c r="D74" s="167"/>
      <c r="E74" s="42"/>
      <c r="F74" s="51"/>
      <c r="G74" s="42"/>
      <c r="H74" s="36"/>
      <c r="I74" s="30"/>
      <c r="J74" s="31" t="e">
        <f>+#REF!</f>
        <v>#REF!</v>
      </c>
    </row>
    <row r="75" spans="1:12" ht="12.75" x14ac:dyDescent="0.2">
      <c r="A75" s="42"/>
      <c r="B75" s="57"/>
      <c r="C75" s="78"/>
      <c r="D75" s="167"/>
      <c r="E75" s="42"/>
      <c r="F75" s="51"/>
      <c r="G75" s="42"/>
      <c r="H75" s="37"/>
      <c r="I75" s="30"/>
      <c r="J75" s="29"/>
    </row>
    <row r="76" spans="1:12" ht="12.75" x14ac:dyDescent="0.2">
      <c r="A76" s="42"/>
      <c r="B76" s="57"/>
      <c r="C76" s="78"/>
      <c r="D76" s="167"/>
      <c r="E76" s="42"/>
      <c r="F76" s="42"/>
      <c r="G76" s="42"/>
      <c r="H76" s="37"/>
      <c r="I76" s="30"/>
      <c r="J76" s="29"/>
    </row>
    <row r="77" spans="1:12" ht="23.25" customHeight="1" thickBot="1" x14ac:dyDescent="0.25">
      <c r="A77" s="42"/>
      <c r="B77" s="57"/>
      <c r="C77" s="80"/>
      <c r="D77" s="169"/>
      <c r="E77" s="42"/>
      <c r="F77" s="69"/>
      <c r="G77" s="42"/>
      <c r="H77" s="36"/>
      <c r="I77" s="30"/>
      <c r="J77" s="27" t="e">
        <f>+H73-J74</f>
        <v>#REF!</v>
      </c>
      <c r="L77" s="18"/>
    </row>
    <row r="78" spans="1:12" ht="26.25" customHeight="1" thickTop="1" x14ac:dyDescent="0.2">
      <c r="A78" s="42"/>
      <c r="B78" s="57"/>
      <c r="C78" s="293" t="s">
        <v>15</v>
      </c>
      <c r="D78" s="293"/>
      <c r="E78" s="42"/>
      <c r="F78" s="293" t="s">
        <v>16</v>
      </c>
      <c r="G78" s="293"/>
      <c r="H78" s="36"/>
      <c r="I78" s="30"/>
      <c r="J78" s="30"/>
    </row>
    <row r="79" spans="1:12" ht="23.25" customHeight="1" thickBot="1" x14ac:dyDescent="0.25">
      <c r="A79" s="42"/>
      <c r="B79" s="57"/>
      <c r="C79" s="78"/>
      <c r="D79" s="167"/>
      <c r="E79" s="42"/>
      <c r="F79" s="42"/>
      <c r="G79" s="42"/>
      <c r="H79" s="37"/>
      <c r="I79" s="30"/>
      <c r="J79" s="27" t="e">
        <f>+H73-J77</f>
        <v>#REF!</v>
      </c>
    </row>
    <row r="80" spans="1:12" ht="13.5" thickTop="1" x14ac:dyDescent="0.2">
      <c r="B80" s="5"/>
      <c r="E80" s="32"/>
      <c r="F80" s="72"/>
      <c r="G80" s="33"/>
      <c r="I80" s="30"/>
      <c r="J80" s="30"/>
      <c r="L80" s="18"/>
    </row>
    <row r="82" spans="1:12" x14ac:dyDescent="0.2">
      <c r="L82" s="18"/>
    </row>
    <row r="83" spans="1:12" x14ac:dyDescent="0.2">
      <c r="A83" s="5"/>
      <c r="B83" s="5"/>
      <c r="E83" s="5"/>
      <c r="G83" s="5"/>
      <c r="J83" s="18"/>
    </row>
  </sheetData>
  <mergeCells count="2">
    <mergeCell ref="C78:D78"/>
    <mergeCell ref="F78:G78"/>
  </mergeCells>
  <phoneticPr fontId="27" type="noConversion"/>
  <pageMargins left="0.70866141732283472" right="0.70866141732283472" top="0.74803149606299213" bottom="0.74803149606299213" header="0.31496062992125984" footer="0.31496062992125984"/>
  <pageSetup paperSize="9" scale="68" fitToHeight="3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953CA-F406-4A20-B50D-5B5CF8B823D9}">
  <dimension ref="A2:K707"/>
  <sheetViews>
    <sheetView topLeftCell="A690" workbookViewId="0">
      <selection activeCell="G23" sqref="G23"/>
    </sheetView>
  </sheetViews>
  <sheetFormatPr baseColWidth="10" defaultRowHeight="12.75" x14ac:dyDescent="0.2"/>
  <cols>
    <col min="1" max="16384" width="11.42578125" style="22"/>
  </cols>
  <sheetData>
    <row r="2" spans="1:11" ht="19.5" x14ac:dyDescent="0.2">
      <c r="F2" s="95" t="s">
        <v>541</v>
      </c>
      <c r="J2" s="197" t="s">
        <v>540</v>
      </c>
      <c r="K2" s="207">
        <v>1</v>
      </c>
    </row>
    <row r="3" spans="1:11" x14ac:dyDescent="0.2">
      <c r="J3" s="197" t="s">
        <v>539</v>
      </c>
      <c r="K3" s="206">
        <v>44462</v>
      </c>
    </row>
    <row r="5" spans="1:11" x14ac:dyDescent="0.2">
      <c r="E5" s="94" t="s">
        <v>538</v>
      </c>
      <c r="F5" s="92" t="s">
        <v>7473</v>
      </c>
      <c r="G5" s="94" t="s">
        <v>537</v>
      </c>
      <c r="H5" s="92" t="s">
        <v>7473</v>
      </c>
      <c r="J5" s="267">
        <v>0.81791666666666663</v>
      </c>
    </row>
    <row r="7" spans="1:11" x14ac:dyDescent="0.2">
      <c r="J7" s="197" t="s">
        <v>536</v>
      </c>
      <c r="K7" s="201" t="s">
        <v>1579</v>
      </c>
    </row>
    <row r="8" spans="1:11" x14ac:dyDescent="0.2">
      <c r="C8" s="93" t="s">
        <v>535</v>
      </c>
      <c r="D8" s="92" t="s">
        <v>534</v>
      </c>
      <c r="F8" s="93" t="s">
        <v>533</v>
      </c>
      <c r="G8" s="92" t="s">
        <v>531</v>
      </c>
      <c r="I8" s="93" t="s">
        <v>532</v>
      </c>
      <c r="J8" s="92" t="s">
        <v>531</v>
      </c>
    </row>
    <row r="11" spans="1:11" x14ac:dyDescent="0.2">
      <c r="A11" s="205" t="s">
        <v>530</v>
      </c>
      <c r="C11" s="204" t="s">
        <v>529</v>
      </c>
      <c r="D11" s="204" t="s">
        <v>528</v>
      </c>
      <c r="F11" s="203" t="s">
        <v>527</v>
      </c>
      <c r="I11" s="197" t="s">
        <v>21</v>
      </c>
      <c r="J11" s="197" t="s">
        <v>20</v>
      </c>
      <c r="K11" s="197" t="s">
        <v>526</v>
      </c>
    </row>
    <row r="14" spans="1:11" x14ac:dyDescent="0.2">
      <c r="A14" s="205" t="s">
        <v>525</v>
      </c>
      <c r="B14" s="199" t="s">
        <v>524</v>
      </c>
    </row>
    <row r="16" spans="1:11" x14ac:dyDescent="0.2">
      <c r="A16" s="204" t="s">
        <v>523</v>
      </c>
      <c r="B16" s="201" t="s">
        <v>522</v>
      </c>
      <c r="J16" s="197" t="s">
        <v>22</v>
      </c>
      <c r="K16" s="198">
        <v>67070.62</v>
      </c>
    </row>
    <row r="18" spans="3:11" x14ac:dyDescent="0.2">
      <c r="C18" s="201" t="s">
        <v>7472</v>
      </c>
      <c r="D18" s="200">
        <v>44228</v>
      </c>
      <c r="E18" s="199" t="s">
        <v>7471</v>
      </c>
      <c r="I18" s="198">
        <v>1.3</v>
      </c>
      <c r="K18" s="198">
        <v>67071.92</v>
      </c>
    </row>
    <row r="19" spans="3:11" x14ac:dyDescent="0.2">
      <c r="C19" s="201" t="s">
        <v>7470</v>
      </c>
      <c r="D19" s="200">
        <v>44228</v>
      </c>
      <c r="E19" s="199" t="s">
        <v>7469</v>
      </c>
      <c r="I19" s="198">
        <v>2.54</v>
      </c>
      <c r="K19" s="198">
        <v>67074.460000000006</v>
      </c>
    </row>
    <row r="20" spans="3:11" x14ac:dyDescent="0.2">
      <c r="C20" s="201" t="s">
        <v>7468</v>
      </c>
      <c r="D20" s="200">
        <v>44228</v>
      </c>
      <c r="E20" s="199" t="s">
        <v>7467</v>
      </c>
      <c r="I20" s="198">
        <v>5.26</v>
      </c>
      <c r="K20" s="198">
        <v>67079.72</v>
      </c>
    </row>
    <row r="21" spans="3:11" x14ac:dyDescent="0.2">
      <c r="C21" s="201" t="s">
        <v>7466</v>
      </c>
      <c r="D21" s="200">
        <v>44228</v>
      </c>
      <c r="E21" s="199" t="s">
        <v>7465</v>
      </c>
      <c r="I21" s="198">
        <v>5.56</v>
      </c>
      <c r="K21" s="198">
        <v>67085.279999999999</v>
      </c>
    </row>
    <row r="22" spans="3:11" x14ac:dyDescent="0.2">
      <c r="C22" s="201" t="s">
        <v>7464</v>
      </c>
      <c r="D22" s="200">
        <v>44228</v>
      </c>
      <c r="E22" s="199" t="s">
        <v>7463</v>
      </c>
      <c r="I22" s="198">
        <v>2.2200000000000002</v>
      </c>
      <c r="K22" s="198">
        <v>67087.5</v>
      </c>
    </row>
    <row r="23" spans="3:11" x14ac:dyDescent="0.2">
      <c r="C23" s="201" t="s">
        <v>7462</v>
      </c>
      <c r="D23" s="200">
        <v>44228</v>
      </c>
      <c r="E23" s="199" t="s">
        <v>7461</v>
      </c>
      <c r="I23" s="198">
        <v>3.48</v>
      </c>
      <c r="K23" s="198">
        <v>67090.98</v>
      </c>
    </row>
    <row r="24" spans="3:11" x14ac:dyDescent="0.2">
      <c r="C24" s="201" t="s">
        <v>7460</v>
      </c>
      <c r="D24" s="200">
        <v>44228</v>
      </c>
      <c r="E24" s="199" t="s">
        <v>7459</v>
      </c>
      <c r="I24" s="198">
        <v>15.52</v>
      </c>
      <c r="K24" s="198">
        <v>67106.5</v>
      </c>
    </row>
    <row r="25" spans="3:11" x14ac:dyDescent="0.2">
      <c r="C25" s="201" t="s">
        <v>7458</v>
      </c>
      <c r="D25" s="200">
        <v>44228</v>
      </c>
      <c r="E25" s="199" t="s">
        <v>7457</v>
      </c>
      <c r="I25" s="198">
        <v>2.4500000000000002</v>
      </c>
      <c r="K25" s="198">
        <v>67108.95</v>
      </c>
    </row>
    <row r="26" spans="3:11" x14ac:dyDescent="0.2">
      <c r="C26" s="201" t="s">
        <v>7456</v>
      </c>
      <c r="D26" s="200">
        <v>44228</v>
      </c>
      <c r="E26" s="199" t="s">
        <v>7455</v>
      </c>
      <c r="I26" s="198">
        <v>5.39</v>
      </c>
      <c r="K26" s="198">
        <v>67114.34</v>
      </c>
    </row>
    <row r="27" spans="3:11" x14ac:dyDescent="0.2">
      <c r="C27" s="201" t="s">
        <v>7454</v>
      </c>
      <c r="D27" s="200">
        <v>44228</v>
      </c>
      <c r="E27" s="199" t="s">
        <v>7453</v>
      </c>
      <c r="I27" s="198">
        <v>109.82</v>
      </c>
      <c r="K27" s="198">
        <v>67224.160000000003</v>
      </c>
    </row>
    <row r="28" spans="3:11" x14ac:dyDescent="0.2">
      <c r="C28" s="201" t="s">
        <v>7452</v>
      </c>
      <c r="D28" s="200">
        <v>44228</v>
      </c>
      <c r="E28" s="199" t="s">
        <v>7451</v>
      </c>
      <c r="I28" s="198">
        <v>2.42</v>
      </c>
      <c r="K28" s="198">
        <v>67226.58</v>
      </c>
    </row>
    <row r="29" spans="3:11" x14ac:dyDescent="0.2">
      <c r="C29" s="201" t="s">
        <v>7450</v>
      </c>
      <c r="D29" s="200">
        <v>44228</v>
      </c>
      <c r="E29" s="199" t="s">
        <v>7449</v>
      </c>
      <c r="I29" s="198">
        <v>8.23</v>
      </c>
      <c r="K29" s="198">
        <v>67234.81</v>
      </c>
    </row>
    <row r="30" spans="3:11" x14ac:dyDescent="0.2">
      <c r="C30" s="201" t="s">
        <v>7448</v>
      </c>
      <c r="D30" s="200">
        <v>44228</v>
      </c>
      <c r="E30" s="199" t="s">
        <v>7447</v>
      </c>
      <c r="I30" s="198">
        <v>1.89</v>
      </c>
      <c r="K30" s="198">
        <v>67236.7</v>
      </c>
    </row>
    <row r="31" spans="3:11" x14ac:dyDescent="0.2">
      <c r="C31" s="201" t="s">
        <v>7446</v>
      </c>
      <c r="D31" s="200">
        <v>44228</v>
      </c>
      <c r="E31" s="199" t="s">
        <v>7445</v>
      </c>
      <c r="I31" s="198">
        <v>1.68</v>
      </c>
      <c r="K31" s="198">
        <v>67238.38</v>
      </c>
    </row>
    <row r="32" spans="3:11" x14ac:dyDescent="0.2">
      <c r="C32" s="201" t="s">
        <v>7444</v>
      </c>
      <c r="D32" s="200">
        <v>44228</v>
      </c>
      <c r="E32" s="199" t="s">
        <v>7443</v>
      </c>
      <c r="I32" s="198">
        <v>1.68</v>
      </c>
      <c r="K32" s="198">
        <v>67240.06</v>
      </c>
    </row>
    <row r="33" spans="3:11" x14ac:dyDescent="0.2">
      <c r="C33" s="201" t="s">
        <v>7442</v>
      </c>
      <c r="D33" s="200">
        <v>44228</v>
      </c>
      <c r="E33" s="199" t="s">
        <v>7441</v>
      </c>
      <c r="I33" s="198">
        <v>3.96</v>
      </c>
      <c r="K33" s="198">
        <v>67244.02</v>
      </c>
    </row>
    <row r="34" spans="3:11" x14ac:dyDescent="0.2">
      <c r="C34" s="201" t="s">
        <v>7440</v>
      </c>
      <c r="D34" s="200">
        <v>44228</v>
      </c>
      <c r="E34" s="199" t="s">
        <v>7439</v>
      </c>
      <c r="I34" s="198">
        <v>5.04</v>
      </c>
      <c r="K34" s="198">
        <v>67249.06</v>
      </c>
    </row>
    <row r="35" spans="3:11" x14ac:dyDescent="0.2">
      <c r="C35" s="201" t="s">
        <v>7438</v>
      </c>
      <c r="D35" s="200">
        <v>44228</v>
      </c>
      <c r="E35" s="199" t="s">
        <v>7437</v>
      </c>
      <c r="I35" s="198">
        <v>1.96</v>
      </c>
      <c r="K35" s="198">
        <v>67251.02</v>
      </c>
    </row>
    <row r="36" spans="3:11" x14ac:dyDescent="0.2">
      <c r="C36" s="201" t="s">
        <v>7436</v>
      </c>
      <c r="D36" s="200">
        <v>44228</v>
      </c>
      <c r="E36" s="199" t="s">
        <v>7435</v>
      </c>
      <c r="I36" s="198">
        <v>1.68</v>
      </c>
      <c r="K36" s="198">
        <v>67252.7</v>
      </c>
    </row>
    <row r="37" spans="3:11" x14ac:dyDescent="0.2">
      <c r="C37" s="201" t="s">
        <v>7434</v>
      </c>
      <c r="D37" s="200">
        <v>44228</v>
      </c>
      <c r="E37" s="199" t="s">
        <v>7433</v>
      </c>
      <c r="I37" s="198">
        <v>1.68</v>
      </c>
      <c r="K37" s="198">
        <v>67254.38</v>
      </c>
    </row>
    <row r="38" spans="3:11" x14ac:dyDescent="0.2">
      <c r="C38" s="201" t="s">
        <v>7432</v>
      </c>
      <c r="D38" s="200">
        <v>44228</v>
      </c>
      <c r="E38" s="199" t="s">
        <v>7431</v>
      </c>
      <c r="I38" s="198">
        <v>4.3499999999999996</v>
      </c>
      <c r="K38" s="198">
        <v>67258.73</v>
      </c>
    </row>
    <row r="39" spans="3:11" x14ac:dyDescent="0.2">
      <c r="C39" s="201" t="s">
        <v>7430</v>
      </c>
      <c r="D39" s="200">
        <v>44228</v>
      </c>
      <c r="E39" s="199" t="s">
        <v>7429</v>
      </c>
      <c r="I39" s="198">
        <v>3.24</v>
      </c>
      <c r="K39" s="198">
        <v>67261.97</v>
      </c>
    </row>
    <row r="40" spans="3:11" x14ac:dyDescent="0.2">
      <c r="C40" s="201" t="s">
        <v>7428</v>
      </c>
      <c r="D40" s="200">
        <v>44228</v>
      </c>
      <c r="E40" s="199" t="s">
        <v>7427</v>
      </c>
      <c r="I40" s="198">
        <v>44.61</v>
      </c>
      <c r="K40" s="198">
        <v>67306.58</v>
      </c>
    </row>
    <row r="41" spans="3:11" x14ac:dyDescent="0.2">
      <c r="C41" s="201" t="s">
        <v>7426</v>
      </c>
      <c r="D41" s="200">
        <v>44228</v>
      </c>
      <c r="E41" s="199" t="s">
        <v>7425</v>
      </c>
      <c r="I41" s="198">
        <v>24.75</v>
      </c>
      <c r="K41" s="198">
        <v>67331.33</v>
      </c>
    </row>
    <row r="42" spans="3:11" x14ac:dyDescent="0.2">
      <c r="C42" s="201" t="s">
        <v>7424</v>
      </c>
      <c r="D42" s="200">
        <v>44228</v>
      </c>
      <c r="E42" s="199" t="s">
        <v>7423</v>
      </c>
      <c r="I42" s="198">
        <v>5.58</v>
      </c>
      <c r="K42" s="198">
        <v>67336.91</v>
      </c>
    </row>
    <row r="43" spans="3:11" x14ac:dyDescent="0.2">
      <c r="C43" s="201" t="s">
        <v>7422</v>
      </c>
      <c r="D43" s="200">
        <v>44228</v>
      </c>
      <c r="E43" s="199" t="s">
        <v>7421</v>
      </c>
      <c r="I43" s="198">
        <v>4.09</v>
      </c>
      <c r="K43" s="198">
        <v>67341</v>
      </c>
    </row>
    <row r="44" spans="3:11" x14ac:dyDescent="0.2">
      <c r="C44" s="201" t="s">
        <v>7420</v>
      </c>
      <c r="D44" s="200">
        <v>44228</v>
      </c>
      <c r="E44" s="199" t="s">
        <v>7419</v>
      </c>
      <c r="I44" s="198">
        <v>1.88</v>
      </c>
      <c r="K44" s="198">
        <v>67342.880000000005</v>
      </c>
    </row>
    <row r="45" spans="3:11" x14ac:dyDescent="0.2">
      <c r="C45" s="201" t="s">
        <v>7418</v>
      </c>
      <c r="D45" s="200">
        <v>44228</v>
      </c>
      <c r="E45" s="199" t="s">
        <v>7417</v>
      </c>
      <c r="I45" s="198">
        <v>10.74</v>
      </c>
      <c r="K45" s="198">
        <v>67353.62</v>
      </c>
    </row>
    <row r="46" spans="3:11" x14ac:dyDescent="0.2">
      <c r="C46" s="201" t="s">
        <v>7416</v>
      </c>
      <c r="D46" s="200">
        <v>44228</v>
      </c>
      <c r="E46" s="199" t="s">
        <v>7415</v>
      </c>
      <c r="I46" s="198">
        <v>9.0399999999999991</v>
      </c>
      <c r="K46" s="198">
        <v>67362.66</v>
      </c>
    </row>
    <row r="47" spans="3:11" x14ac:dyDescent="0.2">
      <c r="C47" s="201" t="s">
        <v>7414</v>
      </c>
      <c r="D47" s="200">
        <v>44228</v>
      </c>
      <c r="E47" s="199" t="s">
        <v>7413</v>
      </c>
      <c r="I47" s="198">
        <v>3.58</v>
      </c>
      <c r="K47" s="198">
        <v>67366.240000000005</v>
      </c>
    </row>
    <row r="48" spans="3:11" x14ac:dyDescent="0.2">
      <c r="C48" s="201" t="s">
        <v>7412</v>
      </c>
      <c r="D48" s="200">
        <v>44228</v>
      </c>
      <c r="E48" s="199" t="s">
        <v>7411</v>
      </c>
      <c r="I48" s="198">
        <v>2.48</v>
      </c>
      <c r="K48" s="198">
        <v>67368.72</v>
      </c>
    </row>
    <row r="49" spans="3:11" x14ac:dyDescent="0.2">
      <c r="C49" s="201" t="s">
        <v>7410</v>
      </c>
      <c r="D49" s="200">
        <v>44228</v>
      </c>
      <c r="E49" s="199" t="s">
        <v>7409</v>
      </c>
      <c r="I49" s="198">
        <v>13.69</v>
      </c>
      <c r="K49" s="198">
        <v>67382.41</v>
      </c>
    </row>
    <row r="50" spans="3:11" x14ac:dyDescent="0.2">
      <c r="C50" s="201" t="s">
        <v>7408</v>
      </c>
      <c r="D50" s="200">
        <v>44228</v>
      </c>
      <c r="E50" s="199" t="s">
        <v>7407</v>
      </c>
      <c r="I50" s="198">
        <v>1.9</v>
      </c>
      <c r="K50" s="198">
        <v>67384.31</v>
      </c>
    </row>
    <row r="51" spans="3:11" x14ac:dyDescent="0.2">
      <c r="C51" s="201" t="s">
        <v>7406</v>
      </c>
      <c r="D51" s="200">
        <v>44228</v>
      </c>
      <c r="E51" s="199" t="s">
        <v>7405</v>
      </c>
      <c r="I51" s="198">
        <v>10.52</v>
      </c>
      <c r="K51" s="198">
        <v>67394.83</v>
      </c>
    </row>
    <row r="52" spans="3:11" x14ac:dyDescent="0.2">
      <c r="C52" s="201" t="s">
        <v>7404</v>
      </c>
      <c r="D52" s="200">
        <v>44228</v>
      </c>
      <c r="E52" s="199" t="s">
        <v>7403</v>
      </c>
      <c r="I52" s="198">
        <v>1.89</v>
      </c>
      <c r="K52" s="198">
        <v>67396.72</v>
      </c>
    </row>
    <row r="53" spans="3:11" x14ac:dyDescent="0.2">
      <c r="C53" s="201" t="s">
        <v>7402</v>
      </c>
      <c r="D53" s="200">
        <v>44228</v>
      </c>
      <c r="E53" s="199" t="s">
        <v>7401</v>
      </c>
      <c r="I53" s="198">
        <v>16.760000000000002</v>
      </c>
      <c r="K53" s="198">
        <v>67413.48</v>
      </c>
    </row>
    <row r="54" spans="3:11" x14ac:dyDescent="0.2">
      <c r="C54" s="201" t="s">
        <v>7400</v>
      </c>
      <c r="D54" s="200">
        <v>44228</v>
      </c>
      <c r="E54" s="199" t="s">
        <v>7399</v>
      </c>
      <c r="I54" s="198">
        <v>6.21</v>
      </c>
      <c r="K54" s="198">
        <v>67419.69</v>
      </c>
    </row>
    <row r="55" spans="3:11" x14ac:dyDescent="0.2">
      <c r="C55" s="201" t="s">
        <v>7398</v>
      </c>
      <c r="D55" s="200">
        <v>44228</v>
      </c>
      <c r="E55" s="199" t="s">
        <v>7397</v>
      </c>
      <c r="I55" s="198">
        <v>8.58</v>
      </c>
      <c r="K55" s="198">
        <v>67428.27</v>
      </c>
    </row>
    <row r="56" spans="3:11" x14ac:dyDescent="0.2">
      <c r="C56" s="201" t="s">
        <v>7396</v>
      </c>
      <c r="D56" s="200">
        <v>44228</v>
      </c>
      <c r="E56" s="199" t="s">
        <v>7395</v>
      </c>
      <c r="I56" s="198">
        <v>3.52</v>
      </c>
      <c r="K56" s="198">
        <v>67431.789999999994</v>
      </c>
    </row>
    <row r="57" spans="3:11" x14ac:dyDescent="0.2">
      <c r="C57" s="201" t="s">
        <v>7394</v>
      </c>
      <c r="D57" s="200">
        <v>44228</v>
      </c>
      <c r="E57" s="199" t="s">
        <v>7393</v>
      </c>
      <c r="I57" s="198">
        <v>6.94</v>
      </c>
      <c r="K57" s="198">
        <v>67438.73</v>
      </c>
    </row>
    <row r="58" spans="3:11" x14ac:dyDescent="0.2">
      <c r="C58" s="201" t="s">
        <v>7392</v>
      </c>
      <c r="D58" s="200">
        <v>44228</v>
      </c>
      <c r="E58" s="199" t="s">
        <v>7391</v>
      </c>
      <c r="I58" s="198">
        <v>2.1800000000000002</v>
      </c>
      <c r="K58" s="198">
        <v>67440.91</v>
      </c>
    </row>
    <row r="59" spans="3:11" x14ac:dyDescent="0.2">
      <c r="C59" s="201" t="s">
        <v>7390</v>
      </c>
      <c r="D59" s="200">
        <v>44228</v>
      </c>
      <c r="E59" s="199" t="s">
        <v>7389</v>
      </c>
      <c r="I59" s="198">
        <v>56.64</v>
      </c>
      <c r="K59" s="198">
        <v>67497.55</v>
      </c>
    </row>
    <row r="60" spans="3:11" x14ac:dyDescent="0.2">
      <c r="C60" s="201" t="s">
        <v>7388</v>
      </c>
      <c r="D60" s="200">
        <v>44228</v>
      </c>
      <c r="E60" s="199" t="s">
        <v>7387</v>
      </c>
      <c r="I60" s="198">
        <v>3.15</v>
      </c>
      <c r="K60" s="198">
        <v>67500.7</v>
      </c>
    </row>
    <row r="61" spans="3:11" x14ac:dyDescent="0.2">
      <c r="C61" s="201" t="s">
        <v>7386</v>
      </c>
      <c r="D61" s="200">
        <v>44228</v>
      </c>
      <c r="E61" s="199" t="s">
        <v>7385</v>
      </c>
      <c r="I61" s="198">
        <v>3580.11</v>
      </c>
      <c r="K61" s="198">
        <v>71080.81</v>
      </c>
    </row>
    <row r="62" spans="3:11" x14ac:dyDescent="0.2">
      <c r="C62" s="201" t="s">
        <v>7384</v>
      </c>
      <c r="D62" s="200">
        <v>44228</v>
      </c>
      <c r="E62" s="199" t="s">
        <v>7383</v>
      </c>
      <c r="I62" s="198">
        <v>20.5</v>
      </c>
      <c r="K62" s="198">
        <v>71101.31</v>
      </c>
    </row>
    <row r="63" spans="3:11" x14ac:dyDescent="0.2">
      <c r="C63" s="201" t="s">
        <v>7382</v>
      </c>
      <c r="D63" s="200">
        <v>44228</v>
      </c>
      <c r="E63" s="199" t="s">
        <v>7381</v>
      </c>
      <c r="I63" s="198">
        <v>4.1399999999999997</v>
      </c>
      <c r="K63" s="198">
        <v>71105.45</v>
      </c>
    </row>
    <row r="64" spans="3:11" x14ac:dyDescent="0.2">
      <c r="C64" s="201" t="s">
        <v>7380</v>
      </c>
      <c r="D64" s="200">
        <v>44229</v>
      </c>
      <c r="E64" s="199" t="s">
        <v>7379</v>
      </c>
      <c r="I64" s="198">
        <v>10.53</v>
      </c>
      <c r="K64" s="198">
        <v>71115.98</v>
      </c>
    </row>
    <row r="65" spans="3:11" x14ac:dyDescent="0.2">
      <c r="C65" s="201" t="s">
        <v>7378</v>
      </c>
      <c r="D65" s="200">
        <v>44229</v>
      </c>
      <c r="E65" s="199" t="s">
        <v>7377</v>
      </c>
      <c r="I65" s="198">
        <v>41.41</v>
      </c>
      <c r="K65" s="198">
        <v>71157.39</v>
      </c>
    </row>
    <row r="66" spans="3:11" x14ac:dyDescent="0.2">
      <c r="C66" s="201" t="s">
        <v>7376</v>
      </c>
      <c r="D66" s="200">
        <v>44229</v>
      </c>
      <c r="E66" s="199" t="s">
        <v>7375</v>
      </c>
      <c r="I66" s="198">
        <v>1.94</v>
      </c>
      <c r="K66" s="198">
        <v>71159.33</v>
      </c>
    </row>
    <row r="67" spans="3:11" x14ac:dyDescent="0.2">
      <c r="C67" s="201" t="s">
        <v>7374</v>
      </c>
      <c r="D67" s="200">
        <v>44229</v>
      </c>
      <c r="E67" s="199" t="s">
        <v>7373</v>
      </c>
      <c r="I67" s="198">
        <v>6.58</v>
      </c>
      <c r="K67" s="198">
        <v>71165.91</v>
      </c>
    </row>
    <row r="68" spans="3:11" x14ac:dyDescent="0.2">
      <c r="C68" s="201" t="s">
        <v>7372</v>
      </c>
      <c r="D68" s="200">
        <v>44229</v>
      </c>
      <c r="E68" s="199" t="s">
        <v>7371</v>
      </c>
      <c r="I68" s="198">
        <v>10.57</v>
      </c>
      <c r="K68" s="198">
        <v>71176.479999999996</v>
      </c>
    </row>
    <row r="69" spans="3:11" x14ac:dyDescent="0.2">
      <c r="C69" s="201" t="s">
        <v>7370</v>
      </c>
      <c r="D69" s="200">
        <v>44229</v>
      </c>
      <c r="E69" s="199" t="s">
        <v>7369</v>
      </c>
      <c r="I69" s="198">
        <v>6.63</v>
      </c>
      <c r="K69" s="198">
        <v>71183.11</v>
      </c>
    </row>
    <row r="70" spans="3:11" x14ac:dyDescent="0.2">
      <c r="C70" s="201" t="s">
        <v>7368</v>
      </c>
      <c r="D70" s="200">
        <v>44229</v>
      </c>
      <c r="E70" s="199" t="s">
        <v>7367</v>
      </c>
      <c r="I70" s="198">
        <v>5.04</v>
      </c>
      <c r="K70" s="198">
        <v>71188.149999999994</v>
      </c>
    </row>
    <row r="71" spans="3:11" x14ac:dyDescent="0.2">
      <c r="C71" s="201" t="s">
        <v>7366</v>
      </c>
      <c r="D71" s="200">
        <v>44229</v>
      </c>
      <c r="E71" s="199" t="s">
        <v>7365</v>
      </c>
      <c r="I71" s="198">
        <v>10.67</v>
      </c>
      <c r="K71" s="198">
        <v>71198.820000000007</v>
      </c>
    </row>
    <row r="72" spans="3:11" x14ac:dyDescent="0.2">
      <c r="C72" s="201" t="s">
        <v>7364</v>
      </c>
      <c r="D72" s="200">
        <v>44229</v>
      </c>
      <c r="E72" s="199" t="s">
        <v>7363</v>
      </c>
      <c r="I72" s="198">
        <v>2.2999999999999998</v>
      </c>
      <c r="K72" s="198">
        <v>71201.119999999995</v>
      </c>
    </row>
    <row r="73" spans="3:11" x14ac:dyDescent="0.2">
      <c r="C73" s="201" t="s">
        <v>7362</v>
      </c>
      <c r="D73" s="200">
        <v>44229</v>
      </c>
      <c r="E73" s="199" t="s">
        <v>7361</v>
      </c>
      <c r="I73" s="198">
        <v>2.7</v>
      </c>
      <c r="K73" s="198">
        <v>71203.820000000007</v>
      </c>
    </row>
    <row r="74" spans="3:11" x14ac:dyDescent="0.2">
      <c r="C74" s="201" t="s">
        <v>7360</v>
      </c>
      <c r="D74" s="200">
        <v>44229</v>
      </c>
      <c r="E74" s="199" t="s">
        <v>7359</v>
      </c>
      <c r="I74" s="198">
        <v>1.81</v>
      </c>
      <c r="K74" s="198">
        <v>71205.63</v>
      </c>
    </row>
    <row r="75" spans="3:11" x14ac:dyDescent="0.2">
      <c r="C75" s="201" t="s">
        <v>7358</v>
      </c>
      <c r="D75" s="200">
        <v>44229</v>
      </c>
      <c r="E75" s="199" t="s">
        <v>7357</v>
      </c>
      <c r="I75" s="198">
        <v>16.829999999999998</v>
      </c>
      <c r="K75" s="198">
        <v>71222.460000000006</v>
      </c>
    </row>
    <row r="76" spans="3:11" x14ac:dyDescent="0.2">
      <c r="C76" s="201" t="s">
        <v>7356</v>
      </c>
      <c r="D76" s="200">
        <v>44229</v>
      </c>
      <c r="E76" s="199" t="s">
        <v>7355</v>
      </c>
      <c r="I76" s="198">
        <v>4.63</v>
      </c>
      <c r="K76" s="198">
        <v>71227.09</v>
      </c>
    </row>
    <row r="77" spans="3:11" x14ac:dyDescent="0.2">
      <c r="C77" s="201" t="s">
        <v>7354</v>
      </c>
      <c r="D77" s="200">
        <v>44229</v>
      </c>
      <c r="E77" s="199" t="s">
        <v>7353</v>
      </c>
      <c r="I77" s="198">
        <v>7.72</v>
      </c>
      <c r="K77" s="198">
        <v>71234.81</v>
      </c>
    </row>
    <row r="78" spans="3:11" x14ac:dyDescent="0.2">
      <c r="C78" s="201" t="s">
        <v>7352</v>
      </c>
      <c r="D78" s="200">
        <v>44229</v>
      </c>
      <c r="E78" s="199" t="s">
        <v>7351</v>
      </c>
      <c r="I78" s="198">
        <v>37.21</v>
      </c>
      <c r="K78" s="198">
        <v>71272.02</v>
      </c>
    </row>
    <row r="79" spans="3:11" x14ac:dyDescent="0.2">
      <c r="C79" s="201" t="s">
        <v>7350</v>
      </c>
      <c r="D79" s="200">
        <v>44229</v>
      </c>
      <c r="E79" s="199" t="s">
        <v>7349</v>
      </c>
      <c r="I79" s="198">
        <v>4.78</v>
      </c>
      <c r="K79" s="198">
        <v>71276.800000000003</v>
      </c>
    </row>
    <row r="80" spans="3:11" x14ac:dyDescent="0.2">
      <c r="C80" s="201" t="s">
        <v>7348</v>
      </c>
      <c r="D80" s="200">
        <v>44229</v>
      </c>
      <c r="E80" s="199" t="s">
        <v>7347</v>
      </c>
      <c r="I80" s="198">
        <v>13.72</v>
      </c>
      <c r="K80" s="198">
        <v>71290.52</v>
      </c>
    </row>
    <row r="81" spans="3:11" x14ac:dyDescent="0.2">
      <c r="C81" s="201" t="s">
        <v>7346</v>
      </c>
      <c r="D81" s="200">
        <v>44229</v>
      </c>
      <c r="E81" s="199" t="s">
        <v>7345</v>
      </c>
      <c r="I81" s="198">
        <v>8.66</v>
      </c>
      <c r="K81" s="198">
        <v>71299.179999999993</v>
      </c>
    </row>
    <row r="82" spans="3:11" x14ac:dyDescent="0.2">
      <c r="C82" s="201" t="s">
        <v>7344</v>
      </c>
      <c r="D82" s="200">
        <v>44229</v>
      </c>
      <c r="E82" s="199" t="s">
        <v>7343</v>
      </c>
      <c r="I82" s="198">
        <v>6.59</v>
      </c>
      <c r="K82" s="198">
        <v>71305.77</v>
      </c>
    </row>
    <row r="83" spans="3:11" x14ac:dyDescent="0.2">
      <c r="C83" s="201" t="s">
        <v>7342</v>
      </c>
      <c r="D83" s="200">
        <v>44229</v>
      </c>
      <c r="E83" s="199" t="s">
        <v>7341</v>
      </c>
      <c r="I83" s="198">
        <v>1.79</v>
      </c>
      <c r="K83" s="198">
        <v>71307.56</v>
      </c>
    </row>
    <row r="84" spans="3:11" x14ac:dyDescent="0.2">
      <c r="C84" s="201" t="s">
        <v>7340</v>
      </c>
      <c r="D84" s="200">
        <v>44229</v>
      </c>
      <c r="E84" s="199" t="s">
        <v>7339</v>
      </c>
      <c r="I84" s="198">
        <v>3.92</v>
      </c>
      <c r="K84" s="198">
        <v>71311.48</v>
      </c>
    </row>
    <row r="85" spans="3:11" x14ac:dyDescent="0.2">
      <c r="C85" s="201" t="s">
        <v>7338</v>
      </c>
      <c r="D85" s="200">
        <v>44229</v>
      </c>
      <c r="E85" s="199" t="s">
        <v>7337</v>
      </c>
      <c r="I85" s="198">
        <v>13.88</v>
      </c>
      <c r="K85" s="198">
        <v>71325.36</v>
      </c>
    </row>
    <row r="86" spans="3:11" x14ac:dyDescent="0.2">
      <c r="C86" s="201" t="s">
        <v>7336</v>
      </c>
      <c r="D86" s="200">
        <v>44229</v>
      </c>
      <c r="E86" s="199" t="s">
        <v>7335</v>
      </c>
      <c r="I86" s="198">
        <v>4.0999999999999996</v>
      </c>
      <c r="K86" s="198">
        <v>71329.460000000006</v>
      </c>
    </row>
    <row r="87" spans="3:11" x14ac:dyDescent="0.2">
      <c r="C87" s="201" t="s">
        <v>7334</v>
      </c>
      <c r="D87" s="200">
        <v>44229</v>
      </c>
      <c r="E87" s="199" t="s">
        <v>7333</v>
      </c>
      <c r="I87" s="198">
        <v>11.36</v>
      </c>
      <c r="K87" s="198">
        <v>71340.820000000007</v>
      </c>
    </row>
    <row r="88" spans="3:11" x14ac:dyDescent="0.2">
      <c r="C88" s="201" t="s">
        <v>7332</v>
      </c>
      <c r="D88" s="200">
        <v>44229</v>
      </c>
      <c r="E88" s="199" t="s">
        <v>7331</v>
      </c>
      <c r="I88" s="198">
        <v>11.03</v>
      </c>
      <c r="K88" s="198">
        <v>71351.850000000006</v>
      </c>
    </row>
    <row r="89" spans="3:11" x14ac:dyDescent="0.2">
      <c r="C89" s="201" t="s">
        <v>7330</v>
      </c>
      <c r="D89" s="200">
        <v>44229</v>
      </c>
      <c r="E89" s="199" t="s">
        <v>7329</v>
      </c>
      <c r="I89" s="198">
        <v>1.68</v>
      </c>
      <c r="K89" s="198">
        <v>71353.53</v>
      </c>
    </row>
    <row r="90" spans="3:11" x14ac:dyDescent="0.2">
      <c r="C90" s="201" t="s">
        <v>7328</v>
      </c>
      <c r="D90" s="200">
        <v>44229</v>
      </c>
      <c r="E90" s="199" t="s">
        <v>7327</v>
      </c>
      <c r="I90" s="198">
        <v>3.99</v>
      </c>
      <c r="K90" s="198">
        <v>71357.52</v>
      </c>
    </row>
    <row r="91" spans="3:11" x14ac:dyDescent="0.2">
      <c r="C91" s="201" t="s">
        <v>7326</v>
      </c>
      <c r="D91" s="200">
        <v>44229</v>
      </c>
      <c r="E91" s="199" t="s">
        <v>7325</v>
      </c>
      <c r="I91" s="198">
        <v>4.17</v>
      </c>
      <c r="K91" s="198">
        <v>71361.69</v>
      </c>
    </row>
    <row r="92" spans="3:11" x14ac:dyDescent="0.2">
      <c r="C92" s="201" t="s">
        <v>7324</v>
      </c>
      <c r="D92" s="200">
        <v>44229</v>
      </c>
      <c r="E92" s="199" t="s">
        <v>7323</v>
      </c>
      <c r="I92" s="198">
        <v>13.38</v>
      </c>
      <c r="K92" s="198">
        <v>71375.070000000007</v>
      </c>
    </row>
    <row r="93" spans="3:11" x14ac:dyDescent="0.2">
      <c r="C93" s="201" t="s">
        <v>7322</v>
      </c>
      <c r="D93" s="200">
        <v>44229</v>
      </c>
      <c r="E93" s="199" t="s">
        <v>7321</v>
      </c>
      <c r="I93" s="198">
        <v>2.17</v>
      </c>
      <c r="K93" s="198">
        <v>71377.240000000005</v>
      </c>
    </row>
    <row r="94" spans="3:11" x14ac:dyDescent="0.2">
      <c r="C94" s="201" t="s">
        <v>7320</v>
      </c>
      <c r="D94" s="200">
        <v>44229</v>
      </c>
      <c r="E94" s="199" t="s">
        <v>7319</v>
      </c>
      <c r="I94" s="198">
        <v>3.98</v>
      </c>
      <c r="K94" s="198">
        <v>71381.22</v>
      </c>
    </row>
    <row r="95" spans="3:11" x14ac:dyDescent="0.2">
      <c r="C95" s="201" t="s">
        <v>7318</v>
      </c>
      <c r="D95" s="200">
        <v>44229</v>
      </c>
      <c r="E95" s="199" t="s">
        <v>7317</v>
      </c>
      <c r="I95" s="198">
        <v>6.94</v>
      </c>
      <c r="K95" s="198">
        <v>71388.160000000003</v>
      </c>
    </row>
    <row r="96" spans="3:11" x14ac:dyDescent="0.2">
      <c r="C96" s="201" t="s">
        <v>7316</v>
      </c>
      <c r="D96" s="200">
        <v>44229</v>
      </c>
      <c r="E96" s="199" t="s">
        <v>7315</v>
      </c>
      <c r="I96" s="198">
        <v>29.03</v>
      </c>
      <c r="K96" s="198">
        <v>71417.19</v>
      </c>
    </row>
    <row r="97" spans="3:11" x14ac:dyDescent="0.2">
      <c r="C97" s="201" t="s">
        <v>7314</v>
      </c>
      <c r="D97" s="200">
        <v>44229</v>
      </c>
      <c r="E97" s="199" t="s">
        <v>7313</v>
      </c>
      <c r="I97" s="198">
        <v>1.1299999999999999</v>
      </c>
      <c r="K97" s="198">
        <v>71418.320000000007</v>
      </c>
    </row>
    <row r="98" spans="3:11" x14ac:dyDescent="0.2">
      <c r="C98" s="201" t="s">
        <v>7312</v>
      </c>
      <c r="D98" s="200">
        <v>44229</v>
      </c>
      <c r="E98" s="199" t="s">
        <v>7311</v>
      </c>
      <c r="I98" s="198">
        <v>3</v>
      </c>
      <c r="K98" s="198">
        <v>71421.320000000007</v>
      </c>
    </row>
    <row r="99" spans="3:11" x14ac:dyDescent="0.2">
      <c r="C99" s="201" t="s">
        <v>7310</v>
      </c>
      <c r="D99" s="200">
        <v>44229</v>
      </c>
      <c r="E99" s="199" t="s">
        <v>7309</v>
      </c>
      <c r="I99" s="198">
        <v>1.94</v>
      </c>
      <c r="K99" s="198">
        <v>71423.259999999995</v>
      </c>
    </row>
    <row r="100" spans="3:11" x14ac:dyDescent="0.2">
      <c r="C100" s="201" t="s">
        <v>7308</v>
      </c>
      <c r="D100" s="200">
        <v>44229</v>
      </c>
      <c r="E100" s="199" t="s">
        <v>7307</v>
      </c>
      <c r="I100" s="198">
        <v>3.09</v>
      </c>
      <c r="K100" s="198">
        <v>71426.350000000006</v>
      </c>
    </row>
    <row r="101" spans="3:11" x14ac:dyDescent="0.2">
      <c r="C101" s="201" t="s">
        <v>7306</v>
      </c>
      <c r="D101" s="200">
        <v>44229</v>
      </c>
      <c r="E101" s="199" t="s">
        <v>7305</v>
      </c>
      <c r="I101" s="198">
        <v>20.82</v>
      </c>
      <c r="K101" s="198">
        <v>71447.17</v>
      </c>
    </row>
    <row r="102" spans="3:11" x14ac:dyDescent="0.2">
      <c r="C102" s="201" t="s">
        <v>7304</v>
      </c>
      <c r="D102" s="200">
        <v>44229</v>
      </c>
      <c r="E102" s="199" t="s">
        <v>7303</v>
      </c>
      <c r="I102" s="198">
        <v>11.97</v>
      </c>
      <c r="K102" s="198">
        <v>71459.14</v>
      </c>
    </row>
    <row r="103" spans="3:11" x14ac:dyDescent="0.2">
      <c r="C103" s="201" t="s">
        <v>7302</v>
      </c>
      <c r="D103" s="200">
        <v>44229</v>
      </c>
      <c r="E103" s="199" t="s">
        <v>7301</v>
      </c>
      <c r="I103" s="198">
        <v>32.18</v>
      </c>
      <c r="K103" s="198">
        <v>71491.320000000007</v>
      </c>
    </row>
    <row r="104" spans="3:11" x14ac:dyDescent="0.2">
      <c r="C104" s="201" t="s">
        <v>7300</v>
      </c>
      <c r="D104" s="200">
        <v>44230</v>
      </c>
      <c r="E104" s="199" t="s">
        <v>7299</v>
      </c>
      <c r="I104" s="198">
        <v>1.86</v>
      </c>
      <c r="K104" s="198">
        <v>71493.179999999993</v>
      </c>
    </row>
    <row r="105" spans="3:11" x14ac:dyDescent="0.2">
      <c r="C105" s="201" t="s">
        <v>7298</v>
      </c>
      <c r="D105" s="200">
        <v>44230</v>
      </c>
      <c r="E105" s="199" t="s">
        <v>7297</v>
      </c>
      <c r="I105" s="198">
        <v>4.13</v>
      </c>
      <c r="K105" s="198">
        <v>71497.31</v>
      </c>
    </row>
    <row r="106" spans="3:11" x14ac:dyDescent="0.2">
      <c r="C106" s="201" t="s">
        <v>7296</v>
      </c>
      <c r="D106" s="200">
        <v>44230</v>
      </c>
      <c r="E106" s="199" t="s">
        <v>7295</v>
      </c>
      <c r="I106" s="198">
        <v>7.41</v>
      </c>
      <c r="K106" s="198">
        <v>71504.72</v>
      </c>
    </row>
    <row r="107" spans="3:11" x14ac:dyDescent="0.2">
      <c r="C107" s="201" t="s">
        <v>7294</v>
      </c>
      <c r="D107" s="200">
        <v>44230</v>
      </c>
      <c r="E107" s="199" t="s">
        <v>7293</v>
      </c>
      <c r="I107" s="198">
        <v>2.4900000000000002</v>
      </c>
      <c r="K107" s="198">
        <v>71507.210000000006</v>
      </c>
    </row>
    <row r="108" spans="3:11" x14ac:dyDescent="0.2">
      <c r="C108" s="201" t="s">
        <v>7292</v>
      </c>
      <c r="D108" s="200">
        <v>44230</v>
      </c>
      <c r="E108" s="199" t="s">
        <v>7291</v>
      </c>
      <c r="I108" s="198">
        <v>3.68</v>
      </c>
      <c r="K108" s="198">
        <v>71510.89</v>
      </c>
    </row>
    <row r="109" spans="3:11" x14ac:dyDescent="0.2">
      <c r="C109" s="201" t="s">
        <v>7290</v>
      </c>
      <c r="D109" s="200">
        <v>44230</v>
      </c>
      <c r="E109" s="199" t="s">
        <v>7289</v>
      </c>
      <c r="I109" s="198">
        <v>18.16</v>
      </c>
      <c r="K109" s="198">
        <v>71529.05</v>
      </c>
    </row>
    <row r="110" spans="3:11" x14ac:dyDescent="0.2">
      <c r="C110" s="201" t="s">
        <v>7288</v>
      </c>
      <c r="D110" s="200">
        <v>44230</v>
      </c>
      <c r="E110" s="199" t="s">
        <v>7287</v>
      </c>
      <c r="I110" s="198">
        <v>31.85</v>
      </c>
      <c r="K110" s="198">
        <v>71560.899999999994</v>
      </c>
    </row>
    <row r="111" spans="3:11" x14ac:dyDescent="0.2">
      <c r="C111" s="201" t="s">
        <v>7286</v>
      </c>
      <c r="D111" s="200">
        <v>44230</v>
      </c>
      <c r="E111" s="199" t="s">
        <v>7285</v>
      </c>
      <c r="I111" s="198">
        <v>4.2</v>
      </c>
      <c r="K111" s="198">
        <v>71565.100000000006</v>
      </c>
    </row>
    <row r="112" spans="3:11" x14ac:dyDescent="0.2">
      <c r="C112" s="201" t="s">
        <v>7284</v>
      </c>
      <c r="D112" s="200">
        <v>44230</v>
      </c>
      <c r="E112" s="199" t="s">
        <v>7283</v>
      </c>
      <c r="I112" s="198">
        <v>3.49</v>
      </c>
      <c r="K112" s="198">
        <v>71568.59</v>
      </c>
    </row>
    <row r="113" spans="3:11" x14ac:dyDescent="0.2">
      <c r="C113" s="201" t="s">
        <v>7282</v>
      </c>
      <c r="D113" s="200">
        <v>44230</v>
      </c>
      <c r="E113" s="199" t="s">
        <v>7281</v>
      </c>
      <c r="I113" s="198">
        <v>4.04</v>
      </c>
      <c r="K113" s="198">
        <v>71572.63</v>
      </c>
    </row>
    <row r="114" spans="3:11" x14ac:dyDescent="0.2">
      <c r="C114" s="201" t="s">
        <v>7280</v>
      </c>
      <c r="D114" s="200">
        <v>44230</v>
      </c>
      <c r="E114" s="199" t="s">
        <v>7279</v>
      </c>
      <c r="I114" s="198">
        <v>5.16</v>
      </c>
      <c r="K114" s="198">
        <v>71577.789999999994</v>
      </c>
    </row>
    <row r="115" spans="3:11" x14ac:dyDescent="0.2">
      <c r="C115" s="201" t="s">
        <v>7278</v>
      </c>
      <c r="D115" s="200">
        <v>44230</v>
      </c>
      <c r="E115" s="199" t="s">
        <v>7277</v>
      </c>
      <c r="I115" s="198">
        <v>19.22</v>
      </c>
      <c r="K115" s="198">
        <v>71597.009999999995</v>
      </c>
    </row>
    <row r="116" spans="3:11" x14ac:dyDescent="0.2">
      <c r="C116" s="201" t="s">
        <v>7276</v>
      </c>
      <c r="D116" s="200">
        <v>44230</v>
      </c>
      <c r="E116" s="199" t="s">
        <v>7275</v>
      </c>
      <c r="I116" s="198">
        <v>3.32</v>
      </c>
      <c r="K116" s="198">
        <v>71600.33</v>
      </c>
    </row>
    <row r="117" spans="3:11" x14ac:dyDescent="0.2">
      <c r="C117" s="201" t="s">
        <v>7274</v>
      </c>
      <c r="D117" s="200">
        <v>44230</v>
      </c>
      <c r="E117" s="199" t="s">
        <v>7273</v>
      </c>
      <c r="I117" s="198">
        <v>8.73</v>
      </c>
      <c r="K117" s="198">
        <v>71609.06</v>
      </c>
    </row>
    <row r="118" spans="3:11" x14ac:dyDescent="0.2">
      <c r="C118" s="201" t="s">
        <v>7272</v>
      </c>
      <c r="D118" s="200">
        <v>44230</v>
      </c>
      <c r="E118" s="199" t="s">
        <v>7271</v>
      </c>
      <c r="I118" s="198">
        <v>4.9000000000000004</v>
      </c>
      <c r="K118" s="198">
        <v>71613.960000000006</v>
      </c>
    </row>
    <row r="119" spans="3:11" x14ac:dyDescent="0.2">
      <c r="C119" s="201" t="s">
        <v>7270</v>
      </c>
      <c r="D119" s="200">
        <v>44230</v>
      </c>
      <c r="E119" s="199" t="s">
        <v>7269</v>
      </c>
      <c r="I119" s="198">
        <v>0.27</v>
      </c>
      <c r="K119" s="198">
        <v>71614.23</v>
      </c>
    </row>
    <row r="120" spans="3:11" x14ac:dyDescent="0.2">
      <c r="C120" s="201" t="s">
        <v>7268</v>
      </c>
      <c r="D120" s="200">
        <v>44230</v>
      </c>
      <c r="E120" s="199" t="s">
        <v>7267</v>
      </c>
      <c r="I120" s="198">
        <v>0.17</v>
      </c>
      <c r="K120" s="198">
        <v>71614.399999999994</v>
      </c>
    </row>
    <row r="121" spans="3:11" x14ac:dyDescent="0.2">
      <c r="C121" s="201" t="s">
        <v>7266</v>
      </c>
      <c r="D121" s="200">
        <v>44230</v>
      </c>
      <c r="E121" s="199" t="s">
        <v>7265</v>
      </c>
      <c r="I121" s="198">
        <v>8.2200000000000006</v>
      </c>
      <c r="K121" s="198">
        <v>71622.62</v>
      </c>
    </row>
    <row r="122" spans="3:11" x14ac:dyDescent="0.2">
      <c r="C122" s="201" t="s">
        <v>7264</v>
      </c>
      <c r="D122" s="200">
        <v>44230</v>
      </c>
      <c r="E122" s="199" t="s">
        <v>7263</v>
      </c>
      <c r="I122" s="198">
        <v>56.57</v>
      </c>
      <c r="K122" s="198">
        <v>71679.19</v>
      </c>
    </row>
    <row r="123" spans="3:11" x14ac:dyDescent="0.2">
      <c r="C123" s="201" t="s">
        <v>7262</v>
      </c>
      <c r="D123" s="200">
        <v>44230</v>
      </c>
      <c r="E123" s="199" t="s">
        <v>7261</v>
      </c>
      <c r="I123" s="198">
        <v>6.06</v>
      </c>
      <c r="K123" s="198">
        <v>71685.25</v>
      </c>
    </row>
    <row r="124" spans="3:11" x14ac:dyDescent="0.2">
      <c r="C124" s="201" t="s">
        <v>7260</v>
      </c>
      <c r="D124" s="200">
        <v>44230</v>
      </c>
      <c r="E124" s="199" t="s">
        <v>7259</v>
      </c>
      <c r="I124" s="198">
        <v>2.15</v>
      </c>
      <c r="K124" s="198">
        <v>71687.399999999994</v>
      </c>
    </row>
    <row r="125" spans="3:11" x14ac:dyDescent="0.2">
      <c r="C125" s="201" t="s">
        <v>7258</v>
      </c>
      <c r="D125" s="200">
        <v>44230</v>
      </c>
      <c r="E125" s="199" t="s">
        <v>7257</v>
      </c>
      <c r="I125" s="198">
        <v>3.88</v>
      </c>
      <c r="K125" s="198">
        <v>71691.28</v>
      </c>
    </row>
    <row r="126" spans="3:11" x14ac:dyDescent="0.2">
      <c r="C126" s="201" t="s">
        <v>7256</v>
      </c>
      <c r="D126" s="200">
        <v>44230</v>
      </c>
      <c r="E126" s="199" t="s">
        <v>7255</v>
      </c>
      <c r="I126" s="198">
        <v>13.82</v>
      </c>
      <c r="K126" s="198">
        <v>71705.100000000006</v>
      </c>
    </row>
    <row r="127" spans="3:11" x14ac:dyDescent="0.2">
      <c r="C127" s="201" t="s">
        <v>7254</v>
      </c>
      <c r="D127" s="200">
        <v>44230</v>
      </c>
      <c r="E127" s="199" t="s">
        <v>7253</v>
      </c>
      <c r="I127" s="198">
        <v>3.91</v>
      </c>
      <c r="K127" s="198">
        <v>71709.009999999995</v>
      </c>
    </row>
    <row r="128" spans="3:11" x14ac:dyDescent="0.2">
      <c r="C128" s="201" t="s">
        <v>7252</v>
      </c>
      <c r="D128" s="200">
        <v>44230</v>
      </c>
      <c r="E128" s="199" t="s">
        <v>7251</v>
      </c>
      <c r="I128" s="198">
        <v>3.84</v>
      </c>
      <c r="K128" s="198">
        <v>71712.850000000006</v>
      </c>
    </row>
    <row r="129" spans="3:11" x14ac:dyDescent="0.2">
      <c r="C129" s="201" t="s">
        <v>7250</v>
      </c>
      <c r="D129" s="200">
        <v>44230</v>
      </c>
      <c r="E129" s="199" t="s">
        <v>7249</v>
      </c>
      <c r="I129" s="198">
        <v>4.96</v>
      </c>
      <c r="K129" s="198">
        <v>71717.81</v>
      </c>
    </row>
    <row r="130" spans="3:11" x14ac:dyDescent="0.2">
      <c r="C130" s="201" t="s">
        <v>7248</v>
      </c>
      <c r="D130" s="200">
        <v>44230</v>
      </c>
      <c r="E130" s="199" t="s">
        <v>7247</v>
      </c>
      <c r="I130" s="198">
        <v>46.22</v>
      </c>
      <c r="K130" s="198">
        <v>71764.03</v>
      </c>
    </row>
    <row r="131" spans="3:11" x14ac:dyDescent="0.2">
      <c r="C131" s="201" t="s">
        <v>7246</v>
      </c>
      <c r="D131" s="200">
        <v>44230</v>
      </c>
      <c r="E131" s="199" t="s">
        <v>7245</v>
      </c>
      <c r="I131" s="198">
        <v>108.26</v>
      </c>
      <c r="K131" s="198">
        <v>71872.289999999994</v>
      </c>
    </row>
    <row r="132" spans="3:11" x14ac:dyDescent="0.2">
      <c r="C132" s="201" t="s">
        <v>7244</v>
      </c>
      <c r="D132" s="200">
        <v>44230</v>
      </c>
      <c r="E132" s="199" t="s">
        <v>7243</v>
      </c>
      <c r="I132" s="198">
        <v>12.04</v>
      </c>
      <c r="K132" s="198">
        <v>71884.33</v>
      </c>
    </row>
    <row r="133" spans="3:11" x14ac:dyDescent="0.2">
      <c r="C133" s="201" t="s">
        <v>7242</v>
      </c>
      <c r="D133" s="200">
        <v>44230</v>
      </c>
      <c r="E133" s="199" t="s">
        <v>7241</v>
      </c>
      <c r="I133" s="198">
        <v>1.68</v>
      </c>
      <c r="K133" s="198">
        <v>71886.009999999995</v>
      </c>
    </row>
    <row r="134" spans="3:11" x14ac:dyDescent="0.2">
      <c r="C134" s="201" t="s">
        <v>7240</v>
      </c>
      <c r="D134" s="200">
        <v>44230</v>
      </c>
      <c r="E134" s="199" t="s">
        <v>7239</v>
      </c>
      <c r="I134" s="198">
        <v>17.899999999999999</v>
      </c>
      <c r="K134" s="198">
        <v>71903.91</v>
      </c>
    </row>
    <row r="135" spans="3:11" x14ac:dyDescent="0.2">
      <c r="C135" s="201" t="s">
        <v>7238</v>
      </c>
      <c r="D135" s="200">
        <v>44230</v>
      </c>
      <c r="E135" s="199" t="s">
        <v>7237</v>
      </c>
      <c r="I135" s="198">
        <v>1.78</v>
      </c>
      <c r="K135" s="198">
        <v>71905.69</v>
      </c>
    </row>
    <row r="136" spans="3:11" x14ac:dyDescent="0.2">
      <c r="C136" s="201" t="s">
        <v>7236</v>
      </c>
      <c r="D136" s="200">
        <v>44230</v>
      </c>
      <c r="E136" s="199" t="s">
        <v>7235</v>
      </c>
      <c r="I136" s="198">
        <v>3.8</v>
      </c>
      <c r="K136" s="198">
        <v>71909.490000000005</v>
      </c>
    </row>
    <row r="137" spans="3:11" x14ac:dyDescent="0.2">
      <c r="C137" s="201" t="s">
        <v>7234</v>
      </c>
      <c r="D137" s="200">
        <v>44230</v>
      </c>
      <c r="E137" s="199" t="s">
        <v>7233</v>
      </c>
      <c r="I137" s="198">
        <v>6.93</v>
      </c>
      <c r="K137" s="198">
        <v>71916.42</v>
      </c>
    </row>
    <row r="138" spans="3:11" x14ac:dyDescent="0.2">
      <c r="C138" s="201" t="s">
        <v>7232</v>
      </c>
      <c r="D138" s="200">
        <v>44230</v>
      </c>
      <c r="E138" s="199" t="s">
        <v>7231</v>
      </c>
      <c r="I138" s="198">
        <v>9.02</v>
      </c>
      <c r="K138" s="198">
        <v>71925.440000000002</v>
      </c>
    </row>
    <row r="139" spans="3:11" x14ac:dyDescent="0.2">
      <c r="C139" s="201" t="s">
        <v>7230</v>
      </c>
      <c r="D139" s="200">
        <v>44230</v>
      </c>
      <c r="E139" s="199" t="s">
        <v>7229</v>
      </c>
      <c r="I139" s="198">
        <v>2.97</v>
      </c>
      <c r="K139" s="198">
        <v>71928.41</v>
      </c>
    </row>
    <row r="140" spans="3:11" x14ac:dyDescent="0.2">
      <c r="C140" s="201" t="s">
        <v>7228</v>
      </c>
      <c r="D140" s="200">
        <v>44230</v>
      </c>
      <c r="E140" s="199" t="s">
        <v>7227</v>
      </c>
      <c r="I140" s="198">
        <v>5.49</v>
      </c>
      <c r="K140" s="198">
        <v>71933.899999999994</v>
      </c>
    </row>
    <row r="141" spans="3:11" x14ac:dyDescent="0.2">
      <c r="C141" s="201" t="s">
        <v>7226</v>
      </c>
      <c r="D141" s="200">
        <v>44230</v>
      </c>
      <c r="E141" s="199" t="s">
        <v>7225</v>
      </c>
      <c r="I141" s="198">
        <v>6.72</v>
      </c>
      <c r="K141" s="198">
        <v>71940.62</v>
      </c>
    </row>
    <row r="142" spans="3:11" x14ac:dyDescent="0.2">
      <c r="C142" s="201" t="s">
        <v>7224</v>
      </c>
      <c r="D142" s="200">
        <v>44230</v>
      </c>
      <c r="E142" s="199" t="s">
        <v>7223</v>
      </c>
      <c r="I142" s="198">
        <v>12.73</v>
      </c>
      <c r="K142" s="198">
        <v>71953.350000000006</v>
      </c>
    </row>
    <row r="143" spans="3:11" x14ac:dyDescent="0.2">
      <c r="C143" s="201" t="s">
        <v>7222</v>
      </c>
      <c r="D143" s="200">
        <v>44230</v>
      </c>
      <c r="E143" s="199" t="s">
        <v>7221</v>
      </c>
      <c r="I143" s="198">
        <v>27.65</v>
      </c>
      <c r="K143" s="198">
        <v>71981</v>
      </c>
    </row>
    <row r="144" spans="3:11" x14ac:dyDescent="0.2">
      <c r="C144" s="201" t="s">
        <v>7220</v>
      </c>
      <c r="D144" s="200">
        <v>44230</v>
      </c>
      <c r="E144" s="199" t="s">
        <v>7219</v>
      </c>
      <c r="I144" s="198">
        <v>4.97</v>
      </c>
      <c r="K144" s="198">
        <v>71985.97</v>
      </c>
    </row>
    <row r="145" spans="3:11" x14ac:dyDescent="0.2">
      <c r="C145" s="201" t="s">
        <v>1532</v>
      </c>
      <c r="D145" s="200">
        <v>44230</v>
      </c>
      <c r="E145" s="199" t="s">
        <v>7218</v>
      </c>
      <c r="I145" s="198">
        <v>0.72</v>
      </c>
      <c r="K145" s="198">
        <v>71986.69</v>
      </c>
    </row>
    <row r="146" spans="3:11" x14ac:dyDescent="0.2">
      <c r="C146" s="201" t="s">
        <v>7217</v>
      </c>
      <c r="D146" s="200">
        <v>44230</v>
      </c>
      <c r="E146" s="199" t="s">
        <v>7216</v>
      </c>
      <c r="I146" s="198">
        <v>75.05</v>
      </c>
      <c r="K146" s="198">
        <v>72061.740000000005</v>
      </c>
    </row>
    <row r="147" spans="3:11" x14ac:dyDescent="0.2">
      <c r="C147" s="201" t="s">
        <v>20179</v>
      </c>
      <c r="D147" s="200">
        <v>44231</v>
      </c>
      <c r="E147" s="199" t="s">
        <v>20174</v>
      </c>
      <c r="I147" s="198">
        <v>13.82</v>
      </c>
      <c r="K147" s="198">
        <v>72075.56</v>
      </c>
    </row>
    <row r="148" spans="3:11" x14ac:dyDescent="0.2">
      <c r="C148" s="201" t="s">
        <v>7215</v>
      </c>
      <c r="D148" s="200">
        <v>44231</v>
      </c>
      <c r="E148" s="199" t="s">
        <v>7214</v>
      </c>
      <c r="I148" s="198">
        <v>4.43</v>
      </c>
      <c r="K148" s="198">
        <v>72079.990000000005</v>
      </c>
    </row>
    <row r="149" spans="3:11" x14ac:dyDescent="0.2">
      <c r="C149" s="201" t="s">
        <v>7213</v>
      </c>
      <c r="D149" s="200">
        <v>44231</v>
      </c>
      <c r="E149" s="199" t="s">
        <v>7212</v>
      </c>
      <c r="I149" s="198">
        <v>10.68</v>
      </c>
      <c r="K149" s="198">
        <v>72090.67</v>
      </c>
    </row>
    <row r="150" spans="3:11" x14ac:dyDescent="0.2">
      <c r="C150" s="201" t="s">
        <v>7211</v>
      </c>
      <c r="D150" s="200">
        <v>44231</v>
      </c>
      <c r="E150" s="199" t="s">
        <v>7210</v>
      </c>
      <c r="I150" s="198">
        <v>1.67</v>
      </c>
      <c r="K150" s="198">
        <v>72092.34</v>
      </c>
    </row>
    <row r="151" spans="3:11" x14ac:dyDescent="0.2">
      <c r="C151" s="201" t="s">
        <v>7209</v>
      </c>
      <c r="D151" s="200">
        <v>44231</v>
      </c>
      <c r="E151" s="199" t="s">
        <v>7208</v>
      </c>
      <c r="I151" s="198">
        <v>2.84</v>
      </c>
      <c r="K151" s="198">
        <v>72095.179999999993</v>
      </c>
    </row>
    <row r="152" spans="3:11" x14ac:dyDescent="0.2">
      <c r="C152" s="201" t="s">
        <v>7207</v>
      </c>
      <c r="D152" s="200">
        <v>44231</v>
      </c>
      <c r="E152" s="199" t="s">
        <v>7206</v>
      </c>
      <c r="I152" s="198">
        <v>15.12</v>
      </c>
      <c r="K152" s="198">
        <v>72110.3</v>
      </c>
    </row>
    <row r="153" spans="3:11" x14ac:dyDescent="0.2">
      <c r="C153" s="201" t="s">
        <v>7205</v>
      </c>
      <c r="D153" s="200">
        <v>44231</v>
      </c>
      <c r="E153" s="199" t="s">
        <v>7204</v>
      </c>
      <c r="I153" s="198">
        <v>7.69</v>
      </c>
      <c r="K153" s="198">
        <v>72117.990000000005</v>
      </c>
    </row>
    <row r="154" spans="3:11" x14ac:dyDescent="0.2">
      <c r="C154" s="201" t="s">
        <v>7203</v>
      </c>
      <c r="D154" s="200">
        <v>44231</v>
      </c>
      <c r="E154" s="199" t="s">
        <v>7202</v>
      </c>
      <c r="I154" s="198">
        <v>3.4</v>
      </c>
      <c r="K154" s="198">
        <v>72121.39</v>
      </c>
    </row>
    <row r="155" spans="3:11" x14ac:dyDescent="0.2">
      <c r="C155" s="201" t="s">
        <v>7201</v>
      </c>
      <c r="D155" s="200">
        <v>44231</v>
      </c>
      <c r="E155" s="199" t="s">
        <v>7200</v>
      </c>
      <c r="I155" s="198">
        <v>1.79</v>
      </c>
      <c r="K155" s="198">
        <v>72123.179999999993</v>
      </c>
    </row>
    <row r="156" spans="3:11" x14ac:dyDescent="0.2">
      <c r="C156" s="201" t="s">
        <v>7199</v>
      </c>
      <c r="D156" s="200">
        <v>44231</v>
      </c>
      <c r="E156" s="199" t="s">
        <v>7198</v>
      </c>
      <c r="I156" s="198">
        <v>12.39</v>
      </c>
      <c r="K156" s="198">
        <v>72135.570000000007</v>
      </c>
    </row>
    <row r="157" spans="3:11" x14ac:dyDescent="0.2">
      <c r="C157" s="201" t="s">
        <v>7197</v>
      </c>
      <c r="D157" s="200">
        <v>44231</v>
      </c>
      <c r="E157" s="199" t="s">
        <v>7196</v>
      </c>
      <c r="I157" s="198">
        <v>2.2000000000000002</v>
      </c>
      <c r="K157" s="198">
        <v>72137.77</v>
      </c>
    </row>
    <row r="158" spans="3:11" x14ac:dyDescent="0.2">
      <c r="C158" s="201" t="s">
        <v>7195</v>
      </c>
      <c r="D158" s="200">
        <v>44231</v>
      </c>
      <c r="E158" s="199" t="s">
        <v>7194</v>
      </c>
      <c r="I158" s="198">
        <v>8.7100000000000009</v>
      </c>
      <c r="K158" s="198">
        <v>72146.48</v>
      </c>
    </row>
    <row r="159" spans="3:11" x14ac:dyDescent="0.2">
      <c r="C159" s="201" t="s">
        <v>7193</v>
      </c>
      <c r="D159" s="200">
        <v>44231</v>
      </c>
      <c r="E159" s="199" t="s">
        <v>7192</v>
      </c>
      <c r="I159" s="198">
        <v>3.88</v>
      </c>
      <c r="K159" s="198">
        <v>72150.36</v>
      </c>
    </row>
    <row r="160" spans="3:11" x14ac:dyDescent="0.2">
      <c r="C160" s="201" t="s">
        <v>7191</v>
      </c>
      <c r="D160" s="200">
        <v>44231</v>
      </c>
      <c r="E160" s="199" t="s">
        <v>7190</v>
      </c>
      <c r="I160" s="198">
        <v>6.13</v>
      </c>
      <c r="K160" s="198">
        <v>72156.490000000005</v>
      </c>
    </row>
    <row r="161" spans="3:11" x14ac:dyDescent="0.2">
      <c r="C161" s="201" t="s">
        <v>7189</v>
      </c>
      <c r="D161" s="200">
        <v>44231</v>
      </c>
      <c r="E161" s="199" t="s">
        <v>7188</v>
      </c>
      <c r="I161" s="198">
        <v>4.1100000000000003</v>
      </c>
      <c r="K161" s="198">
        <v>72160.600000000006</v>
      </c>
    </row>
    <row r="162" spans="3:11" x14ac:dyDescent="0.2">
      <c r="C162" s="201" t="s">
        <v>7187</v>
      </c>
      <c r="D162" s="200">
        <v>44231</v>
      </c>
      <c r="E162" s="199" t="s">
        <v>7186</v>
      </c>
      <c r="I162" s="198">
        <v>11.05</v>
      </c>
      <c r="K162" s="198">
        <v>72171.649999999994</v>
      </c>
    </row>
    <row r="163" spans="3:11" x14ac:dyDescent="0.2">
      <c r="C163" s="201" t="s">
        <v>7185</v>
      </c>
      <c r="D163" s="200">
        <v>44231</v>
      </c>
      <c r="E163" s="199" t="s">
        <v>7184</v>
      </c>
      <c r="I163" s="198">
        <v>5.9</v>
      </c>
      <c r="K163" s="198">
        <v>72177.55</v>
      </c>
    </row>
    <row r="164" spans="3:11" x14ac:dyDescent="0.2">
      <c r="C164" s="201" t="s">
        <v>7183</v>
      </c>
      <c r="D164" s="200">
        <v>44231</v>
      </c>
      <c r="E164" s="199" t="s">
        <v>7182</v>
      </c>
      <c r="I164" s="198">
        <v>13.54</v>
      </c>
      <c r="K164" s="198">
        <v>72191.09</v>
      </c>
    </row>
    <row r="165" spans="3:11" x14ac:dyDescent="0.2">
      <c r="C165" s="201" t="s">
        <v>7181</v>
      </c>
      <c r="D165" s="200">
        <v>44231</v>
      </c>
      <c r="E165" s="199" t="s">
        <v>7180</v>
      </c>
      <c r="I165" s="198">
        <v>2.04</v>
      </c>
      <c r="K165" s="198">
        <v>72193.13</v>
      </c>
    </row>
    <row r="166" spans="3:11" x14ac:dyDescent="0.2">
      <c r="C166" s="201" t="s">
        <v>7179</v>
      </c>
      <c r="D166" s="200">
        <v>44231</v>
      </c>
      <c r="E166" s="199" t="s">
        <v>7178</v>
      </c>
      <c r="I166" s="198">
        <v>26.85</v>
      </c>
      <c r="K166" s="198">
        <v>72219.98</v>
      </c>
    </row>
    <row r="167" spans="3:11" x14ac:dyDescent="0.2">
      <c r="C167" s="201" t="s">
        <v>7177</v>
      </c>
      <c r="D167" s="200">
        <v>44231</v>
      </c>
      <c r="E167" s="199" t="s">
        <v>7176</v>
      </c>
      <c r="I167" s="198">
        <v>4.59</v>
      </c>
      <c r="K167" s="198">
        <v>72224.570000000007</v>
      </c>
    </row>
    <row r="168" spans="3:11" x14ac:dyDescent="0.2">
      <c r="C168" s="201" t="s">
        <v>7175</v>
      </c>
      <c r="D168" s="200">
        <v>44231</v>
      </c>
      <c r="E168" s="199" t="s">
        <v>7174</v>
      </c>
      <c r="I168" s="198">
        <v>19.82</v>
      </c>
      <c r="K168" s="198">
        <v>72244.39</v>
      </c>
    </row>
    <row r="169" spans="3:11" x14ac:dyDescent="0.2">
      <c r="C169" s="201" t="s">
        <v>7173</v>
      </c>
      <c r="D169" s="200">
        <v>44231</v>
      </c>
      <c r="E169" s="199" t="s">
        <v>7172</v>
      </c>
      <c r="I169" s="198">
        <v>1.68</v>
      </c>
      <c r="K169" s="198">
        <v>72246.070000000007</v>
      </c>
    </row>
    <row r="170" spans="3:11" x14ac:dyDescent="0.2">
      <c r="C170" s="201" t="s">
        <v>7171</v>
      </c>
      <c r="D170" s="200">
        <v>44231</v>
      </c>
      <c r="E170" s="199" t="s">
        <v>7170</v>
      </c>
      <c r="I170" s="198">
        <v>4.22</v>
      </c>
      <c r="K170" s="198">
        <v>72250.289999999994</v>
      </c>
    </row>
    <row r="171" spans="3:11" x14ac:dyDescent="0.2">
      <c r="C171" s="201" t="s">
        <v>7169</v>
      </c>
      <c r="D171" s="200">
        <v>44231</v>
      </c>
      <c r="E171" s="199" t="s">
        <v>7168</v>
      </c>
      <c r="I171" s="198">
        <v>4</v>
      </c>
      <c r="K171" s="198">
        <v>72254.289999999994</v>
      </c>
    </row>
    <row r="172" spans="3:11" x14ac:dyDescent="0.2">
      <c r="C172" s="201" t="s">
        <v>7167</v>
      </c>
      <c r="D172" s="200">
        <v>44231</v>
      </c>
      <c r="E172" s="199" t="s">
        <v>7166</v>
      </c>
      <c r="I172" s="198">
        <v>3.62</v>
      </c>
      <c r="K172" s="198">
        <v>72257.91</v>
      </c>
    </row>
    <row r="173" spans="3:11" x14ac:dyDescent="0.2">
      <c r="C173" s="201" t="s">
        <v>7165</v>
      </c>
      <c r="D173" s="200">
        <v>44231</v>
      </c>
      <c r="E173" s="199" t="s">
        <v>7164</v>
      </c>
      <c r="I173" s="198">
        <v>1.94</v>
      </c>
      <c r="K173" s="198">
        <v>72259.850000000006</v>
      </c>
    </row>
    <row r="174" spans="3:11" x14ac:dyDescent="0.2">
      <c r="C174" s="201" t="s">
        <v>7163</v>
      </c>
      <c r="D174" s="200">
        <v>44231</v>
      </c>
      <c r="E174" s="199" t="s">
        <v>7162</v>
      </c>
      <c r="I174" s="198">
        <v>6.5</v>
      </c>
      <c r="K174" s="198">
        <v>72266.350000000006</v>
      </c>
    </row>
    <row r="175" spans="3:11" x14ac:dyDescent="0.2">
      <c r="C175" s="201" t="s">
        <v>7161</v>
      </c>
      <c r="D175" s="200">
        <v>44231</v>
      </c>
      <c r="E175" s="199" t="s">
        <v>7160</v>
      </c>
      <c r="I175" s="198">
        <v>7.7</v>
      </c>
      <c r="K175" s="198">
        <v>72274.05</v>
      </c>
    </row>
    <row r="176" spans="3:11" x14ac:dyDescent="0.2">
      <c r="C176" s="201" t="s">
        <v>7159</v>
      </c>
      <c r="D176" s="200">
        <v>44231</v>
      </c>
      <c r="E176" s="199" t="s">
        <v>7158</v>
      </c>
      <c r="I176" s="198">
        <v>5.42</v>
      </c>
      <c r="K176" s="198">
        <v>72279.47</v>
      </c>
    </row>
    <row r="177" spans="3:11" x14ac:dyDescent="0.2">
      <c r="C177" s="201" t="s">
        <v>7157</v>
      </c>
      <c r="D177" s="200">
        <v>44231</v>
      </c>
      <c r="E177" s="199" t="s">
        <v>7156</v>
      </c>
      <c r="I177" s="198">
        <v>2.82</v>
      </c>
      <c r="K177" s="198">
        <v>72282.289999999994</v>
      </c>
    </row>
    <row r="178" spans="3:11" x14ac:dyDescent="0.2">
      <c r="C178" s="201" t="s">
        <v>7155</v>
      </c>
      <c r="D178" s="200">
        <v>44231</v>
      </c>
      <c r="E178" s="199" t="s">
        <v>7154</v>
      </c>
      <c r="I178" s="198">
        <v>2.78</v>
      </c>
      <c r="K178" s="198">
        <v>72285.070000000007</v>
      </c>
    </row>
    <row r="179" spans="3:11" x14ac:dyDescent="0.2">
      <c r="C179" s="201" t="s">
        <v>7153</v>
      </c>
      <c r="D179" s="200">
        <v>44231</v>
      </c>
      <c r="E179" s="199" t="s">
        <v>7152</v>
      </c>
      <c r="I179" s="198">
        <v>5.99</v>
      </c>
      <c r="K179" s="198">
        <v>72291.06</v>
      </c>
    </row>
    <row r="180" spans="3:11" x14ac:dyDescent="0.2">
      <c r="C180" s="201" t="s">
        <v>7151</v>
      </c>
      <c r="D180" s="200">
        <v>44231</v>
      </c>
      <c r="E180" s="199" t="s">
        <v>7150</v>
      </c>
      <c r="I180" s="198">
        <v>4.7</v>
      </c>
      <c r="K180" s="198">
        <v>72295.759999999995</v>
      </c>
    </row>
    <row r="181" spans="3:11" x14ac:dyDescent="0.2">
      <c r="C181" s="201" t="s">
        <v>7149</v>
      </c>
      <c r="D181" s="200">
        <v>44231</v>
      </c>
      <c r="E181" s="199" t="s">
        <v>7148</v>
      </c>
      <c r="I181" s="198">
        <v>9.14</v>
      </c>
      <c r="K181" s="198">
        <v>72304.899999999994</v>
      </c>
    </row>
    <row r="182" spans="3:11" x14ac:dyDescent="0.2">
      <c r="C182" s="201" t="s">
        <v>7147</v>
      </c>
      <c r="D182" s="200">
        <v>44231</v>
      </c>
      <c r="E182" s="199" t="s">
        <v>7146</v>
      </c>
      <c r="I182" s="198">
        <v>1.68</v>
      </c>
      <c r="K182" s="198">
        <v>72306.58</v>
      </c>
    </row>
    <row r="183" spans="3:11" x14ac:dyDescent="0.2">
      <c r="C183" s="201" t="s">
        <v>7145</v>
      </c>
      <c r="D183" s="200">
        <v>44231</v>
      </c>
      <c r="E183" s="199" t="s">
        <v>7144</v>
      </c>
      <c r="I183" s="198">
        <v>3.67</v>
      </c>
      <c r="K183" s="198">
        <v>72310.25</v>
      </c>
    </row>
    <row r="184" spans="3:11" x14ac:dyDescent="0.2">
      <c r="C184" s="201" t="s">
        <v>7143</v>
      </c>
      <c r="D184" s="200">
        <v>44231</v>
      </c>
      <c r="E184" s="199" t="s">
        <v>7142</v>
      </c>
      <c r="I184" s="198">
        <v>8.3800000000000008</v>
      </c>
      <c r="K184" s="198">
        <v>72318.63</v>
      </c>
    </row>
    <row r="185" spans="3:11" x14ac:dyDescent="0.2">
      <c r="C185" s="201" t="s">
        <v>7141</v>
      </c>
      <c r="D185" s="200">
        <v>44231</v>
      </c>
      <c r="E185" s="199" t="s">
        <v>7140</v>
      </c>
      <c r="I185" s="198">
        <v>1.96</v>
      </c>
      <c r="K185" s="198">
        <v>72320.59</v>
      </c>
    </row>
    <row r="186" spans="3:11" x14ac:dyDescent="0.2">
      <c r="C186" s="201" t="s">
        <v>7139</v>
      </c>
      <c r="D186" s="200">
        <v>44231</v>
      </c>
      <c r="E186" s="199" t="s">
        <v>7138</v>
      </c>
      <c r="I186" s="198">
        <v>9.44</v>
      </c>
      <c r="K186" s="198">
        <v>72330.03</v>
      </c>
    </row>
    <row r="187" spans="3:11" x14ac:dyDescent="0.2">
      <c r="C187" s="201" t="s">
        <v>7137</v>
      </c>
      <c r="D187" s="200">
        <v>44231</v>
      </c>
      <c r="E187" s="199" t="s">
        <v>7136</v>
      </c>
      <c r="I187" s="198">
        <v>5.91</v>
      </c>
      <c r="K187" s="198">
        <v>72335.94</v>
      </c>
    </row>
    <row r="188" spans="3:11" x14ac:dyDescent="0.2">
      <c r="C188" s="201" t="s">
        <v>7135</v>
      </c>
      <c r="D188" s="200">
        <v>44231</v>
      </c>
      <c r="E188" s="199" t="s">
        <v>7134</v>
      </c>
      <c r="I188" s="198">
        <v>1.8</v>
      </c>
      <c r="K188" s="198">
        <v>72337.740000000005</v>
      </c>
    </row>
    <row r="189" spans="3:11" x14ac:dyDescent="0.2">
      <c r="C189" s="201" t="s">
        <v>7133</v>
      </c>
      <c r="D189" s="200">
        <v>44231</v>
      </c>
      <c r="E189" s="199" t="s">
        <v>7132</v>
      </c>
      <c r="I189" s="198">
        <v>4.04</v>
      </c>
      <c r="K189" s="198">
        <v>72341.78</v>
      </c>
    </row>
    <row r="190" spans="3:11" x14ac:dyDescent="0.2">
      <c r="C190" s="201" t="s">
        <v>7131</v>
      </c>
      <c r="D190" s="200">
        <v>44231</v>
      </c>
      <c r="E190" s="199" t="s">
        <v>7130</v>
      </c>
      <c r="I190" s="198">
        <v>1.77</v>
      </c>
      <c r="K190" s="198">
        <v>72343.55</v>
      </c>
    </row>
    <row r="191" spans="3:11" x14ac:dyDescent="0.2">
      <c r="C191" s="201" t="s">
        <v>7129</v>
      </c>
      <c r="D191" s="200">
        <v>44231</v>
      </c>
      <c r="E191" s="199" t="s">
        <v>7128</v>
      </c>
      <c r="I191" s="198">
        <v>6.94</v>
      </c>
      <c r="K191" s="198">
        <v>72350.490000000005</v>
      </c>
    </row>
    <row r="192" spans="3:11" x14ac:dyDescent="0.2">
      <c r="C192" s="201" t="s">
        <v>7127</v>
      </c>
      <c r="D192" s="200">
        <v>44231</v>
      </c>
      <c r="E192" s="199" t="s">
        <v>7126</v>
      </c>
      <c r="I192" s="198">
        <v>1.46</v>
      </c>
      <c r="K192" s="198">
        <v>72351.95</v>
      </c>
    </row>
    <row r="193" spans="3:11" x14ac:dyDescent="0.2">
      <c r="C193" s="201" t="s">
        <v>7125</v>
      </c>
      <c r="D193" s="200">
        <v>44231</v>
      </c>
      <c r="E193" s="199" t="s">
        <v>7124</v>
      </c>
      <c r="I193" s="198">
        <v>1.68</v>
      </c>
      <c r="K193" s="198">
        <v>72353.63</v>
      </c>
    </row>
    <row r="194" spans="3:11" x14ac:dyDescent="0.2">
      <c r="C194" s="201" t="s">
        <v>7123</v>
      </c>
      <c r="D194" s="200">
        <v>44231</v>
      </c>
      <c r="E194" s="199" t="s">
        <v>7122</v>
      </c>
      <c r="I194" s="198">
        <v>6.94</v>
      </c>
      <c r="K194" s="198">
        <v>72360.570000000007</v>
      </c>
    </row>
    <row r="195" spans="3:11" x14ac:dyDescent="0.2">
      <c r="C195" s="201" t="s">
        <v>7121</v>
      </c>
      <c r="D195" s="200">
        <v>44231</v>
      </c>
      <c r="E195" s="199" t="s">
        <v>7120</v>
      </c>
      <c r="I195" s="198">
        <v>2.2599999999999998</v>
      </c>
      <c r="K195" s="198">
        <v>72362.83</v>
      </c>
    </row>
    <row r="196" spans="3:11" x14ac:dyDescent="0.2">
      <c r="C196" s="201" t="s">
        <v>7119</v>
      </c>
      <c r="D196" s="200">
        <v>44231</v>
      </c>
      <c r="E196" s="199" t="s">
        <v>7118</v>
      </c>
      <c r="I196" s="198">
        <v>2.14</v>
      </c>
      <c r="K196" s="198">
        <v>72364.97</v>
      </c>
    </row>
    <row r="197" spans="3:11" x14ac:dyDescent="0.2">
      <c r="C197" s="201" t="s">
        <v>7117</v>
      </c>
      <c r="D197" s="200">
        <v>44231</v>
      </c>
      <c r="E197" s="199" t="s">
        <v>7116</v>
      </c>
      <c r="I197" s="198">
        <v>7.61</v>
      </c>
      <c r="K197" s="198">
        <v>72372.58</v>
      </c>
    </row>
    <row r="198" spans="3:11" x14ac:dyDescent="0.2">
      <c r="C198" s="201" t="s">
        <v>7115</v>
      </c>
      <c r="D198" s="200">
        <v>44231</v>
      </c>
      <c r="E198" s="199" t="s">
        <v>7114</v>
      </c>
      <c r="I198" s="198">
        <v>7.82</v>
      </c>
      <c r="K198" s="198">
        <v>72380.399999999994</v>
      </c>
    </row>
    <row r="199" spans="3:11" x14ac:dyDescent="0.2">
      <c r="C199" s="201" t="s">
        <v>7113</v>
      </c>
      <c r="D199" s="200">
        <v>44231</v>
      </c>
      <c r="E199" s="199" t="s">
        <v>7112</v>
      </c>
      <c r="I199" s="198">
        <v>1.87</v>
      </c>
      <c r="K199" s="198">
        <v>72382.27</v>
      </c>
    </row>
    <row r="200" spans="3:11" x14ac:dyDescent="0.2">
      <c r="C200" s="201" t="s">
        <v>7111</v>
      </c>
      <c r="D200" s="200">
        <v>44231</v>
      </c>
      <c r="E200" s="199" t="s">
        <v>7110</v>
      </c>
      <c r="I200" s="198">
        <v>4.59</v>
      </c>
      <c r="K200" s="198">
        <v>72386.86</v>
      </c>
    </row>
    <row r="201" spans="3:11" x14ac:dyDescent="0.2">
      <c r="C201" s="201" t="s">
        <v>7109</v>
      </c>
      <c r="D201" s="200">
        <v>44231</v>
      </c>
      <c r="E201" s="199" t="s">
        <v>7108</v>
      </c>
      <c r="I201" s="198">
        <v>4.1900000000000004</v>
      </c>
      <c r="K201" s="198">
        <v>72391.05</v>
      </c>
    </row>
    <row r="202" spans="3:11" x14ac:dyDescent="0.2">
      <c r="C202" s="201" t="s">
        <v>7107</v>
      </c>
      <c r="D202" s="200">
        <v>44231</v>
      </c>
      <c r="E202" s="199" t="s">
        <v>7106</v>
      </c>
      <c r="I202" s="198">
        <v>3.36</v>
      </c>
      <c r="K202" s="198">
        <v>72394.41</v>
      </c>
    </row>
    <row r="203" spans="3:11" x14ac:dyDescent="0.2">
      <c r="C203" s="201" t="s">
        <v>7105</v>
      </c>
      <c r="D203" s="200">
        <v>44231</v>
      </c>
      <c r="E203" s="199" t="s">
        <v>7104</v>
      </c>
      <c r="I203" s="198">
        <v>7.82</v>
      </c>
      <c r="K203" s="198">
        <v>72402.23</v>
      </c>
    </row>
    <row r="204" spans="3:11" x14ac:dyDescent="0.2">
      <c r="C204" s="201" t="s">
        <v>7103</v>
      </c>
      <c r="D204" s="200">
        <v>44231</v>
      </c>
      <c r="E204" s="199" t="s">
        <v>7102</v>
      </c>
      <c r="I204" s="198">
        <v>6.48</v>
      </c>
      <c r="K204" s="198">
        <v>72408.710000000006</v>
      </c>
    </row>
    <row r="205" spans="3:11" x14ac:dyDescent="0.2">
      <c r="C205" s="201" t="s">
        <v>7101</v>
      </c>
      <c r="D205" s="200">
        <v>44231</v>
      </c>
      <c r="E205" s="199" t="s">
        <v>7100</v>
      </c>
      <c r="I205" s="198">
        <v>1.68</v>
      </c>
      <c r="K205" s="198">
        <v>72410.39</v>
      </c>
    </row>
    <row r="206" spans="3:11" x14ac:dyDescent="0.2">
      <c r="C206" s="201" t="s">
        <v>7099</v>
      </c>
      <c r="D206" s="200">
        <v>44231</v>
      </c>
      <c r="E206" s="199" t="s">
        <v>7098</v>
      </c>
      <c r="I206" s="198">
        <v>8.3800000000000008</v>
      </c>
      <c r="K206" s="198">
        <v>72418.77</v>
      </c>
    </row>
    <row r="207" spans="3:11" x14ac:dyDescent="0.2">
      <c r="C207" s="201" t="s">
        <v>7097</v>
      </c>
      <c r="D207" s="200">
        <v>44231</v>
      </c>
      <c r="E207" s="199" t="s">
        <v>7096</v>
      </c>
      <c r="I207" s="198">
        <v>1.68</v>
      </c>
      <c r="K207" s="198">
        <v>72420.45</v>
      </c>
    </row>
    <row r="208" spans="3:11" x14ac:dyDescent="0.2">
      <c r="C208" s="201" t="s">
        <v>7095</v>
      </c>
      <c r="D208" s="200">
        <v>44231</v>
      </c>
      <c r="E208" s="199" t="s">
        <v>7094</v>
      </c>
      <c r="I208" s="198">
        <v>8.3800000000000008</v>
      </c>
      <c r="K208" s="198">
        <v>72428.83</v>
      </c>
    </row>
    <row r="209" spans="3:11" x14ac:dyDescent="0.2">
      <c r="C209" s="201" t="s">
        <v>7093</v>
      </c>
      <c r="D209" s="200">
        <v>44231</v>
      </c>
      <c r="E209" s="199" t="s">
        <v>7092</v>
      </c>
      <c r="I209" s="198">
        <v>8.3800000000000008</v>
      </c>
      <c r="K209" s="198">
        <v>72437.210000000006</v>
      </c>
    </row>
    <row r="210" spans="3:11" x14ac:dyDescent="0.2">
      <c r="C210" s="201" t="s">
        <v>7091</v>
      </c>
      <c r="D210" s="200">
        <v>44231</v>
      </c>
      <c r="E210" s="199" t="s">
        <v>7090</v>
      </c>
      <c r="I210" s="198">
        <v>7.24</v>
      </c>
      <c r="K210" s="198">
        <v>72444.45</v>
      </c>
    </row>
    <row r="211" spans="3:11" x14ac:dyDescent="0.2">
      <c r="C211" s="201" t="s">
        <v>7089</v>
      </c>
      <c r="D211" s="200">
        <v>44231</v>
      </c>
      <c r="E211" s="199" t="s">
        <v>7088</v>
      </c>
      <c r="I211" s="198">
        <v>8.3800000000000008</v>
      </c>
      <c r="K211" s="198">
        <v>72452.83</v>
      </c>
    </row>
    <row r="212" spans="3:11" x14ac:dyDescent="0.2">
      <c r="C212" s="201" t="s">
        <v>7087</v>
      </c>
      <c r="D212" s="200">
        <v>44231</v>
      </c>
      <c r="E212" s="199" t="s">
        <v>7086</v>
      </c>
      <c r="I212" s="198">
        <v>6.25</v>
      </c>
      <c r="K212" s="198">
        <v>72459.08</v>
      </c>
    </row>
    <row r="213" spans="3:11" x14ac:dyDescent="0.2">
      <c r="C213" s="201" t="s">
        <v>7085</v>
      </c>
      <c r="D213" s="200">
        <v>44231</v>
      </c>
      <c r="E213" s="199" t="s">
        <v>7084</v>
      </c>
      <c r="I213" s="198">
        <v>2.14</v>
      </c>
      <c r="K213" s="198">
        <v>72461.22</v>
      </c>
    </row>
    <row r="214" spans="3:11" x14ac:dyDescent="0.2">
      <c r="C214" s="201" t="s">
        <v>7083</v>
      </c>
      <c r="D214" s="200">
        <v>44231</v>
      </c>
      <c r="E214" s="199" t="s">
        <v>7082</v>
      </c>
      <c r="I214" s="198">
        <v>1.77</v>
      </c>
      <c r="K214" s="198">
        <v>72462.990000000005</v>
      </c>
    </row>
    <row r="215" spans="3:11" x14ac:dyDescent="0.2">
      <c r="C215" s="201" t="s">
        <v>7081</v>
      </c>
      <c r="D215" s="200">
        <v>44231</v>
      </c>
      <c r="E215" s="199" t="s">
        <v>7080</v>
      </c>
      <c r="I215" s="198">
        <v>3.33</v>
      </c>
      <c r="K215" s="198">
        <v>72466.320000000007</v>
      </c>
    </row>
    <row r="216" spans="3:11" x14ac:dyDescent="0.2">
      <c r="C216" s="201" t="s">
        <v>7079</v>
      </c>
      <c r="D216" s="200">
        <v>44231</v>
      </c>
      <c r="E216" s="199" t="s">
        <v>7078</v>
      </c>
      <c r="I216" s="198">
        <v>17.899999999999999</v>
      </c>
      <c r="K216" s="198">
        <v>72484.22</v>
      </c>
    </row>
    <row r="217" spans="3:11" x14ac:dyDescent="0.2">
      <c r="C217" s="201" t="s">
        <v>7077</v>
      </c>
      <c r="D217" s="200">
        <v>44231</v>
      </c>
      <c r="E217" s="199" t="s">
        <v>7076</v>
      </c>
      <c r="I217" s="198">
        <v>12.3</v>
      </c>
      <c r="K217" s="198">
        <v>72496.52</v>
      </c>
    </row>
    <row r="218" spans="3:11" x14ac:dyDescent="0.2">
      <c r="C218" s="201" t="s">
        <v>7075</v>
      </c>
      <c r="D218" s="200">
        <v>44231</v>
      </c>
      <c r="E218" s="199" t="s">
        <v>7074</v>
      </c>
      <c r="I218" s="198">
        <v>2</v>
      </c>
      <c r="K218" s="198">
        <v>72498.52</v>
      </c>
    </row>
    <row r="219" spans="3:11" x14ac:dyDescent="0.2">
      <c r="C219" s="201" t="s">
        <v>7073</v>
      </c>
      <c r="D219" s="200">
        <v>44231</v>
      </c>
      <c r="E219" s="199" t="s">
        <v>7072</v>
      </c>
      <c r="I219" s="198">
        <v>15.3</v>
      </c>
      <c r="K219" s="198">
        <v>72513.820000000007</v>
      </c>
    </row>
    <row r="220" spans="3:11" x14ac:dyDescent="0.2">
      <c r="C220" s="201" t="s">
        <v>7071</v>
      </c>
      <c r="D220" s="200">
        <v>44231</v>
      </c>
      <c r="E220" s="199" t="s">
        <v>7070</v>
      </c>
      <c r="I220" s="198">
        <v>15.3</v>
      </c>
      <c r="K220" s="198">
        <v>72529.119999999995</v>
      </c>
    </row>
    <row r="221" spans="3:11" x14ac:dyDescent="0.2">
      <c r="C221" s="201" t="s">
        <v>7069</v>
      </c>
      <c r="D221" s="200">
        <v>44231</v>
      </c>
      <c r="E221" s="199" t="s">
        <v>7068</v>
      </c>
      <c r="I221" s="198">
        <v>15.3</v>
      </c>
      <c r="K221" s="198">
        <v>72544.42</v>
      </c>
    </row>
    <row r="222" spans="3:11" x14ac:dyDescent="0.2">
      <c r="C222" s="201" t="s">
        <v>7067</v>
      </c>
      <c r="D222" s="200">
        <v>44231</v>
      </c>
      <c r="E222" s="199" t="s">
        <v>7066</v>
      </c>
      <c r="I222" s="198">
        <v>15.3</v>
      </c>
      <c r="K222" s="198">
        <v>72559.72</v>
      </c>
    </row>
    <row r="223" spans="3:11" x14ac:dyDescent="0.2">
      <c r="C223" s="201" t="s">
        <v>7065</v>
      </c>
      <c r="D223" s="200">
        <v>44231</v>
      </c>
      <c r="E223" s="199" t="s">
        <v>7064</v>
      </c>
      <c r="I223" s="198">
        <v>30.6</v>
      </c>
      <c r="K223" s="198">
        <v>72590.320000000007</v>
      </c>
    </row>
    <row r="224" spans="3:11" x14ac:dyDescent="0.2">
      <c r="C224" s="201" t="s">
        <v>7063</v>
      </c>
      <c r="D224" s="200">
        <v>44231</v>
      </c>
      <c r="E224" s="199" t="s">
        <v>7062</v>
      </c>
      <c r="I224" s="198">
        <v>2.76</v>
      </c>
      <c r="K224" s="198">
        <v>72593.08</v>
      </c>
    </row>
    <row r="225" spans="3:11" x14ac:dyDescent="0.2">
      <c r="C225" s="201" t="s">
        <v>7061</v>
      </c>
      <c r="D225" s="200">
        <v>44231</v>
      </c>
      <c r="E225" s="199" t="s">
        <v>7060</v>
      </c>
      <c r="I225" s="198">
        <v>4.0599999999999996</v>
      </c>
      <c r="K225" s="198">
        <v>72597.14</v>
      </c>
    </row>
    <row r="226" spans="3:11" x14ac:dyDescent="0.2">
      <c r="C226" s="201" t="s">
        <v>7059</v>
      </c>
      <c r="D226" s="200">
        <v>44231</v>
      </c>
      <c r="E226" s="199" t="s">
        <v>7058</v>
      </c>
      <c r="I226" s="198">
        <v>10.49</v>
      </c>
      <c r="K226" s="198">
        <v>72607.63</v>
      </c>
    </row>
    <row r="227" spans="3:11" x14ac:dyDescent="0.2">
      <c r="C227" s="201" t="s">
        <v>7057</v>
      </c>
      <c r="D227" s="200">
        <v>44231</v>
      </c>
      <c r="E227" s="199" t="s">
        <v>7056</v>
      </c>
      <c r="I227" s="198">
        <v>12.44</v>
      </c>
      <c r="K227" s="198">
        <v>72620.070000000007</v>
      </c>
    </row>
    <row r="228" spans="3:11" x14ac:dyDescent="0.2">
      <c r="C228" s="201" t="s">
        <v>7055</v>
      </c>
      <c r="D228" s="200">
        <v>44231</v>
      </c>
      <c r="E228" s="199" t="s">
        <v>7054</v>
      </c>
      <c r="I228" s="198">
        <v>5.77</v>
      </c>
      <c r="K228" s="198">
        <v>72625.84</v>
      </c>
    </row>
    <row r="229" spans="3:11" x14ac:dyDescent="0.2">
      <c r="C229" s="201" t="s">
        <v>7053</v>
      </c>
      <c r="D229" s="200">
        <v>44231</v>
      </c>
      <c r="E229" s="199" t="s">
        <v>7052</v>
      </c>
      <c r="I229" s="198">
        <v>3.69</v>
      </c>
      <c r="K229" s="198">
        <v>72629.53</v>
      </c>
    </row>
    <row r="230" spans="3:11" x14ac:dyDescent="0.2">
      <c r="C230" s="201" t="s">
        <v>7051</v>
      </c>
      <c r="D230" s="200">
        <v>44231</v>
      </c>
      <c r="E230" s="199" t="s">
        <v>7050</v>
      </c>
      <c r="J230" s="222">
        <v>89.96</v>
      </c>
      <c r="K230" s="198">
        <v>72539.570000000007</v>
      </c>
    </row>
    <row r="231" spans="3:11" x14ac:dyDescent="0.2">
      <c r="C231" s="201" t="s">
        <v>7049</v>
      </c>
      <c r="D231" s="200">
        <v>44231</v>
      </c>
      <c r="E231" s="199" t="s">
        <v>7048</v>
      </c>
      <c r="J231" s="222">
        <v>88</v>
      </c>
      <c r="K231" s="198">
        <v>72451.570000000007</v>
      </c>
    </row>
    <row r="232" spans="3:11" x14ac:dyDescent="0.2">
      <c r="C232" s="201" t="s">
        <v>7047</v>
      </c>
      <c r="D232" s="200">
        <v>44232</v>
      </c>
      <c r="E232" s="199" t="s">
        <v>7046</v>
      </c>
      <c r="I232" s="198">
        <v>10</v>
      </c>
      <c r="K232" s="198">
        <v>72461.570000000007</v>
      </c>
    </row>
    <row r="233" spans="3:11" x14ac:dyDescent="0.2">
      <c r="C233" s="201" t="s">
        <v>7045</v>
      </c>
      <c r="D233" s="200">
        <v>44232</v>
      </c>
      <c r="E233" s="199" t="s">
        <v>7044</v>
      </c>
      <c r="I233" s="198">
        <v>4.4800000000000004</v>
      </c>
      <c r="K233" s="198">
        <v>72466.05</v>
      </c>
    </row>
    <row r="234" spans="3:11" x14ac:dyDescent="0.2">
      <c r="C234" s="201" t="s">
        <v>7043</v>
      </c>
      <c r="D234" s="200">
        <v>44232</v>
      </c>
      <c r="E234" s="199" t="s">
        <v>7042</v>
      </c>
      <c r="I234" s="198">
        <v>2.91</v>
      </c>
      <c r="K234" s="198">
        <v>72468.960000000006</v>
      </c>
    </row>
    <row r="235" spans="3:11" x14ac:dyDescent="0.2">
      <c r="C235" s="201" t="s">
        <v>7041</v>
      </c>
      <c r="D235" s="200">
        <v>44232</v>
      </c>
      <c r="E235" s="199" t="s">
        <v>7040</v>
      </c>
      <c r="I235" s="198">
        <v>2853.08</v>
      </c>
      <c r="K235" s="198">
        <v>75322.039999999994</v>
      </c>
    </row>
    <row r="236" spans="3:11" x14ac:dyDescent="0.2">
      <c r="C236" s="201" t="s">
        <v>7039</v>
      </c>
      <c r="D236" s="200">
        <v>44232</v>
      </c>
      <c r="E236" s="199" t="s">
        <v>7038</v>
      </c>
      <c r="I236" s="198">
        <v>3171.38</v>
      </c>
      <c r="K236" s="198">
        <v>78493.42</v>
      </c>
    </row>
    <row r="237" spans="3:11" x14ac:dyDescent="0.2">
      <c r="C237" s="201" t="s">
        <v>7037</v>
      </c>
      <c r="D237" s="200">
        <v>44232</v>
      </c>
      <c r="E237" s="199" t="s">
        <v>7036</v>
      </c>
      <c r="I237" s="198">
        <v>1.68</v>
      </c>
      <c r="K237" s="198">
        <v>78495.100000000006</v>
      </c>
    </row>
    <row r="238" spans="3:11" x14ac:dyDescent="0.2">
      <c r="C238" s="201" t="s">
        <v>7035</v>
      </c>
      <c r="D238" s="200">
        <v>44232</v>
      </c>
      <c r="E238" s="199" t="s">
        <v>7034</v>
      </c>
      <c r="I238" s="198">
        <v>4.9800000000000004</v>
      </c>
      <c r="K238" s="198">
        <v>78500.08</v>
      </c>
    </row>
    <row r="239" spans="3:11" x14ac:dyDescent="0.2">
      <c r="C239" s="201" t="s">
        <v>7033</v>
      </c>
      <c r="D239" s="200">
        <v>44232</v>
      </c>
      <c r="E239" s="199" t="s">
        <v>7032</v>
      </c>
      <c r="I239" s="198">
        <v>1.88</v>
      </c>
      <c r="K239" s="198">
        <v>78501.960000000006</v>
      </c>
    </row>
    <row r="240" spans="3:11" x14ac:dyDescent="0.2">
      <c r="C240" s="201" t="s">
        <v>7031</v>
      </c>
      <c r="D240" s="200">
        <v>44232</v>
      </c>
      <c r="E240" s="199" t="s">
        <v>7030</v>
      </c>
      <c r="I240" s="198">
        <v>6.24</v>
      </c>
      <c r="K240" s="198">
        <v>78508.2</v>
      </c>
    </row>
    <row r="241" spans="3:11" x14ac:dyDescent="0.2">
      <c r="C241" s="201" t="s">
        <v>7029</v>
      </c>
      <c r="D241" s="200">
        <v>44232</v>
      </c>
      <c r="E241" s="199" t="s">
        <v>7028</v>
      </c>
      <c r="I241" s="198">
        <v>2.48</v>
      </c>
      <c r="K241" s="198">
        <v>78510.679999999993</v>
      </c>
    </row>
    <row r="242" spans="3:11" x14ac:dyDescent="0.2">
      <c r="C242" s="201" t="s">
        <v>7027</v>
      </c>
      <c r="D242" s="200">
        <v>44232</v>
      </c>
      <c r="E242" s="199" t="s">
        <v>7026</v>
      </c>
      <c r="I242" s="198">
        <v>1.68</v>
      </c>
      <c r="K242" s="198">
        <v>78512.36</v>
      </c>
    </row>
    <row r="243" spans="3:11" x14ac:dyDescent="0.2">
      <c r="C243" s="201" t="s">
        <v>7025</v>
      </c>
      <c r="D243" s="200">
        <v>44232</v>
      </c>
      <c r="E243" s="199" t="s">
        <v>7024</v>
      </c>
      <c r="I243" s="198">
        <v>4.2699999999999996</v>
      </c>
      <c r="K243" s="198">
        <v>78516.63</v>
      </c>
    </row>
    <row r="244" spans="3:11" x14ac:dyDescent="0.2">
      <c r="C244" s="201" t="s">
        <v>7023</v>
      </c>
      <c r="D244" s="200">
        <v>44232</v>
      </c>
      <c r="E244" s="199" t="s">
        <v>7022</v>
      </c>
      <c r="I244" s="198">
        <v>2.1800000000000002</v>
      </c>
      <c r="K244" s="198">
        <v>78518.81</v>
      </c>
    </row>
    <row r="245" spans="3:11" x14ac:dyDescent="0.2">
      <c r="C245" s="201" t="s">
        <v>7021</v>
      </c>
      <c r="D245" s="200">
        <v>44232</v>
      </c>
      <c r="E245" s="199" t="s">
        <v>7020</v>
      </c>
      <c r="I245" s="198">
        <v>3.36</v>
      </c>
      <c r="K245" s="198">
        <v>78522.17</v>
      </c>
    </row>
    <row r="246" spans="3:11" x14ac:dyDescent="0.2">
      <c r="C246" s="201" t="s">
        <v>7019</v>
      </c>
      <c r="D246" s="200">
        <v>44232</v>
      </c>
      <c r="E246" s="199" t="s">
        <v>7018</v>
      </c>
      <c r="I246" s="198">
        <v>8.1</v>
      </c>
      <c r="K246" s="198">
        <v>78530.27</v>
      </c>
    </row>
    <row r="247" spans="3:11" x14ac:dyDescent="0.2">
      <c r="C247" s="201" t="s">
        <v>7017</v>
      </c>
      <c r="D247" s="200">
        <v>44232</v>
      </c>
      <c r="E247" s="199" t="s">
        <v>7016</v>
      </c>
      <c r="I247" s="198">
        <v>5.51</v>
      </c>
      <c r="K247" s="198">
        <v>78535.78</v>
      </c>
    </row>
    <row r="248" spans="3:11" x14ac:dyDescent="0.2">
      <c r="C248" s="201" t="s">
        <v>7015</v>
      </c>
      <c r="D248" s="200">
        <v>44232</v>
      </c>
      <c r="E248" s="199" t="s">
        <v>7014</v>
      </c>
      <c r="I248" s="198">
        <v>10.029999999999999</v>
      </c>
      <c r="K248" s="198">
        <v>78545.81</v>
      </c>
    </row>
    <row r="249" spans="3:11" x14ac:dyDescent="0.2">
      <c r="C249" s="201" t="s">
        <v>7013</v>
      </c>
      <c r="D249" s="200">
        <v>44232</v>
      </c>
      <c r="E249" s="199" t="s">
        <v>7012</v>
      </c>
      <c r="I249" s="198">
        <v>16.760000000000002</v>
      </c>
      <c r="K249" s="198">
        <v>78562.570000000007</v>
      </c>
    </row>
    <row r="250" spans="3:11" x14ac:dyDescent="0.2">
      <c r="C250" s="201" t="s">
        <v>7011</v>
      </c>
      <c r="D250" s="200">
        <v>44232</v>
      </c>
      <c r="E250" s="199" t="s">
        <v>7010</v>
      </c>
      <c r="I250" s="198">
        <v>10.16</v>
      </c>
      <c r="K250" s="198">
        <v>78572.73</v>
      </c>
    </row>
    <row r="251" spans="3:11" x14ac:dyDescent="0.2">
      <c r="C251" s="201" t="s">
        <v>7009</v>
      </c>
      <c r="D251" s="200">
        <v>44232</v>
      </c>
      <c r="E251" s="199" t="s">
        <v>7008</v>
      </c>
      <c r="I251" s="198">
        <v>9.8699999999999992</v>
      </c>
      <c r="K251" s="198">
        <v>78582.600000000006</v>
      </c>
    </row>
    <row r="252" spans="3:11" x14ac:dyDescent="0.2">
      <c r="C252" s="201" t="s">
        <v>7007</v>
      </c>
      <c r="D252" s="200">
        <v>44232</v>
      </c>
      <c r="E252" s="199" t="s">
        <v>7006</v>
      </c>
      <c r="I252" s="198">
        <v>7.52</v>
      </c>
      <c r="K252" s="198">
        <v>78590.12</v>
      </c>
    </row>
    <row r="253" spans="3:11" x14ac:dyDescent="0.2">
      <c r="C253" s="201" t="s">
        <v>7005</v>
      </c>
      <c r="D253" s="200">
        <v>44232</v>
      </c>
      <c r="E253" s="199" t="s">
        <v>7004</v>
      </c>
      <c r="I253" s="198">
        <v>3.11</v>
      </c>
      <c r="K253" s="198">
        <v>78593.23</v>
      </c>
    </row>
    <row r="254" spans="3:11" x14ac:dyDescent="0.2">
      <c r="C254" s="201" t="s">
        <v>7003</v>
      </c>
      <c r="D254" s="200">
        <v>44232</v>
      </c>
      <c r="E254" s="199" t="s">
        <v>7002</v>
      </c>
      <c r="I254" s="198">
        <v>10.210000000000001</v>
      </c>
      <c r="K254" s="198">
        <v>78603.44</v>
      </c>
    </row>
    <row r="255" spans="3:11" x14ac:dyDescent="0.2">
      <c r="C255" s="201" t="s">
        <v>7001</v>
      </c>
      <c r="D255" s="200">
        <v>44232</v>
      </c>
      <c r="E255" s="199" t="s">
        <v>7000</v>
      </c>
      <c r="I255" s="198">
        <v>3.12</v>
      </c>
      <c r="K255" s="198">
        <v>78606.559999999998</v>
      </c>
    </row>
    <row r="256" spans="3:11" x14ac:dyDescent="0.2">
      <c r="C256" s="201" t="s">
        <v>6999</v>
      </c>
      <c r="D256" s="200">
        <v>44232</v>
      </c>
      <c r="E256" s="199" t="s">
        <v>6998</v>
      </c>
      <c r="I256" s="198">
        <v>30.6</v>
      </c>
      <c r="K256" s="198">
        <v>78637.16</v>
      </c>
    </row>
    <row r="257" spans="3:11" x14ac:dyDescent="0.2">
      <c r="C257" s="201" t="s">
        <v>6997</v>
      </c>
      <c r="D257" s="200">
        <v>44232</v>
      </c>
      <c r="E257" s="199" t="s">
        <v>6996</v>
      </c>
      <c r="I257" s="198">
        <v>16.760000000000002</v>
      </c>
      <c r="K257" s="198">
        <v>78653.919999999998</v>
      </c>
    </row>
    <row r="258" spans="3:11" x14ac:dyDescent="0.2">
      <c r="C258" s="201" t="s">
        <v>6995</v>
      </c>
      <c r="D258" s="200">
        <v>44232</v>
      </c>
      <c r="E258" s="199" t="s">
        <v>6994</v>
      </c>
      <c r="I258" s="198">
        <v>3.57</v>
      </c>
      <c r="K258" s="198">
        <v>78657.490000000005</v>
      </c>
    </row>
    <row r="259" spans="3:11" x14ac:dyDescent="0.2">
      <c r="C259" s="201" t="s">
        <v>6993</v>
      </c>
      <c r="D259" s="200">
        <v>44232</v>
      </c>
      <c r="E259" s="199" t="s">
        <v>6992</v>
      </c>
      <c r="I259" s="198">
        <v>1.8</v>
      </c>
      <c r="K259" s="198">
        <v>78659.289999999994</v>
      </c>
    </row>
    <row r="260" spans="3:11" x14ac:dyDescent="0.2">
      <c r="C260" s="201" t="s">
        <v>6991</v>
      </c>
      <c r="D260" s="200">
        <v>44232</v>
      </c>
      <c r="E260" s="199" t="s">
        <v>6990</v>
      </c>
      <c r="I260" s="198">
        <v>2.3199999999999998</v>
      </c>
      <c r="K260" s="198">
        <v>78661.61</v>
      </c>
    </row>
    <row r="261" spans="3:11" x14ac:dyDescent="0.2">
      <c r="C261" s="201" t="s">
        <v>6989</v>
      </c>
      <c r="D261" s="200">
        <v>44232</v>
      </c>
      <c r="E261" s="199" t="s">
        <v>6988</v>
      </c>
      <c r="I261" s="198">
        <v>1.68</v>
      </c>
      <c r="K261" s="198">
        <v>78663.289999999994</v>
      </c>
    </row>
    <row r="262" spans="3:11" x14ac:dyDescent="0.2">
      <c r="C262" s="201" t="s">
        <v>6987</v>
      </c>
      <c r="D262" s="200">
        <v>44232</v>
      </c>
      <c r="E262" s="199" t="s">
        <v>6986</v>
      </c>
      <c r="I262" s="198">
        <v>7.82</v>
      </c>
      <c r="K262" s="198">
        <v>78671.11</v>
      </c>
    </row>
    <row r="263" spans="3:11" x14ac:dyDescent="0.2">
      <c r="C263" s="201" t="s">
        <v>6985</v>
      </c>
      <c r="D263" s="200">
        <v>44232</v>
      </c>
      <c r="E263" s="199" t="s">
        <v>6984</v>
      </c>
      <c r="I263" s="198">
        <v>10.84</v>
      </c>
      <c r="K263" s="198">
        <v>78681.95</v>
      </c>
    </row>
    <row r="264" spans="3:11" x14ac:dyDescent="0.2">
      <c r="C264" s="201" t="s">
        <v>6983</v>
      </c>
      <c r="D264" s="200">
        <v>44233</v>
      </c>
      <c r="E264" s="199" t="s">
        <v>6982</v>
      </c>
      <c r="I264" s="198">
        <v>2.42</v>
      </c>
      <c r="K264" s="198">
        <v>78684.37</v>
      </c>
    </row>
    <row r="265" spans="3:11" x14ac:dyDescent="0.2">
      <c r="C265" s="201" t="s">
        <v>6981</v>
      </c>
      <c r="D265" s="200">
        <v>44233</v>
      </c>
      <c r="E265" s="199" t="s">
        <v>6980</v>
      </c>
      <c r="I265" s="198">
        <v>10.75</v>
      </c>
      <c r="K265" s="198">
        <v>78695.12</v>
      </c>
    </row>
    <row r="266" spans="3:11" x14ac:dyDescent="0.2">
      <c r="C266" s="201" t="s">
        <v>6979</v>
      </c>
      <c r="D266" s="200">
        <v>44233</v>
      </c>
      <c r="E266" s="199" t="s">
        <v>6978</v>
      </c>
      <c r="I266" s="198">
        <v>11.08</v>
      </c>
      <c r="K266" s="198">
        <v>78706.2</v>
      </c>
    </row>
    <row r="267" spans="3:11" x14ac:dyDescent="0.2">
      <c r="C267" s="201" t="s">
        <v>6977</v>
      </c>
      <c r="D267" s="200">
        <v>44233</v>
      </c>
      <c r="E267" s="199" t="s">
        <v>6976</v>
      </c>
      <c r="I267" s="198">
        <v>33.799999999999997</v>
      </c>
      <c r="K267" s="198">
        <v>78740</v>
      </c>
    </row>
    <row r="268" spans="3:11" x14ac:dyDescent="0.2">
      <c r="C268" s="201" t="s">
        <v>6975</v>
      </c>
      <c r="D268" s="200">
        <v>44233</v>
      </c>
      <c r="E268" s="199" t="s">
        <v>6974</v>
      </c>
      <c r="I268" s="198">
        <v>8.23</v>
      </c>
      <c r="K268" s="198">
        <v>78748.23</v>
      </c>
    </row>
    <row r="269" spans="3:11" x14ac:dyDescent="0.2">
      <c r="C269" s="201" t="s">
        <v>6973</v>
      </c>
      <c r="D269" s="200">
        <v>44233</v>
      </c>
      <c r="E269" s="199" t="s">
        <v>6972</v>
      </c>
      <c r="I269" s="198">
        <v>26.81</v>
      </c>
      <c r="K269" s="198">
        <v>78775.039999999994</v>
      </c>
    </row>
    <row r="270" spans="3:11" x14ac:dyDescent="0.2">
      <c r="C270" s="201" t="s">
        <v>6971</v>
      </c>
      <c r="D270" s="200">
        <v>44233</v>
      </c>
      <c r="E270" s="199" t="s">
        <v>6970</v>
      </c>
      <c r="I270" s="198">
        <v>4.12</v>
      </c>
      <c r="K270" s="198">
        <v>78779.16</v>
      </c>
    </row>
    <row r="271" spans="3:11" x14ac:dyDescent="0.2">
      <c r="C271" s="201" t="s">
        <v>6969</v>
      </c>
      <c r="D271" s="200">
        <v>44233</v>
      </c>
      <c r="E271" s="199" t="s">
        <v>6968</v>
      </c>
      <c r="I271" s="198">
        <v>5.57</v>
      </c>
      <c r="K271" s="198">
        <v>78784.73</v>
      </c>
    </row>
    <row r="272" spans="3:11" x14ac:dyDescent="0.2">
      <c r="C272" s="201" t="s">
        <v>6967</v>
      </c>
      <c r="D272" s="200">
        <v>44233</v>
      </c>
      <c r="E272" s="199" t="s">
        <v>6966</v>
      </c>
      <c r="I272" s="198">
        <v>1.68</v>
      </c>
      <c r="K272" s="198">
        <v>78786.41</v>
      </c>
    </row>
    <row r="273" spans="3:11" x14ac:dyDescent="0.2">
      <c r="C273" s="201" t="s">
        <v>6965</v>
      </c>
      <c r="D273" s="200">
        <v>44234</v>
      </c>
      <c r="E273" s="199" t="s">
        <v>6964</v>
      </c>
      <c r="I273" s="198">
        <v>3</v>
      </c>
      <c r="K273" s="198">
        <v>78789.41</v>
      </c>
    </row>
    <row r="274" spans="3:11" x14ac:dyDescent="0.2">
      <c r="C274" s="201" t="s">
        <v>6963</v>
      </c>
      <c r="D274" s="200">
        <v>44234</v>
      </c>
      <c r="E274" s="199" t="s">
        <v>6962</v>
      </c>
      <c r="I274" s="198">
        <v>4.33</v>
      </c>
      <c r="K274" s="198">
        <v>78793.740000000005</v>
      </c>
    </row>
    <row r="275" spans="3:11" x14ac:dyDescent="0.2">
      <c r="C275" s="201" t="s">
        <v>6961</v>
      </c>
      <c r="D275" s="200">
        <v>44234</v>
      </c>
      <c r="E275" s="199" t="s">
        <v>6960</v>
      </c>
      <c r="I275" s="198">
        <v>11.52</v>
      </c>
      <c r="K275" s="198">
        <v>78805.259999999995</v>
      </c>
    </row>
    <row r="276" spans="3:11" x14ac:dyDescent="0.2">
      <c r="C276" s="201" t="s">
        <v>6959</v>
      </c>
      <c r="D276" s="200">
        <v>44234</v>
      </c>
      <c r="E276" s="199" t="s">
        <v>6958</v>
      </c>
      <c r="I276" s="198">
        <v>3.86</v>
      </c>
      <c r="K276" s="198">
        <v>78809.119999999995</v>
      </c>
    </row>
    <row r="277" spans="3:11" x14ac:dyDescent="0.2">
      <c r="C277" s="201" t="s">
        <v>6957</v>
      </c>
      <c r="D277" s="200">
        <v>44234</v>
      </c>
      <c r="E277" s="199" t="s">
        <v>6956</v>
      </c>
      <c r="I277" s="198">
        <v>0.86</v>
      </c>
      <c r="K277" s="198">
        <v>78809.98</v>
      </c>
    </row>
    <row r="278" spans="3:11" x14ac:dyDescent="0.2">
      <c r="C278" s="201" t="s">
        <v>6955</v>
      </c>
      <c r="D278" s="200">
        <v>44234</v>
      </c>
      <c r="E278" s="199" t="s">
        <v>6954</v>
      </c>
      <c r="I278" s="198">
        <v>8.4</v>
      </c>
      <c r="K278" s="198">
        <v>78818.38</v>
      </c>
    </row>
    <row r="279" spans="3:11" x14ac:dyDescent="0.2">
      <c r="C279" s="201" t="s">
        <v>6953</v>
      </c>
      <c r="D279" s="200">
        <v>44234</v>
      </c>
      <c r="E279" s="199" t="s">
        <v>6952</v>
      </c>
      <c r="I279" s="198">
        <v>3.75</v>
      </c>
      <c r="K279" s="198">
        <v>78822.13</v>
      </c>
    </row>
    <row r="280" spans="3:11" x14ac:dyDescent="0.2">
      <c r="C280" s="201" t="s">
        <v>6951</v>
      </c>
      <c r="D280" s="200">
        <v>44235</v>
      </c>
      <c r="E280" s="199" t="s">
        <v>6950</v>
      </c>
      <c r="I280" s="198">
        <v>1.96</v>
      </c>
      <c r="K280" s="198">
        <v>78824.09</v>
      </c>
    </row>
    <row r="281" spans="3:11" x14ac:dyDescent="0.2">
      <c r="C281" s="201" t="s">
        <v>6949</v>
      </c>
      <c r="D281" s="200">
        <v>44235</v>
      </c>
      <c r="E281" s="199" t="s">
        <v>6948</v>
      </c>
      <c r="I281" s="198">
        <v>8.3800000000000008</v>
      </c>
      <c r="K281" s="198">
        <v>78832.47</v>
      </c>
    </row>
    <row r="282" spans="3:11" x14ac:dyDescent="0.2">
      <c r="C282" s="201" t="s">
        <v>6947</v>
      </c>
      <c r="D282" s="200">
        <v>44235</v>
      </c>
      <c r="E282" s="199" t="s">
        <v>6946</v>
      </c>
      <c r="I282" s="198">
        <v>1.68</v>
      </c>
      <c r="K282" s="198">
        <v>78834.149999999994</v>
      </c>
    </row>
    <row r="283" spans="3:11" x14ac:dyDescent="0.2">
      <c r="C283" s="201" t="s">
        <v>6945</v>
      </c>
      <c r="D283" s="200">
        <v>44235</v>
      </c>
      <c r="E283" s="199" t="s">
        <v>6944</v>
      </c>
      <c r="I283" s="198">
        <v>3.36</v>
      </c>
      <c r="K283" s="198">
        <v>78837.509999999995</v>
      </c>
    </row>
    <row r="284" spans="3:11" x14ac:dyDescent="0.2">
      <c r="C284" s="201" t="s">
        <v>6943</v>
      </c>
      <c r="D284" s="200">
        <v>44235</v>
      </c>
      <c r="E284" s="199" t="s">
        <v>6942</v>
      </c>
      <c r="I284" s="198">
        <v>6.42</v>
      </c>
      <c r="K284" s="198">
        <v>78843.929999999993</v>
      </c>
    </row>
    <row r="285" spans="3:11" x14ac:dyDescent="0.2">
      <c r="C285" s="201" t="s">
        <v>6941</v>
      </c>
      <c r="D285" s="200">
        <v>44235</v>
      </c>
      <c r="E285" s="199" t="s">
        <v>6940</v>
      </c>
      <c r="I285" s="198">
        <v>1.78</v>
      </c>
      <c r="K285" s="198">
        <v>78845.710000000006</v>
      </c>
    </row>
    <row r="286" spans="3:11" x14ac:dyDescent="0.2">
      <c r="C286" s="201" t="s">
        <v>6939</v>
      </c>
      <c r="D286" s="200">
        <v>44235</v>
      </c>
      <c r="E286" s="199" t="s">
        <v>6938</v>
      </c>
      <c r="I286" s="198">
        <v>11.47</v>
      </c>
      <c r="K286" s="198">
        <v>78857.179999999993</v>
      </c>
    </row>
    <row r="287" spans="3:11" x14ac:dyDescent="0.2">
      <c r="C287" s="201" t="s">
        <v>6937</v>
      </c>
      <c r="D287" s="200">
        <v>44235</v>
      </c>
      <c r="E287" s="199" t="s">
        <v>6936</v>
      </c>
      <c r="I287" s="198">
        <v>17.329999999999998</v>
      </c>
      <c r="K287" s="198">
        <v>78874.509999999995</v>
      </c>
    </row>
    <row r="288" spans="3:11" x14ac:dyDescent="0.2">
      <c r="C288" s="201" t="s">
        <v>6935</v>
      </c>
      <c r="D288" s="200">
        <v>44235</v>
      </c>
      <c r="E288" s="199" t="s">
        <v>6934</v>
      </c>
      <c r="I288" s="198">
        <v>1.68</v>
      </c>
      <c r="K288" s="198">
        <v>78876.19</v>
      </c>
    </row>
    <row r="289" spans="3:11" x14ac:dyDescent="0.2">
      <c r="C289" s="201" t="s">
        <v>6933</v>
      </c>
      <c r="D289" s="200">
        <v>44235</v>
      </c>
      <c r="E289" s="199" t="s">
        <v>6932</v>
      </c>
      <c r="I289" s="198">
        <v>50.28</v>
      </c>
      <c r="K289" s="198">
        <v>78926.47</v>
      </c>
    </row>
    <row r="290" spans="3:11" x14ac:dyDescent="0.2">
      <c r="C290" s="201" t="s">
        <v>6931</v>
      </c>
      <c r="D290" s="200">
        <v>44235</v>
      </c>
      <c r="E290" s="199" t="s">
        <v>6930</v>
      </c>
      <c r="I290" s="198">
        <v>1.98</v>
      </c>
      <c r="K290" s="198">
        <v>78928.45</v>
      </c>
    </row>
    <row r="291" spans="3:11" x14ac:dyDescent="0.2">
      <c r="C291" s="201" t="s">
        <v>6929</v>
      </c>
      <c r="D291" s="200">
        <v>44235</v>
      </c>
      <c r="E291" s="199" t="s">
        <v>6928</v>
      </c>
      <c r="I291" s="198">
        <v>3.66</v>
      </c>
      <c r="K291" s="198">
        <v>78932.11</v>
      </c>
    </row>
    <row r="292" spans="3:11" x14ac:dyDescent="0.2">
      <c r="C292" s="201" t="s">
        <v>6927</v>
      </c>
      <c r="D292" s="200">
        <v>44235</v>
      </c>
      <c r="E292" s="199" t="s">
        <v>6926</v>
      </c>
      <c r="I292" s="198">
        <v>5.1100000000000003</v>
      </c>
      <c r="K292" s="198">
        <v>78937.22</v>
      </c>
    </row>
    <row r="293" spans="3:11" x14ac:dyDescent="0.2">
      <c r="C293" s="201" t="s">
        <v>6925</v>
      </c>
      <c r="D293" s="200">
        <v>44235</v>
      </c>
      <c r="E293" s="199" t="s">
        <v>6924</v>
      </c>
      <c r="I293" s="198">
        <v>1.85</v>
      </c>
      <c r="K293" s="198">
        <v>78939.070000000007</v>
      </c>
    </row>
    <row r="294" spans="3:11" x14ac:dyDescent="0.2">
      <c r="C294" s="201" t="s">
        <v>6923</v>
      </c>
      <c r="D294" s="200">
        <v>44235</v>
      </c>
      <c r="E294" s="199" t="s">
        <v>6922</v>
      </c>
      <c r="I294" s="198">
        <v>2.54</v>
      </c>
      <c r="K294" s="198">
        <v>78941.61</v>
      </c>
    </row>
    <row r="295" spans="3:11" x14ac:dyDescent="0.2">
      <c r="C295" s="201" t="s">
        <v>6921</v>
      </c>
      <c r="D295" s="200">
        <v>44235</v>
      </c>
      <c r="E295" s="199" t="s">
        <v>6920</v>
      </c>
      <c r="I295" s="198">
        <v>1.86</v>
      </c>
      <c r="K295" s="198">
        <v>78943.47</v>
      </c>
    </row>
    <row r="296" spans="3:11" x14ac:dyDescent="0.2">
      <c r="C296" s="201" t="s">
        <v>6919</v>
      </c>
      <c r="D296" s="200">
        <v>44235</v>
      </c>
      <c r="E296" s="199" t="s">
        <v>6918</v>
      </c>
      <c r="I296" s="198">
        <v>5.82</v>
      </c>
      <c r="K296" s="198">
        <v>78949.289999999994</v>
      </c>
    </row>
    <row r="297" spans="3:11" x14ac:dyDescent="0.2">
      <c r="C297" s="201" t="s">
        <v>6917</v>
      </c>
      <c r="D297" s="200">
        <v>44235</v>
      </c>
      <c r="E297" s="199" t="s">
        <v>6916</v>
      </c>
      <c r="I297" s="198">
        <v>1.94</v>
      </c>
      <c r="K297" s="198">
        <v>78951.23</v>
      </c>
    </row>
    <row r="298" spans="3:11" x14ac:dyDescent="0.2">
      <c r="C298" s="201" t="s">
        <v>6915</v>
      </c>
      <c r="D298" s="200">
        <v>44235</v>
      </c>
      <c r="E298" s="199" t="s">
        <v>6914</v>
      </c>
      <c r="I298" s="198">
        <v>0.65</v>
      </c>
      <c r="K298" s="198">
        <v>78951.88</v>
      </c>
    </row>
    <row r="299" spans="3:11" x14ac:dyDescent="0.2">
      <c r="C299" s="201" t="s">
        <v>6913</v>
      </c>
      <c r="D299" s="200">
        <v>44235</v>
      </c>
      <c r="E299" s="199" t="s">
        <v>6912</v>
      </c>
      <c r="I299" s="198">
        <v>0.17</v>
      </c>
      <c r="K299" s="198">
        <v>78952.05</v>
      </c>
    </row>
    <row r="300" spans="3:11" x14ac:dyDescent="0.2">
      <c r="C300" s="201" t="s">
        <v>6911</v>
      </c>
      <c r="D300" s="200">
        <v>44235</v>
      </c>
      <c r="E300" s="199" t="s">
        <v>6910</v>
      </c>
      <c r="I300" s="198">
        <v>3.36</v>
      </c>
      <c r="K300" s="198">
        <v>78955.41</v>
      </c>
    </row>
    <row r="301" spans="3:11" x14ac:dyDescent="0.2">
      <c r="C301" s="201" t="s">
        <v>6909</v>
      </c>
      <c r="D301" s="200">
        <v>44235</v>
      </c>
      <c r="E301" s="199" t="s">
        <v>6908</v>
      </c>
      <c r="I301" s="198">
        <v>2.13</v>
      </c>
      <c r="K301" s="198">
        <v>78957.539999999994</v>
      </c>
    </row>
    <row r="302" spans="3:11" x14ac:dyDescent="0.2">
      <c r="C302" s="201" t="s">
        <v>6907</v>
      </c>
      <c r="D302" s="200">
        <v>44235</v>
      </c>
      <c r="E302" s="199" t="s">
        <v>6906</v>
      </c>
      <c r="I302" s="198">
        <v>10.73</v>
      </c>
      <c r="K302" s="198">
        <v>78968.27</v>
      </c>
    </row>
    <row r="303" spans="3:11" x14ac:dyDescent="0.2">
      <c r="C303" s="201" t="s">
        <v>6905</v>
      </c>
      <c r="D303" s="200">
        <v>44235</v>
      </c>
      <c r="E303" s="199" t="s">
        <v>6904</v>
      </c>
      <c r="I303" s="198">
        <v>4.1900000000000004</v>
      </c>
      <c r="K303" s="198">
        <v>78972.460000000006</v>
      </c>
    </row>
    <row r="304" spans="3:11" x14ac:dyDescent="0.2">
      <c r="C304" s="201" t="s">
        <v>6903</v>
      </c>
      <c r="D304" s="200">
        <v>44235</v>
      </c>
      <c r="E304" s="199" t="s">
        <v>6902</v>
      </c>
      <c r="I304" s="198">
        <v>7.62</v>
      </c>
      <c r="K304" s="198">
        <v>78980.08</v>
      </c>
    </row>
    <row r="305" spans="3:11" x14ac:dyDescent="0.2">
      <c r="C305" s="201" t="s">
        <v>6901</v>
      </c>
      <c r="D305" s="200">
        <v>44235</v>
      </c>
      <c r="E305" s="199" t="s">
        <v>6900</v>
      </c>
      <c r="I305" s="198">
        <v>5.3</v>
      </c>
      <c r="K305" s="198">
        <v>78985.38</v>
      </c>
    </row>
    <row r="306" spans="3:11" x14ac:dyDescent="0.2">
      <c r="C306" s="201" t="s">
        <v>6899</v>
      </c>
      <c r="D306" s="200">
        <v>44235</v>
      </c>
      <c r="E306" s="199" t="s">
        <v>6898</v>
      </c>
      <c r="I306" s="198">
        <v>7</v>
      </c>
      <c r="K306" s="198">
        <v>78992.38</v>
      </c>
    </row>
    <row r="307" spans="3:11" x14ac:dyDescent="0.2">
      <c r="C307" s="201" t="s">
        <v>6897</v>
      </c>
      <c r="D307" s="200">
        <v>44235</v>
      </c>
      <c r="E307" s="199" t="s">
        <v>6896</v>
      </c>
      <c r="I307" s="198">
        <v>5.7</v>
      </c>
      <c r="K307" s="198">
        <v>78998.080000000002</v>
      </c>
    </row>
    <row r="308" spans="3:11" x14ac:dyDescent="0.2">
      <c r="C308" s="201" t="s">
        <v>6895</v>
      </c>
      <c r="D308" s="200">
        <v>44235</v>
      </c>
      <c r="E308" s="199" t="s">
        <v>6894</v>
      </c>
      <c r="I308" s="198">
        <v>7.86</v>
      </c>
      <c r="K308" s="198">
        <v>79005.94</v>
      </c>
    </row>
    <row r="309" spans="3:11" x14ac:dyDescent="0.2">
      <c r="C309" s="201" t="s">
        <v>6893</v>
      </c>
      <c r="D309" s="200">
        <v>44235</v>
      </c>
      <c r="E309" s="199" t="s">
        <v>6892</v>
      </c>
      <c r="I309" s="198">
        <v>6.09</v>
      </c>
      <c r="K309" s="198">
        <v>79012.03</v>
      </c>
    </row>
    <row r="310" spans="3:11" x14ac:dyDescent="0.2">
      <c r="C310" s="201" t="s">
        <v>6891</v>
      </c>
      <c r="D310" s="200">
        <v>44235</v>
      </c>
      <c r="E310" s="199" t="s">
        <v>6890</v>
      </c>
      <c r="I310" s="198">
        <v>5.64</v>
      </c>
      <c r="K310" s="198">
        <v>79017.67</v>
      </c>
    </row>
    <row r="311" spans="3:11" x14ac:dyDescent="0.2">
      <c r="C311" s="201" t="s">
        <v>6889</v>
      </c>
      <c r="D311" s="200">
        <v>44235</v>
      </c>
      <c r="E311" s="199" t="s">
        <v>6888</v>
      </c>
      <c r="I311" s="198">
        <v>2.16</v>
      </c>
      <c r="K311" s="198">
        <v>79019.83</v>
      </c>
    </row>
    <row r="312" spans="3:11" x14ac:dyDescent="0.2">
      <c r="C312" s="201" t="s">
        <v>6887</v>
      </c>
      <c r="D312" s="200">
        <v>44235</v>
      </c>
      <c r="E312" s="199" t="s">
        <v>6886</v>
      </c>
      <c r="I312" s="198">
        <v>5.87</v>
      </c>
      <c r="K312" s="198">
        <v>79025.7</v>
      </c>
    </row>
    <row r="313" spans="3:11" x14ac:dyDescent="0.2">
      <c r="C313" s="201" t="s">
        <v>6885</v>
      </c>
      <c r="D313" s="200">
        <v>44235</v>
      </c>
      <c r="E313" s="199" t="s">
        <v>6884</v>
      </c>
      <c r="I313" s="198">
        <v>1.68</v>
      </c>
      <c r="K313" s="198">
        <v>79027.38</v>
      </c>
    </row>
    <row r="314" spans="3:11" x14ac:dyDescent="0.2">
      <c r="C314" s="201" t="s">
        <v>6883</v>
      </c>
      <c r="D314" s="200">
        <v>44235</v>
      </c>
      <c r="E314" s="199" t="s">
        <v>6882</v>
      </c>
      <c r="I314" s="198">
        <v>4.0999999999999996</v>
      </c>
      <c r="K314" s="198">
        <v>79031.48</v>
      </c>
    </row>
    <row r="315" spans="3:11" x14ac:dyDescent="0.2">
      <c r="C315" s="201" t="s">
        <v>6881</v>
      </c>
      <c r="D315" s="200">
        <v>44235</v>
      </c>
      <c r="E315" s="199" t="s">
        <v>6880</v>
      </c>
      <c r="I315" s="198">
        <v>2.73</v>
      </c>
      <c r="K315" s="198">
        <v>79034.210000000006</v>
      </c>
    </row>
    <row r="316" spans="3:11" x14ac:dyDescent="0.2">
      <c r="C316" s="201" t="s">
        <v>6879</v>
      </c>
      <c r="D316" s="200">
        <v>44235</v>
      </c>
      <c r="E316" s="199" t="s">
        <v>6878</v>
      </c>
      <c r="I316" s="198">
        <v>6.34</v>
      </c>
      <c r="K316" s="198">
        <v>79040.55</v>
      </c>
    </row>
    <row r="317" spans="3:11" x14ac:dyDescent="0.2">
      <c r="C317" s="201" t="s">
        <v>6877</v>
      </c>
      <c r="D317" s="200">
        <v>44235</v>
      </c>
      <c r="E317" s="199" t="s">
        <v>6876</v>
      </c>
      <c r="I317" s="198">
        <v>16.760000000000002</v>
      </c>
      <c r="K317" s="198">
        <v>79057.31</v>
      </c>
    </row>
    <row r="318" spans="3:11" x14ac:dyDescent="0.2">
      <c r="C318" s="201" t="s">
        <v>6875</v>
      </c>
      <c r="D318" s="200">
        <v>44235</v>
      </c>
      <c r="E318" s="199" t="s">
        <v>6874</v>
      </c>
      <c r="I318" s="198">
        <v>4.1900000000000004</v>
      </c>
      <c r="K318" s="198">
        <v>79061.5</v>
      </c>
    </row>
    <row r="319" spans="3:11" x14ac:dyDescent="0.2">
      <c r="C319" s="201" t="s">
        <v>6873</v>
      </c>
      <c r="D319" s="200">
        <v>44235</v>
      </c>
      <c r="E319" s="199" t="s">
        <v>6872</v>
      </c>
      <c r="I319" s="198">
        <v>20.82</v>
      </c>
      <c r="K319" s="198">
        <v>79082.320000000007</v>
      </c>
    </row>
    <row r="320" spans="3:11" x14ac:dyDescent="0.2">
      <c r="C320" s="201" t="s">
        <v>20178</v>
      </c>
      <c r="D320" s="200">
        <v>44235</v>
      </c>
      <c r="E320" s="199" t="s">
        <v>20177</v>
      </c>
      <c r="J320" s="222">
        <v>5.32</v>
      </c>
      <c r="K320" s="198">
        <v>79077</v>
      </c>
    </row>
    <row r="321" spans="3:11" x14ac:dyDescent="0.2">
      <c r="C321" s="201" t="s">
        <v>6871</v>
      </c>
      <c r="D321" s="200">
        <v>44236</v>
      </c>
      <c r="E321" s="199" t="s">
        <v>6870</v>
      </c>
      <c r="I321" s="198">
        <v>1.94</v>
      </c>
      <c r="K321" s="198">
        <v>79078.94</v>
      </c>
    </row>
    <row r="322" spans="3:11" x14ac:dyDescent="0.2">
      <c r="C322" s="201" t="s">
        <v>6869</v>
      </c>
      <c r="D322" s="200">
        <v>44236</v>
      </c>
      <c r="E322" s="199" t="s">
        <v>6868</v>
      </c>
      <c r="I322" s="198">
        <v>4.32</v>
      </c>
      <c r="K322" s="198">
        <v>79083.259999999995</v>
      </c>
    </row>
    <row r="323" spans="3:11" x14ac:dyDescent="0.2">
      <c r="C323" s="201" t="s">
        <v>6867</v>
      </c>
      <c r="D323" s="200">
        <v>44236</v>
      </c>
      <c r="E323" s="199" t="s">
        <v>6866</v>
      </c>
      <c r="I323" s="198">
        <v>7.12</v>
      </c>
      <c r="K323" s="198">
        <v>79090.38</v>
      </c>
    </row>
    <row r="324" spans="3:11" x14ac:dyDescent="0.2">
      <c r="C324" s="201" t="s">
        <v>6865</v>
      </c>
      <c r="D324" s="200">
        <v>44236</v>
      </c>
      <c r="E324" s="199" t="s">
        <v>6864</v>
      </c>
      <c r="I324" s="198">
        <v>7.37</v>
      </c>
      <c r="K324" s="198">
        <v>79097.75</v>
      </c>
    </row>
    <row r="325" spans="3:11" x14ac:dyDescent="0.2">
      <c r="C325" s="201" t="s">
        <v>6863</v>
      </c>
      <c r="D325" s="200">
        <v>44236</v>
      </c>
      <c r="E325" s="199" t="s">
        <v>6862</v>
      </c>
      <c r="I325" s="198">
        <v>4.8899999999999997</v>
      </c>
      <c r="K325" s="198">
        <v>79102.64</v>
      </c>
    </row>
    <row r="326" spans="3:11" x14ac:dyDescent="0.2">
      <c r="C326" s="201" t="s">
        <v>6861</v>
      </c>
      <c r="D326" s="200">
        <v>44236</v>
      </c>
      <c r="E326" s="199" t="s">
        <v>6860</v>
      </c>
      <c r="I326" s="198">
        <v>7.89</v>
      </c>
      <c r="K326" s="198">
        <v>79110.53</v>
      </c>
    </row>
    <row r="327" spans="3:11" x14ac:dyDescent="0.2">
      <c r="C327" s="201" t="s">
        <v>6859</v>
      </c>
      <c r="D327" s="200">
        <v>44236</v>
      </c>
      <c r="E327" s="199" t="s">
        <v>6858</v>
      </c>
      <c r="I327" s="198">
        <v>3.55</v>
      </c>
      <c r="K327" s="198">
        <v>79114.080000000002</v>
      </c>
    </row>
    <row r="328" spans="3:11" x14ac:dyDescent="0.2">
      <c r="C328" s="201" t="s">
        <v>6857</v>
      </c>
      <c r="D328" s="200">
        <v>44236</v>
      </c>
      <c r="E328" s="199" t="s">
        <v>6856</v>
      </c>
      <c r="I328" s="198">
        <v>5.92</v>
      </c>
      <c r="K328" s="198">
        <v>79120</v>
      </c>
    </row>
    <row r="329" spans="3:11" x14ac:dyDescent="0.2">
      <c r="C329" s="201" t="s">
        <v>6855</v>
      </c>
      <c r="D329" s="200">
        <v>44236</v>
      </c>
      <c r="E329" s="199" t="s">
        <v>6854</v>
      </c>
      <c r="I329" s="198">
        <v>8.26</v>
      </c>
      <c r="K329" s="198">
        <v>79128.259999999995</v>
      </c>
    </row>
    <row r="330" spans="3:11" x14ac:dyDescent="0.2">
      <c r="C330" s="201" t="s">
        <v>6853</v>
      </c>
      <c r="D330" s="200">
        <v>44236</v>
      </c>
      <c r="E330" s="199" t="s">
        <v>6852</v>
      </c>
      <c r="I330" s="198">
        <v>6.49</v>
      </c>
      <c r="K330" s="198">
        <v>79134.75</v>
      </c>
    </row>
    <row r="331" spans="3:11" x14ac:dyDescent="0.2">
      <c r="C331" s="201" t="s">
        <v>6851</v>
      </c>
      <c r="D331" s="200">
        <v>44236</v>
      </c>
      <c r="E331" s="199" t="s">
        <v>6850</v>
      </c>
      <c r="I331" s="198">
        <v>7.38</v>
      </c>
      <c r="K331" s="198">
        <v>79142.13</v>
      </c>
    </row>
    <row r="332" spans="3:11" x14ac:dyDescent="0.2">
      <c r="C332" s="201" t="s">
        <v>6849</v>
      </c>
      <c r="D332" s="200">
        <v>44236</v>
      </c>
      <c r="E332" s="199" t="s">
        <v>6848</v>
      </c>
      <c r="I332" s="198">
        <v>5.04</v>
      </c>
      <c r="K332" s="198">
        <v>79147.17</v>
      </c>
    </row>
    <row r="333" spans="3:11" x14ac:dyDescent="0.2">
      <c r="C333" s="201" t="s">
        <v>6847</v>
      </c>
      <c r="D333" s="200">
        <v>44236</v>
      </c>
      <c r="E333" s="199" t="s">
        <v>6846</v>
      </c>
      <c r="I333" s="198">
        <v>14.84</v>
      </c>
      <c r="K333" s="198">
        <v>79162.009999999995</v>
      </c>
    </row>
    <row r="334" spans="3:11" x14ac:dyDescent="0.2">
      <c r="C334" s="201" t="s">
        <v>6845</v>
      </c>
      <c r="D334" s="200">
        <v>44236</v>
      </c>
      <c r="E334" s="199" t="s">
        <v>6844</v>
      </c>
      <c r="I334" s="198">
        <v>2.21</v>
      </c>
      <c r="K334" s="198">
        <v>79164.22</v>
      </c>
    </row>
    <row r="335" spans="3:11" x14ac:dyDescent="0.2">
      <c r="C335" s="201" t="s">
        <v>6843</v>
      </c>
      <c r="D335" s="200">
        <v>44236</v>
      </c>
      <c r="E335" s="199" t="s">
        <v>6842</v>
      </c>
      <c r="I335" s="198">
        <v>1.87</v>
      </c>
      <c r="K335" s="198">
        <v>79166.09</v>
      </c>
    </row>
    <row r="336" spans="3:11" x14ac:dyDescent="0.2">
      <c r="C336" s="201" t="s">
        <v>6841</v>
      </c>
      <c r="D336" s="200">
        <v>44236</v>
      </c>
      <c r="E336" s="199" t="s">
        <v>6840</v>
      </c>
      <c r="I336" s="198">
        <v>11.22</v>
      </c>
      <c r="K336" s="198">
        <v>79177.31</v>
      </c>
    </row>
    <row r="337" spans="3:11" x14ac:dyDescent="0.2">
      <c r="C337" s="201" t="s">
        <v>6839</v>
      </c>
      <c r="D337" s="200">
        <v>44236</v>
      </c>
      <c r="E337" s="199" t="s">
        <v>6838</v>
      </c>
      <c r="I337" s="198">
        <v>9.99</v>
      </c>
      <c r="K337" s="198">
        <v>79187.3</v>
      </c>
    </row>
    <row r="338" spans="3:11" x14ac:dyDescent="0.2">
      <c r="C338" s="201" t="s">
        <v>6837</v>
      </c>
      <c r="D338" s="200">
        <v>44236</v>
      </c>
      <c r="E338" s="199" t="s">
        <v>6836</v>
      </c>
      <c r="I338" s="198">
        <v>15.3</v>
      </c>
      <c r="K338" s="198">
        <v>79202.600000000006</v>
      </c>
    </row>
    <row r="339" spans="3:11" x14ac:dyDescent="0.2">
      <c r="C339" s="201" t="s">
        <v>6835</v>
      </c>
      <c r="D339" s="200">
        <v>44236</v>
      </c>
      <c r="E339" s="199" t="s">
        <v>6834</v>
      </c>
      <c r="I339" s="198">
        <v>1.8</v>
      </c>
      <c r="K339" s="198">
        <v>79204.399999999994</v>
      </c>
    </row>
    <row r="340" spans="3:11" x14ac:dyDescent="0.2">
      <c r="C340" s="201" t="s">
        <v>6833</v>
      </c>
      <c r="D340" s="200">
        <v>44236</v>
      </c>
      <c r="E340" s="199" t="s">
        <v>6832</v>
      </c>
      <c r="I340" s="198">
        <v>9.2799999999999994</v>
      </c>
      <c r="K340" s="198">
        <v>79213.679999999993</v>
      </c>
    </row>
    <row r="341" spans="3:11" x14ac:dyDescent="0.2">
      <c r="C341" s="201" t="s">
        <v>6831</v>
      </c>
      <c r="D341" s="200">
        <v>44236</v>
      </c>
      <c r="E341" s="199" t="s">
        <v>6830</v>
      </c>
      <c r="I341" s="198">
        <v>28.65</v>
      </c>
      <c r="K341" s="198">
        <v>79242.33</v>
      </c>
    </row>
    <row r="342" spans="3:11" x14ac:dyDescent="0.2">
      <c r="C342" s="201" t="s">
        <v>6829</v>
      </c>
      <c r="D342" s="200">
        <v>44236</v>
      </c>
      <c r="E342" s="199" t="s">
        <v>6828</v>
      </c>
      <c r="I342" s="198">
        <v>3.18</v>
      </c>
      <c r="K342" s="198">
        <v>79245.509999999995</v>
      </c>
    </row>
    <row r="343" spans="3:11" x14ac:dyDescent="0.2">
      <c r="C343" s="201" t="s">
        <v>6827</v>
      </c>
      <c r="D343" s="200">
        <v>44236</v>
      </c>
      <c r="E343" s="199" t="s">
        <v>6826</v>
      </c>
      <c r="I343" s="198">
        <v>5.51</v>
      </c>
      <c r="K343" s="198">
        <v>79251.02</v>
      </c>
    </row>
    <row r="344" spans="3:11" x14ac:dyDescent="0.2">
      <c r="C344" s="201" t="s">
        <v>6825</v>
      </c>
      <c r="D344" s="200">
        <v>44236</v>
      </c>
      <c r="E344" s="199" t="s">
        <v>6824</v>
      </c>
      <c r="I344" s="198">
        <v>6.82</v>
      </c>
      <c r="K344" s="198">
        <v>79257.84</v>
      </c>
    </row>
    <row r="345" spans="3:11" x14ac:dyDescent="0.2">
      <c r="C345" s="201" t="s">
        <v>6823</v>
      </c>
      <c r="D345" s="200">
        <v>44236</v>
      </c>
      <c r="E345" s="199" t="s">
        <v>6822</v>
      </c>
      <c r="I345" s="198">
        <v>1.68</v>
      </c>
      <c r="K345" s="198">
        <v>79259.520000000004</v>
      </c>
    </row>
    <row r="346" spans="3:11" x14ac:dyDescent="0.2">
      <c r="C346" s="201" t="s">
        <v>6821</v>
      </c>
      <c r="D346" s="200">
        <v>44236</v>
      </c>
      <c r="E346" s="199" t="s">
        <v>6820</v>
      </c>
      <c r="I346" s="198">
        <v>5.88</v>
      </c>
      <c r="K346" s="198">
        <v>79265.399999999994</v>
      </c>
    </row>
    <row r="347" spans="3:11" x14ac:dyDescent="0.2">
      <c r="C347" s="201" t="s">
        <v>6819</v>
      </c>
      <c r="D347" s="200">
        <v>44236</v>
      </c>
      <c r="E347" s="199" t="s">
        <v>6818</v>
      </c>
      <c r="J347" s="222">
        <v>15.46</v>
      </c>
      <c r="K347" s="198">
        <v>79249.94</v>
      </c>
    </row>
    <row r="348" spans="3:11" x14ac:dyDescent="0.2">
      <c r="C348" s="201" t="s">
        <v>6817</v>
      </c>
      <c r="D348" s="200">
        <v>44236</v>
      </c>
      <c r="E348" s="199" t="s">
        <v>6816</v>
      </c>
      <c r="J348" s="222">
        <v>4740.49</v>
      </c>
      <c r="K348" s="198">
        <v>74509.45</v>
      </c>
    </row>
    <row r="349" spans="3:11" x14ac:dyDescent="0.2">
      <c r="C349" s="201" t="s">
        <v>6815</v>
      </c>
      <c r="D349" s="200">
        <v>44237</v>
      </c>
      <c r="E349" s="199" t="s">
        <v>6814</v>
      </c>
      <c r="I349" s="198">
        <v>10.65</v>
      </c>
      <c r="K349" s="198">
        <v>74520.100000000006</v>
      </c>
    </row>
    <row r="350" spans="3:11" x14ac:dyDescent="0.2">
      <c r="C350" s="201" t="s">
        <v>6813</v>
      </c>
      <c r="D350" s="200">
        <v>44237</v>
      </c>
      <c r="E350" s="199" t="s">
        <v>6812</v>
      </c>
      <c r="I350" s="198">
        <v>8.3800000000000008</v>
      </c>
      <c r="K350" s="198">
        <v>74528.479999999996</v>
      </c>
    </row>
    <row r="351" spans="3:11" x14ac:dyDescent="0.2">
      <c r="C351" s="201" t="s">
        <v>6811</v>
      </c>
      <c r="D351" s="200">
        <v>44237</v>
      </c>
      <c r="E351" s="199" t="s">
        <v>6810</v>
      </c>
      <c r="I351" s="198">
        <v>4</v>
      </c>
      <c r="K351" s="198">
        <v>74532.479999999996</v>
      </c>
    </row>
    <row r="352" spans="3:11" x14ac:dyDescent="0.2">
      <c r="C352" s="201" t="s">
        <v>6809</v>
      </c>
      <c r="D352" s="200">
        <v>44237</v>
      </c>
      <c r="E352" s="199" t="s">
        <v>6808</v>
      </c>
      <c r="I352" s="198">
        <v>1.68</v>
      </c>
      <c r="K352" s="198">
        <v>74534.16</v>
      </c>
    </row>
    <row r="353" spans="3:11" x14ac:dyDescent="0.2">
      <c r="C353" s="201" t="s">
        <v>6807</v>
      </c>
      <c r="D353" s="200">
        <v>44237</v>
      </c>
      <c r="E353" s="199" t="s">
        <v>6806</v>
      </c>
      <c r="I353" s="198">
        <v>3.83</v>
      </c>
      <c r="K353" s="198">
        <v>74537.990000000005</v>
      </c>
    </row>
    <row r="354" spans="3:11" x14ac:dyDescent="0.2">
      <c r="C354" s="201" t="s">
        <v>6805</v>
      </c>
      <c r="D354" s="200">
        <v>44237</v>
      </c>
      <c r="E354" s="199" t="s">
        <v>6804</v>
      </c>
      <c r="I354" s="198">
        <v>20.14</v>
      </c>
      <c r="K354" s="198">
        <v>74558.13</v>
      </c>
    </row>
    <row r="355" spans="3:11" x14ac:dyDescent="0.2">
      <c r="C355" s="201" t="s">
        <v>6803</v>
      </c>
      <c r="D355" s="200">
        <v>44237</v>
      </c>
      <c r="E355" s="199" t="s">
        <v>6802</v>
      </c>
      <c r="I355" s="198">
        <v>2.2999999999999998</v>
      </c>
      <c r="K355" s="198">
        <v>74560.429999999993</v>
      </c>
    </row>
    <row r="356" spans="3:11" x14ac:dyDescent="0.2">
      <c r="C356" s="201" t="s">
        <v>6801</v>
      </c>
      <c r="D356" s="200">
        <v>44237</v>
      </c>
      <c r="E356" s="199" t="s">
        <v>6800</v>
      </c>
      <c r="I356" s="198">
        <v>3.36</v>
      </c>
      <c r="K356" s="198">
        <v>74563.789999999994</v>
      </c>
    </row>
    <row r="357" spans="3:11" x14ac:dyDescent="0.2">
      <c r="C357" s="201" t="s">
        <v>6799</v>
      </c>
      <c r="D357" s="200">
        <v>44237</v>
      </c>
      <c r="E357" s="199" t="s">
        <v>6798</v>
      </c>
      <c r="I357" s="198">
        <v>1.68</v>
      </c>
      <c r="K357" s="198">
        <v>74565.47</v>
      </c>
    </row>
    <row r="358" spans="3:11" x14ac:dyDescent="0.2">
      <c r="C358" s="201" t="s">
        <v>6797</v>
      </c>
      <c r="D358" s="200">
        <v>44237</v>
      </c>
      <c r="E358" s="199" t="s">
        <v>6796</v>
      </c>
      <c r="I358" s="198">
        <v>3.45</v>
      </c>
      <c r="K358" s="198">
        <v>74568.92</v>
      </c>
    </row>
    <row r="359" spans="3:11" x14ac:dyDescent="0.2">
      <c r="C359" s="201" t="s">
        <v>6795</v>
      </c>
      <c r="D359" s="200">
        <v>44237</v>
      </c>
      <c r="E359" s="199" t="s">
        <v>6794</v>
      </c>
      <c r="I359" s="198">
        <v>6.72</v>
      </c>
      <c r="K359" s="198">
        <v>74575.64</v>
      </c>
    </row>
    <row r="360" spans="3:11" x14ac:dyDescent="0.2">
      <c r="C360" s="201" t="s">
        <v>6793</v>
      </c>
      <c r="D360" s="200">
        <v>44237</v>
      </c>
      <c r="E360" s="199" t="s">
        <v>6792</v>
      </c>
      <c r="I360" s="198">
        <v>5.19</v>
      </c>
      <c r="K360" s="198">
        <v>74580.83</v>
      </c>
    </row>
    <row r="361" spans="3:11" x14ac:dyDescent="0.2">
      <c r="C361" s="201" t="s">
        <v>6791</v>
      </c>
      <c r="D361" s="200">
        <v>44237</v>
      </c>
      <c r="E361" s="199" t="s">
        <v>6790</v>
      </c>
      <c r="I361" s="198">
        <v>1.76</v>
      </c>
      <c r="K361" s="198">
        <v>74582.59</v>
      </c>
    </row>
    <row r="362" spans="3:11" x14ac:dyDescent="0.2">
      <c r="C362" s="201" t="s">
        <v>6789</v>
      </c>
      <c r="D362" s="200">
        <v>44237</v>
      </c>
      <c r="E362" s="199" t="s">
        <v>6788</v>
      </c>
      <c r="I362" s="198">
        <v>24.6</v>
      </c>
      <c r="K362" s="198">
        <v>74607.19</v>
      </c>
    </row>
    <row r="363" spans="3:11" x14ac:dyDescent="0.2">
      <c r="C363" s="201" t="s">
        <v>6787</v>
      </c>
      <c r="D363" s="200">
        <v>44238</v>
      </c>
      <c r="E363" s="199" t="s">
        <v>6786</v>
      </c>
      <c r="I363" s="198">
        <v>2.09</v>
      </c>
      <c r="K363" s="198">
        <v>74609.279999999999</v>
      </c>
    </row>
    <row r="364" spans="3:11" x14ac:dyDescent="0.2">
      <c r="C364" s="201" t="s">
        <v>6785</v>
      </c>
      <c r="D364" s="200">
        <v>44238</v>
      </c>
      <c r="E364" s="199" t="s">
        <v>6784</v>
      </c>
      <c r="I364" s="198">
        <v>6.5</v>
      </c>
      <c r="K364" s="198">
        <v>74615.78</v>
      </c>
    </row>
    <row r="365" spans="3:11" x14ac:dyDescent="0.2">
      <c r="C365" s="201" t="s">
        <v>6783</v>
      </c>
      <c r="D365" s="200">
        <v>44238</v>
      </c>
      <c r="E365" s="199" t="s">
        <v>6782</v>
      </c>
      <c r="I365" s="198">
        <v>17.899999999999999</v>
      </c>
      <c r="K365" s="198">
        <v>74633.679999999993</v>
      </c>
    </row>
    <row r="366" spans="3:11" x14ac:dyDescent="0.2">
      <c r="C366" s="201" t="s">
        <v>6781</v>
      </c>
      <c r="D366" s="200">
        <v>44238</v>
      </c>
      <c r="E366" s="199" t="s">
        <v>6780</v>
      </c>
      <c r="I366" s="198">
        <v>12.14</v>
      </c>
      <c r="K366" s="198">
        <v>74645.820000000007</v>
      </c>
    </row>
    <row r="367" spans="3:11" x14ac:dyDescent="0.2">
      <c r="C367" s="201" t="s">
        <v>6779</v>
      </c>
      <c r="D367" s="200">
        <v>44238</v>
      </c>
      <c r="E367" s="199" t="s">
        <v>6778</v>
      </c>
      <c r="I367" s="198">
        <v>8.08</v>
      </c>
      <c r="K367" s="198">
        <v>74653.899999999994</v>
      </c>
    </row>
    <row r="368" spans="3:11" x14ac:dyDescent="0.2">
      <c r="C368" s="201" t="s">
        <v>6777</v>
      </c>
      <c r="D368" s="200">
        <v>44238</v>
      </c>
      <c r="E368" s="199" t="s">
        <v>6776</v>
      </c>
      <c r="I368" s="198">
        <v>2.0499999999999998</v>
      </c>
      <c r="K368" s="198">
        <v>74655.95</v>
      </c>
    </row>
    <row r="369" spans="3:11" x14ac:dyDescent="0.2">
      <c r="C369" s="201" t="s">
        <v>6775</v>
      </c>
      <c r="D369" s="200">
        <v>44238</v>
      </c>
      <c r="E369" s="199" t="s">
        <v>6774</v>
      </c>
      <c r="I369" s="198">
        <v>3.57</v>
      </c>
      <c r="K369" s="198">
        <v>74659.520000000004</v>
      </c>
    </row>
    <row r="370" spans="3:11" x14ac:dyDescent="0.2">
      <c r="C370" s="201" t="s">
        <v>6773</v>
      </c>
      <c r="D370" s="200">
        <v>44238</v>
      </c>
      <c r="E370" s="199" t="s">
        <v>6772</v>
      </c>
      <c r="I370" s="198">
        <v>4.09</v>
      </c>
      <c r="K370" s="198">
        <v>74663.61</v>
      </c>
    </row>
    <row r="371" spans="3:11" x14ac:dyDescent="0.2">
      <c r="C371" s="201" t="s">
        <v>6771</v>
      </c>
      <c r="D371" s="200">
        <v>44238</v>
      </c>
      <c r="E371" s="199" t="s">
        <v>6770</v>
      </c>
      <c r="I371" s="198">
        <v>4.07</v>
      </c>
      <c r="K371" s="198">
        <v>74667.679999999993</v>
      </c>
    </row>
    <row r="372" spans="3:11" x14ac:dyDescent="0.2">
      <c r="C372" s="201" t="s">
        <v>6769</v>
      </c>
      <c r="D372" s="200">
        <v>44238</v>
      </c>
      <c r="E372" s="199" t="s">
        <v>6768</v>
      </c>
      <c r="I372" s="198">
        <v>4.59</v>
      </c>
      <c r="K372" s="198">
        <v>74672.27</v>
      </c>
    </row>
    <row r="373" spans="3:11" x14ac:dyDescent="0.2">
      <c r="C373" s="201" t="s">
        <v>6767</v>
      </c>
      <c r="D373" s="200">
        <v>44238</v>
      </c>
      <c r="E373" s="199" t="s">
        <v>6766</v>
      </c>
      <c r="I373" s="198">
        <v>5.07</v>
      </c>
      <c r="K373" s="198">
        <v>74677.34</v>
      </c>
    </row>
    <row r="374" spans="3:11" x14ac:dyDescent="0.2">
      <c r="C374" s="201" t="s">
        <v>6765</v>
      </c>
      <c r="D374" s="200">
        <v>44238</v>
      </c>
      <c r="E374" s="199" t="s">
        <v>6764</v>
      </c>
      <c r="I374" s="198">
        <v>28.69</v>
      </c>
      <c r="K374" s="198">
        <v>74706.03</v>
      </c>
    </row>
    <row r="375" spans="3:11" x14ac:dyDescent="0.2">
      <c r="C375" s="201" t="s">
        <v>6763</v>
      </c>
      <c r="D375" s="200">
        <v>44238</v>
      </c>
      <c r="E375" s="199" t="s">
        <v>6762</v>
      </c>
      <c r="I375" s="198">
        <v>8.3800000000000008</v>
      </c>
      <c r="K375" s="198">
        <v>74714.41</v>
      </c>
    </row>
    <row r="376" spans="3:11" x14ac:dyDescent="0.2">
      <c r="C376" s="201" t="s">
        <v>6761</v>
      </c>
      <c r="D376" s="200">
        <v>44238</v>
      </c>
      <c r="E376" s="199" t="s">
        <v>6760</v>
      </c>
      <c r="I376" s="198">
        <v>3.42</v>
      </c>
      <c r="K376" s="198">
        <v>74717.83</v>
      </c>
    </row>
    <row r="377" spans="3:11" x14ac:dyDescent="0.2">
      <c r="C377" s="201" t="s">
        <v>6759</v>
      </c>
      <c r="D377" s="200">
        <v>44238</v>
      </c>
      <c r="E377" s="199" t="s">
        <v>6758</v>
      </c>
      <c r="I377" s="198">
        <v>4.1900000000000004</v>
      </c>
      <c r="K377" s="198">
        <v>74722.02</v>
      </c>
    </row>
    <row r="378" spans="3:11" x14ac:dyDescent="0.2">
      <c r="C378" s="201" t="s">
        <v>6757</v>
      </c>
      <c r="D378" s="200">
        <v>44238</v>
      </c>
      <c r="E378" s="199" t="s">
        <v>6756</v>
      </c>
      <c r="I378" s="198">
        <v>1.85</v>
      </c>
      <c r="K378" s="198">
        <v>74723.87</v>
      </c>
    </row>
    <row r="379" spans="3:11" x14ac:dyDescent="0.2">
      <c r="C379" s="201" t="s">
        <v>6755</v>
      </c>
      <c r="D379" s="200">
        <v>44238</v>
      </c>
      <c r="E379" s="199" t="s">
        <v>6754</v>
      </c>
      <c r="I379" s="198">
        <v>3.36</v>
      </c>
      <c r="K379" s="198">
        <v>74727.23</v>
      </c>
    </row>
    <row r="380" spans="3:11" x14ac:dyDescent="0.2">
      <c r="C380" s="201" t="s">
        <v>6753</v>
      </c>
      <c r="D380" s="200">
        <v>44238</v>
      </c>
      <c r="E380" s="199" t="s">
        <v>6752</v>
      </c>
      <c r="I380" s="198">
        <v>0.19</v>
      </c>
      <c r="K380" s="198">
        <v>74727.42</v>
      </c>
    </row>
    <row r="381" spans="3:11" x14ac:dyDescent="0.2">
      <c r="C381" s="201" t="s">
        <v>6751</v>
      </c>
      <c r="D381" s="200">
        <v>44238</v>
      </c>
      <c r="E381" s="199" t="s">
        <v>6750</v>
      </c>
      <c r="J381" s="222">
        <v>1634.38</v>
      </c>
      <c r="K381" s="198">
        <v>73093.039999999994</v>
      </c>
    </row>
    <row r="382" spans="3:11" x14ac:dyDescent="0.2">
      <c r="C382" s="201" t="s">
        <v>6749</v>
      </c>
      <c r="D382" s="200">
        <v>44238</v>
      </c>
      <c r="E382" s="199" t="s">
        <v>6748</v>
      </c>
      <c r="J382" s="222">
        <v>21.9</v>
      </c>
      <c r="K382" s="198">
        <v>73071.14</v>
      </c>
    </row>
    <row r="383" spans="3:11" x14ac:dyDescent="0.2">
      <c r="C383" s="201" t="s">
        <v>1544</v>
      </c>
      <c r="D383" s="200">
        <v>44238</v>
      </c>
      <c r="E383" s="199" t="s">
        <v>6747</v>
      </c>
      <c r="J383" s="222">
        <v>594.79</v>
      </c>
      <c r="K383" s="198">
        <v>72476.350000000006</v>
      </c>
    </row>
    <row r="384" spans="3:11" x14ac:dyDescent="0.2">
      <c r="C384" s="201" t="s">
        <v>6746</v>
      </c>
      <c r="D384" s="200">
        <v>44238</v>
      </c>
      <c r="E384" s="199" t="s">
        <v>6745</v>
      </c>
      <c r="J384" s="222">
        <v>310.27999999999997</v>
      </c>
      <c r="K384" s="198">
        <v>72166.070000000007</v>
      </c>
    </row>
    <row r="385" spans="3:11" x14ac:dyDescent="0.2">
      <c r="C385" s="201" t="s">
        <v>6744</v>
      </c>
      <c r="D385" s="200">
        <v>44238</v>
      </c>
      <c r="E385" s="199" t="s">
        <v>6743</v>
      </c>
      <c r="J385" s="222">
        <v>116.99</v>
      </c>
      <c r="K385" s="198">
        <v>72049.08</v>
      </c>
    </row>
    <row r="386" spans="3:11" x14ac:dyDescent="0.2">
      <c r="C386" s="201" t="s">
        <v>6742</v>
      </c>
      <c r="D386" s="200">
        <v>44238</v>
      </c>
      <c r="E386" s="199" t="s">
        <v>6741</v>
      </c>
      <c r="J386" s="222">
        <v>13.52</v>
      </c>
      <c r="K386" s="198">
        <v>72035.56</v>
      </c>
    </row>
    <row r="387" spans="3:11" x14ac:dyDescent="0.2">
      <c r="C387" s="201" t="s">
        <v>1539</v>
      </c>
      <c r="D387" s="200">
        <v>44238</v>
      </c>
      <c r="E387" s="199" t="s">
        <v>6740</v>
      </c>
      <c r="J387" s="222">
        <v>7.49</v>
      </c>
      <c r="K387" s="198">
        <v>72028.070000000007</v>
      </c>
    </row>
    <row r="388" spans="3:11" x14ac:dyDescent="0.2">
      <c r="C388" s="201" t="s">
        <v>1538</v>
      </c>
      <c r="D388" s="200">
        <v>44238</v>
      </c>
      <c r="E388" s="199" t="s">
        <v>6739</v>
      </c>
      <c r="J388" s="222">
        <v>14.27</v>
      </c>
      <c r="K388" s="198">
        <v>72013.8</v>
      </c>
    </row>
    <row r="389" spans="3:11" x14ac:dyDescent="0.2">
      <c r="C389" s="201" t="s">
        <v>6738</v>
      </c>
      <c r="D389" s="200">
        <v>44239</v>
      </c>
      <c r="E389" s="199" t="s">
        <v>6737</v>
      </c>
      <c r="I389" s="198">
        <v>1.94</v>
      </c>
      <c r="K389" s="198">
        <v>72015.740000000005</v>
      </c>
    </row>
    <row r="390" spans="3:11" x14ac:dyDescent="0.2">
      <c r="C390" s="201" t="s">
        <v>6736</v>
      </c>
      <c r="D390" s="200">
        <v>44239</v>
      </c>
      <c r="E390" s="199" t="s">
        <v>6735</v>
      </c>
      <c r="I390" s="198">
        <v>5.17</v>
      </c>
      <c r="K390" s="198">
        <v>72020.91</v>
      </c>
    </row>
    <row r="391" spans="3:11" x14ac:dyDescent="0.2">
      <c r="C391" s="201" t="s">
        <v>6734</v>
      </c>
      <c r="D391" s="200">
        <v>44239</v>
      </c>
      <c r="E391" s="199" t="s">
        <v>6733</v>
      </c>
      <c r="I391" s="198">
        <v>1.79</v>
      </c>
      <c r="K391" s="198">
        <v>72022.7</v>
      </c>
    </row>
    <row r="392" spans="3:11" x14ac:dyDescent="0.2">
      <c r="C392" s="201" t="s">
        <v>6732</v>
      </c>
      <c r="D392" s="200">
        <v>44239</v>
      </c>
      <c r="E392" s="199" t="s">
        <v>6731</v>
      </c>
      <c r="I392" s="198">
        <v>3.01</v>
      </c>
      <c r="K392" s="198">
        <v>72025.710000000006</v>
      </c>
    </row>
    <row r="393" spans="3:11" x14ac:dyDescent="0.2">
      <c r="C393" s="201" t="s">
        <v>6730</v>
      </c>
      <c r="D393" s="200">
        <v>44239</v>
      </c>
      <c r="E393" s="199" t="s">
        <v>6729</v>
      </c>
      <c r="I393" s="198">
        <v>1.98</v>
      </c>
      <c r="K393" s="198">
        <v>72027.69</v>
      </c>
    </row>
    <row r="394" spans="3:11" x14ac:dyDescent="0.2">
      <c r="C394" s="201" t="s">
        <v>6728</v>
      </c>
      <c r="D394" s="200">
        <v>44239</v>
      </c>
      <c r="E394" s="199" t="s">
        <v>6727</v>
      </c>
      <c r="I394" s="198">
        <v>22.84</v>
      </c>
      <c r="K394" s="198">
        <v>72050.53</v>
      </c>
    </row>
    <row r="395" spans="3:11" x14ac:dyDescent="0.2">
      <c r="C395" s="201" t="s">
        <v>6726</v>
      </c>
      <c r="D395" s="200">
        <v>44239</v>
      </c>
      <c r="E395" s="199" t="s">
        <v>6725</v>
      </c>
      <c r="I395" s="198">
        <v>15.53</v>
      </c>
      <c r="K395" s="198">
        <v>72066.06</v>
      </c>
    </row>
    <row r="396" spans="3:11" x14ac:dyDescent="0.2">
      <c r="C396" s="201" t="s">
        <v>6724</v>
      </c>
      <c r="D396" s="200">
        <v>44239</v>
      </c>
      <c r="E396" s="199" t="s">
        <v>6723</v>
      </c>
      <c r="I396" s="198">
        <v>8.49</v>
      </c>
      <c r="K396" s="198">
        <v>72074.55</v>
      </c>
    </row>
    <row r="397" spans="3:11" x14ac:dyDescent="0.2">
      <c r="C397" s="201" t="s">
        <v>6722</v>
      </c>
      <c r="D397" s="200">
        <v>44239</v>
      </c>
      <c r="E397" s="199" t="s">
        <v>6721</v>
      </c>
      <c r="I397" s="198">
        <v>1.92</v>
      </c>
      <c r="K397" s="198">
        <v>72076.47</v>
      </c>
    </row>
    <row r="398" spans="3:11" x14ac:dyDescent="0.2">
      <c r="C398" s="201" t="s">
        <v>6720</v>
      </c>
      <c r="D398" s="200">
        <v>44239</v>
      </c>
      <c r="E398" s="199" t="s">
        <v>6719</v>
      </c>
      <c r="I398" s="198">
        <v>2.64</v>
      </c>
      <c r="K398" s="198">
        <v>72079.11</v>
      </c>
    </row>
    <row r="399" spans="3:11" x14ac:dyDescent="0.2">
      <c r="C399" s="201" t="s">
        <v>6718</v>
      </c>
      <c r="D399" s="200">
        <v>44239</v>
      </c>
      <c r="E399" s="199" t="s">
        <v>6717</v>
      </c>
      <c r="I399" s="198">
        <v>70.56</v>
      </c>
      <c r="K399" s="198">
        <v>72149.67</v>
      </c>
    </row>
    <row r="400" spans="3:11" x14ac:dyDescent="0.2">
      <c r="C400" s="201" t="s">
        <v>6716</v>
      </c>
      <c r="D400" s="200">
        <v>44239</v>
      </c>
      <c r="E400" s="199" t="s">
        <v>6715</v>
      </c>
      <c r="I400" s="198">
        <v>72.63</v>
      </c>
      <c r="K400" s="198">
        <v>72222.3</v>
      </c>
    </row>
    <row r="401" spans="3:11" x14ac:dyDescent="0.2">
      <c r="C401" s="201" t="s">
        <v>6714</v>
      </c>
      <c r="D401" s="200">
        <v>44239</v>
      </c>
      <c r="E401" s="199" t="s">
        <v>6713</v>
      </c>
      <c r="I401" s="198">
        <v>3.15</v>
      </c>
      <c r="K401" s="198">
        <v>72225.45</v>
      </c>
    </row>
    <row r="402" spans="3:11" x14ac:dyDescent="0.2">
      <c r="C402" s="201" t="s">
        <v>6712</v>
      </c>
      <c r="D402" s="200">
        <v>44239</v>
      </c>
      <c r="E402" s="199" t="s">
        <v>6711</v>
      </c>
      <c r="I402" s="198">
        <v>30.6</v>
      </c>
      <c r="K402" s="198">
        <v>72256.05</v>
      </c>
    </row>
    <row r="403" spans="3:11" x14ac:dyDescent="0.2">
      <c r="C403" s="201" t="s">
        <v>6710</v>
      </c>
      <c r="D403" s="200">
        <v>44239</v>
      </c>
      <c r="E403" s="199" t="s">
        <v>6709</v>
      </c>
      <c r="I403" s="198">
        <v>2.4300000000000002</v>
      </c>
      <c r="K403" s="198">
        <v>72258.48</v>
      </c>
    </row>
    <row r="404" spans="3:11" x14ac:dyDescent="0.2">
      <c r="C404" s="201" t="s">
        <v>6708</v>
      </c>
      <c r="D404" s="200">
        <v>44239</v>
      </c>
      <c r="E404" s="199" t="s">
        <v>6707</v>
      </c>
      <c r="I404" s="198">
        <v>8.9</v>
      </c>
      <c r="K404" s="198">
        <v>72267.38</v>
      </c>
    </row>
    <row r="405" spans="3:11" x14ac:dyDescent="0.2">
      <c r="C405" s="201" t="s">
        <v>6706</v>
      </c>
      <c r="D405" s="200">
        <v>44239</v>
      </c>
      <c r="E405" s="199" t="s">
        <v>6705</v>
      </c>
      <c r="I405" s="198">
        <v>2.99</v>
      </c>
      <c r="K405" s="198">
        <v>72270.37</v>
      </c>
    </row>
    <row r="406" spans="3:11" x14ac:dyDescent="0.2">
      <c r="C406" s="201" t="s">
        <v>300</v>
      </c>
      <c r="D406" s="200">
        <v>44239</v>
      </c>
      <c r="E406" s="199" t="s">
        <v>6704</v>
      </c>
      <c r="J406" s="222">
        <v>80.760000000000005</v>
      </c>
      <c r="K406" s="198">
        <v>72189.61</v>
      </c>
    </row>
    <row r="407" spans="3:11" x14ac:dyDescent="0.2">
      <c r="C407" s="201" t="s">
        <v>1547</v>
      </c>
      <c r="D407" s="200">
        <v>44239</v>
      </c>
      <c r="E407" s="199" t="s">
        <v>6703</v>
      </c>
      <c r="J407" s="222">
        <v>521.77</v>
      </c>
      <c r="K407" s="198">
        <v>71667.839999999997</v>
      </c>
    </row>
    <row r="408" spans="3:11" x14ac:dyDescent="0.2">
      <c r="C408" s="201" t="s">
        <v>1546</v>
      </c>
      <c r="D408" s="200">
        <v>44239</v>
      </c>
      <c r="E408" s="199" t="s">
        <v>6702</v>
      </c>
      <c r="J408" s="222">
        <v>2800</v>
      </c>
      <c r="K408" s="198">
        <v>68867.839999999997</v>
      </c>
    </row>
    <row r="409" spans="3:11" x14ac:dyDescent="0.2">
      <c r="C409" s="201" t="s">
        <v>1550</v>
      </c>
      <c r="D409" s="200">
        <v>44239</v>
      </c>
      <c r="E409" s="199" t="s">
        <v>6701</v>
      </c>
      <c r="J409" s="222">
        <v>1800</v>
      </c>
      <c r="K409" s="198">
        <v>67067.839999999997</v>
      </c>
    </row>
    <row r="410" spans="3:11" x14ac:dyDescent="0.2">
      <c r="C410" s="201" t="s">
        <v>1561</v>
      </c>
      <c r="D410" s="200">
        <v>44239</v>
      </c>
      <c r="E410" s="199" t="s">
        <v>6700</v>
      </c>
      <c r="J410" s="222">
        <v>665.76</v>
      </c>
      <c r="K410" s="198">
        <v>66402.080000000002</v>
      </c>
    </row>
    <row r="411" spans="3:11" x14ac:dyDescent="0.2">
      <c r="C411" s="201" t="s">
        <v>6699</v>
      </c>
      <c r="D411" s="200">
        <v>44240</v>
      </c>
      <c r="E411" s="199" t="s">
        <v>6698</v>
      </c>
      <c r="I411" s="198">
        <v>6.86</v>
      </c>
      <c r="K411" s="198">
        <v>66408.94</v>
      </c>
    </row>
    <row r="412" spans="3:11" x14ac:dyDescent="0.2">
      <c r="C412" s="201" t="s">
        <v>6697</v>
      </c>
      <c r="D412" s="200">
        <v>44240</v>
      </c>
      <c r="E412" s="199" t="s">
        <v>6696</v>
      </c>
      <c r="I412" s="198">
        <v>2.33</v>
      </c>
      <c r="K412" s="198">
        <v>66411.27</v>
      </c>
    </row>
    <row r="413" spans="3:11" x14ac:dyDescent="0.2">
      <c r="C413" s="201" t="s">
        <v>6695</v>
      </c>
      <c r="D413" s="200">
        <v>44240</v>
      </c>
      <c r="E413" s="199" t="s">
        <v>6694</v>
      </c>
      <c r="I413" s="198">
        <v>44.24</v>
      </c>
      <c r="K413" s="198">
        <v>66455.509999999995</v>
      </c>
    </row>
    <row r="414" spans="3:11" x14ac:dyDescent="0.2">
      <c r="C414" s="201" t="s">
        <v>6693</v>
      </c>
      <c r="D414" s="200">
        <v>44240</v>
      </c>
      <c r="E414" s="199" t="s">
        <v>6692</v>
      </c>
      <c r="I414" s="198">
        <v>4.5999999999999996</v>
      </c>
      <c r="K414" s="198">
        <v>66460.11</v>
      </c>
    </row>
    <row r="415" spans="3:11" x14ac:dyDescent="0.2">
      <c r="C415" s="201" t="s">
        <v>6691</v>
      </c>
      <c r="D415" s="200">
        <v>44240</v>
      </c>
      <c r="E415" s="199" t="s">
        <v>6690</v>
      </c>
      <c r="I415" s="198">
        <v>5.0599999999999996</v>
      </c>
      <c r="K415" s="198">
        <v>66465.17</v>
      </c>
    </row>
    <row r="416" spans="3:11" x14ac:dyDescent="0.2">
      <c r="C416" s="201" t="s">
        <v>6689</v>
      </c>
      <c r="D416" s="200">
        <v>44240</v>
      </c>
      <c r="E416" s="199" t="s">
        <v>6688</v>
      </c>
      <c r="I416" s="198">
        <v>13.24</v>
      </c>
      <c r="K416" s="198">
        <v>66478.41</v>
      </c>
    </row>
    <row r="417" spans="3:11" x14ac:dyDescent="0.2">
      <c r="C417" s="201" t="s">
        <v>6687</v>
      </c>
      <c r="D417" s="200">
        <v>44240</v>
      </c>
      <c r="E417" s="199" t="s">
        <v>6686</v>
      </c>
      <c r="I417" s="198">
        <v>36.61</v>
      </c>
      <c r="K417" s="198">
        <v>66515.02</v>
      </c>
    </row>
    <row r="418" spans="3:11" x14ac:dyDescent="0.2">
      <c r="C418" s="201" t="s">
        <v>6685</v>
      </c>
      <c r="D418" s="200">
        <v>44240</v>
      </c>
      <c r="E418" s="199" t="s">
        <v>6684</v>
      </c>
      <c r="I418" s="198">
        <v>1.78</v>
      </c>
      <c r="K418" s="198">
        <v>66516.800000000003</v>
      </c>
    </row>
    <row r="419" spans="3:11" x14ac:dyDescent="0.2">
      <c r="C419" s="201" t="s">
        <v>6683</v>
      </c>
      <c r="D419" s="200">
        <v>44240</v>
      </c>
      <c r="E419" s="199" t="s">
        <v>6682</v>
      </c>
      <c r="I419" s="198">
        <v>3.21</v>
      </c>
      <c r="K419" s="198">
        <v>66520.009999999995</v>
      </c>
    </row>
    <row r="420" spans="3:11" x14ac:dyDescent="0.2">
      <c r="C420" s="201" t="s">
        <v>6681</v>
      </c>
      <c r="D420" s="200">
        <v>44240</v>
      </c>
      <c r="E420" s="199" t="s">
        <v>6680</v>
      </c>
      <c r="I420" s="198">
        <v>1.88</v>
      </c>
      <c r="K420" s="198">
        <v>66521.89</v>
      </c>
    </row>
    <row r="421" spans="3:11" x14ac:dyDescent="0.2">
      <c r="C421" s="201" t="s">
        <v>6679</v>
      </c>
      <c r="D421" s="200">
        <v>44241</v>
      </c>
      <c r="E421" s="199" t="s">
        <v>6678</v>
      </c>
      <c r="I421" s="198">
        <v>1.68</v>
      </c>
      <c r="K421" s="198">
        <v>66523.570000000007</v>
      </c>
    </row>
    <row r="422" spans="3:11" x14ac:dyDescent="0.2">
      <c r="C422" s="201" t="s">
        <v>6677</v>
      </c>
      <c r="D422" s="200">
        <v>44241</v>
      </c>
      <c r="E422" s="199" t="s">
        <v>6676</v>
      </c>
      <c r="I422" s="198">
        <v>19.98</v>
      </c>
      <c r="K422" s="198">
        <v>66543.55</v>
      </c>
    </row>
    <row r="423" spans="3:11" x14ac:dyDescent="0.2">
      <c r="C423" s="201" t="s">
        <v>6675</v>
      </c>
      <c r="D423" s="200">
        <v>44241</v>
      </c>
      <c r="E423" s="199" t="s">
        <v>6674</v>
      </c>
      <c r="I423" s="198">
        <v>2.36</v>
      </c>
      <c r="K423" s="198">
        <v>66545.91</v>
      </c>
    </row>
    <row r="424" spans="3:11" x14ac:dyDescent="0.2">
      <c r="C424" s="201" t="s">
        <v>6673</v>
      </c>
      <c r="D424" s="200">
        <v>44241</v>
      </c>
      <c r="E424" s="199" t="s">
        <v>6672</v>
      </c>
      <c r="I424" s="198">
        <v>42.72</v>
      </c>
      <c r="K424" s="198">
        <v>66588.63</v>
      </c>
    </row>
    <row r="425" spans="3:11" x14ac:dyDescent="0.2">
      <c r="C425" s="201" t="s">
        <v>6671</v>
      </c>
      <c r="D425" s="200">
        <v>44242</v>
      </c>
      <c r="E425" s="199" t="s">
        <v>6670</v>
      </c>
      <c r="I425" s="198">
        <v>12.6</v>
      </c>
      <c r="K425" s="198">
        <v>66601.23</v>
      </c>
    </row>
    <row r="426" spans="3:11" x14ac:dyDescent="0.2">
      <c r="C426" s="201" t="s">
        <v>6669</v>
      </c>
      <c r="D426" s="200">
        <v>44242</v>
      </c>
      <c r="E426" s="199" t="s">
        <v>6668</v>
      </c>
      <c r="I426" s="198">
        <v>4</v>
      </c>
      <c r="K426" s="198">
        <v>66605.23</v>
      </c>
    </row>
    <row r="427" spans="3:11" x14ac:dyDescent="0.2">
      <c r="C427" s="201" t="s">
        <v>6667</v>
      </c>
      <c r="D427" s="200">
        <v>44242</v>
      </c>
      <c r="E427" s="199" t="s">
        <v>6666</v>
      </c>
      <c r="I427" s="198">
        <v>4.22</v>
      </c>
      <c r="K427" s="198">
        <v>66609.45</v>
      </c>
    </row>
    <row r="428" spans="3:11" x14ac:dyDescent="0.2">
      <c r="C428" s="201" t="s">
        <v>6665</v>
      </c>
      <c r="D428" s="200">
        <v>44242</v>
      </c>
      <c r="E428" s="199" t="s">
        <v>6664</v>
      </c>
      <c r="I428" s="198">
        <v>3.28</v>
      </c>
      <c r="K428" s="198">
        <v>66612.73</v>
      </c>
    </row>
    <row r="429" spans="3:11" x14ac:dyDescent="0.2">
      <c r="C429" s="201" t="s">
        <v>6663</v>
      </c>
      <c r="D429" s="200">
        <v>44242</v>
      </c>
      <c r="E429" s="199" t="s">
        <v>6662</v>
      </c>
      <c r="I429" s="198">
        <v>10</v>
      </c>
      <c r="K429" s="198">
        <v>66622.73</v>
      </c>
    </row>
    <row r="430" spans="3:11" x14ac:dyDescent="0.2">
      <c r="C430" s="201" t="s">
        <v>6661</v>
      </c>
      <c r="D430" s="200">
        <v>44242</v>
      </c>
      <c r="E430" s="199" t="s">
        <v>6660</v>
      </c>
      <c r="I430" s="198">
        <v>2.63</v>
      </c>
      <c r="K430" s="198">
        <v>66625.36</v>
      </c>
    </row>
    <row r="431" spans="3:11" x14ac:dyDescent="0.2">
      <c r="C431" s="201" t="s">
        <v>6659</v>
      </c>
      <c r="D431" s="200">
        <v>44242</v>
      </c>
      <c r="E431" s="199" t="s">
        <v>6658</v>
      </c>
      <c r="I431" s="198">
        <v>1.68</v>
      </c>
      <c r="K431" s="198">
        <v>66627.039999999994</v>
      </c>
    </row>
    <row r="432" spans="3:11" x14ac:dyDescent="0.2">
      <c r="C432" s="201" t="s">
        <v>6657</v>
      </c>
      <c r="D432" s="200">
        <v>44243</v>
      </c>
      <c r="E432" s="199" t="s">
        <v>6656</v>
      </c>
      <c r="I432" s="198">
        <v>6.94</v>
      </c>
      <c r="K432" s="198">
        <v>66633.98</v>
      </c>
    </row>
    <row r="433" spans="3:11" x14ac:dyDescent="0.2">
      <c r="C433" s="201" t="s">
        <v>6655</v>
      </c>
      <c r="D433" s="200">
        <v>44243</v>
      </c>
      <c r="E433" s="199" t="s">
        <v>6654</v>
      </c>
      <c r="I433" s="198">
        <v>1.76</v>
      </c>
      <c r="K433" s="198">
        <v>66635.740000000005</v>
      </c>
    </row>
    <row r="434" spans="3:11" x14ac:dyDescent="0.2">
      <c r="C434" s="201" t="s">
        <v>6653</v>
      </c>
      <c r="D434" s="200">
        <v>44244</v>
      </c>
      <c r="E434" s="199" t="s">
        <v>6652</v>
      </c>
      <c r="I434" s="198">
        <v>4.22</v>
      </c>
      <c r="K434" s="198">
        <v>66639.960000000006</v>
      </c>
    </row>
    <row r="435" spans="3:11" x14ac:dyDescent="0.2">
      <c r="C435" s="201" t="s">
        <v>6651</v>
      </c>
      <c r="D435" s="200">
        <v>44244</v>
      </c>
      <c r="E435" s="199" t="s">
        <v>2032</v>
      </c>
      <c r="I435" s="198">
        <v>3.34</v>
      </c>
      <c r="K435" s="198">
        <v>66643.3</v>
      </c>
    </row>
    <row r="436" spans="3:11" x14ac:dyDescent="0.2">
      <c r="C436" s="201" t="s">
        <v>20176</v>
      </c>
      <c r="D436" s="200">
        <v>44244</v>
      </c>
      <c r="E436" s="199" t="s">
        <v>20174</v>
      </c>
      <c r="I436" s="198">
        <v>5.82</v>
      </c>
      <c r="K436" s="198">
        <v>66649.119999999995</v>
      </c>
    </row>
    <row r="437" spans="3:11" x14ac:dyDescent="0.2">
      <c r="C437" s="201" t="s">
        <v>6650</v>
      </c>
      <c r="D437" s="200">
        <v>44244</v>
      </c>
      <c r="E437" s="199" t="s">
        <v>6649</v>
      </c>
      <c r="I437" s="198">
        <v>1.68</v>
      </c>
      <c r="K437" s="198">
        <v>66650.8</v>
      </c>
    </row>
    <row r="438" spans="3:11" x14ac:dyDescent="0.2">
      <c r="C438" s="201" t="s">
        <v>6648</v>
      </c>
      <c r="D438" s="200">
        <v>44244</v>
      </c>
      <c r="E438" s="199" t="s">
        <v>6647</v>
      </c>
      <c r="I438" s="198">
        <v>41.37</v>
      </c>
      <c r="K438" s="198">
        <v>66692.17</v>
      </c>
    </row>
    <row r="439" spans="3:11" x14ac:dyDescent="0.2">
      <c r="C439" s="201" t="s">
        <v>6646</v>
      </c>
      <c r="D439" s="200">
        <v>44244</v>
      </c>
      <c r="E439" s="199" t="s">
        <v>6645</v>
      </c>
      <c r="I439" s="198">
        <v>58.2</v>
      </c>
      <c r="K439" s="198">
        <v>66750.37</v>
      </c>
    </row>
    <row r="440" spans="3:11" x14ac:dyDescent="0.2">
      <c r="C440" s="201" t="s">
        <v>6644</v>
      </c>
      <c r="D440" s="200">
        <v>44244</v>
      </c>
      <c r="E440" s="199" t="s">
        <v>6643</v>
      </c>
      <c r="I440" s="198">
        <v>2</v>
      </c>
      <c r="K440" s="198">
        <v>66752.37</v>
      </c>
    </row>
    <row r="441" spans="3:11" x14ac:dyDescent="0.2">
      <c r="C441" s="201" t="s">
        <v>6642</v>
      </c>
      <c r="D441" s="200">
        <v>44244</v>
      </c>
      <c r="E441" s="199" t="s">
        <v>6641</v>
      </c>
      <c r="I441" s="198">
        <v>3</v>
      </c>
      <c r="K441" s="198">
        <v>66755.37</v>
      </c>
    </row>
    <row r="442" spans="3:11" x14ac:dyDescent="0.2">
      <c r="C442" s="201" t="s">
        <v>6640</v>
      </c>
      <c r="D442" s="200">
        <v>44244</v>
      </c>
      <c r="E442" s="199" t="s">
        <v>6639</v>
      </c>
      <c r="I442" s="198">
        <v>4.57</v>
      </c>
      <c r="K442" s="198">
        <v>66759.94</v>
      </c>
    </row>
    <row r="443" spans="3:11" x14ac:dyDescent="0.2">
      <c r="C443" s="201" t="s">
        <v>6638</v>
      </c>
      <c r="D443" s="200">
        <v>44244</v>
      </c>
      <c r="E443" s="199" t="s">
        <v>6637</v>
      </c>
      <c r="I443" s="198">
        <v>1.49</v>
      </c>
      <c r="K443" s="198">
        <v>66761.429999999993</v>
      </c>
    </row>
    <row r="444" spans="3:11" x14ac:dyDescent="0.2">
      <c r="C444" s="201" t="s">
        <v>6636</v>
      </c>
      <c r="D444" s="200">
        <v>44244</v>
      </c>
      <c r="E444" s="199" t="s">
        <v>6635</v>
      </c>
      <c r="I444" s="198">
        <v>4.72</v>
      </c>
      <c r="K444" s="198">
        <v>66766.149999999994</v>
      </c>
    </row>
    <row r="445" spans="3:11" x14ac:dyDescent="0.2">
      <c r="C445" s="201" t="s">
        <v>6634</v>
      </c>
      <c r="D445" s="200">
        <v>44244</v>
      </c>
      <c r="E445" s="199" t="s">
        <v>6633</v>
      </c>
      <c r="I445" s="198">
        <v>2.34</v>
      </c>
      <c r="K445" s="198">
        <v>66768.490000000005</v>
      </c>
    </row>
    <row r="446" spans="3:11" x14ac:dyDescent="0.2">
      <c r="C446" s="201" t="s">
        <v>6632</v>
      </c>
      <c r="D446" s="200">
        <v>44244</v>
      </c>
      <c r="E446" s="199" t="s">
        <v>6631</v>
      </c>
      <c r="I446" s="198">
        <v>8.08</v>
      </c>
      <c r="K446" s="198">
        <v>66776.570000000007</v>
      </c>
    </row>
    <row r="447" spans="3:11" x14ac:dyDescent="0.2">
      <c r="C447" s="201" t="s">
        <v>6630</v>
      </c>
      <c r="D447" s="200">
        <v>44244</v>
      </c>
      <c r="E447" s="199" t="s">
        <v>6629</v>
      </c>
      <c r="I447" s="198">
        <v>1.68</v>
      </c>
      <c r="K447" s="198">
        <v>66778.25</v>
      </c>
    </row>
    <row r="448" spans="3:11" x14ac:dyDescent="0.2">
      <c r="C448" s="201" t="s">
        <v>6628</v>
      </c>
      <c r="D448" s="200">
        <v>44244</v>
      </c>
      <c r="E448" s="199" t="s">
        <v>6627</v>
      </c>
      <c r="I448" s="198">
        <v>5.57</v>
      </c>
      <c r="K448" s="198">
        <v>66783.820000000007</v>
      </c>
    </row>
    <row r="449" spans="3:11" x14ac:dyDescent="0.2">
      <c r="C449" s="201" t="s">
        <v>6626</v>
      </c>
      <c r="D449" s="200">
        <v>44244</v>
      </c>
      <c r="E449" s="199" t="s">
        <v>6625</v>
      </c>
      <c r="I449" s="198">
        <v>1.94</v>
      </c>
      <c r="K449" s="198">
        <v>66785.759999999995</v>
      </c>
    </row>
    <row r="450" spans="3:11" x14ac:dyDescent="0.2">
      <c r="C450" s="201" t="s">
        <v>6624</v>
      </c>
      <c r="D450" s="200">
        <v>44244</v>
      </c>
      <c r="E450" s="199" t="s">
        <v>6623</v>
      </c>
      <c r="I450" s="198">
        <v>6.99</v>
      </c>
      <c r="K450" s="198">
        <v>66792.75</v>
      </c>
    </row>
    <row r="451" spans="3:11" x14ac:dyDescent="0.2">
      <c r="C451" s="201" t="s">
        <v>6622</v>
      </c>
      <c r="D451" s="200">
        <v>44244</v>
      </c>
      <c r="E451" s="199" t="s">
        <v>6621</v>
      </c>
      <c r="I451" s="198">
        <v>2.0699999999999998</v>
      </c>
      <c r="K451" s="198">
        <v>66794.820000000007</v>
      </c>
    </row>
    <row r="452" spans="3:11" x14ac:dyDescent="0.2">
      <c r="C452" s="201" t="s">
        <v>6620</v>
      </c>
      <c r="D452" s="200">
        <v>44244</v>
      </c>
      <c r="E452" s="199" t="s">
        <v>6619</v>
      </c>
      <c r="I452" s="198">
        <v>12.3</v>
      </c>
      <c r="K452" s="198">
        <v>66807.12</v>
      </c>
    </row>
    <row r="453" spans="3:11" x14ac:dyDescent="0.2">
      <c r="C453" s="201" t="s">
        <v>6618</v>
      </c>
      <c r="D453" s="200">
        <v>44244</v>
      </c>
      <c r="E453" s="199" t="s">
        <v>6617</v>
      </c>
      <c r="I453" s="198">
        <v>2.16</v>
      </c>
      <c r="K453" s="198">
        <v>66809.279999999999</v>
      </c>
    </row>
    <row r="454" spans="3:11" x14ac:dyDescent="0.2">
      <c r="C454" s="201" t="s">
        <v>6616</v>
      </c>
      <c r="D454" s="200">
        <v>44244</v>
      </c>
      <c r="E454" s="199" t="s">
        <v>6615</v>
      </c>
      <c r="I454" s="198">
        <v>7.45</v>
      </c>
      <c r="K454" s="198">
        <v>66816.73</v>
      </c>
    </row>
    <row r="455" spans="3:11" x14ac:dyDescent="0.2">
      <c r="C455" s="201" t="s">
        <v>6614</v>
      </c>
      <c r="D455" s="200">
        <v>44244</v>
      </c>
      <c r="E455" s="199" t="s">
        <v>6613</v>
      </c>
      <c r="I455" s="198">
        <v>7.36</v>
      </c>
      <c r="K455" s="198">
        <v>66824.09</v>
      </c>
    </row>
    <row r="456" spans="3:11" x14ac:dyDescent="0.2">
      <c r="C456" s="201" t="s">
        <v>6612</v>
      </c>
      <c r="D456" s="200">
        <v>44244</v>
      </c>
      <c r="E456" s="199" t="s">
        <v>6611</v>
      </c>
      <c r="I456" s="198">
        <v>5.36</v>
      </c>
      <c r="K456" s="198">
        <v>66829.45</v>
      </c>
    </row>
    <row r="457" spans="3:11" x14ac:dyDescent="0.2">
      <c r="C457" s="201" t="s">
        <v>6610</v>
      </c>
      <c r="D457" s="200">
        <v>44244</v>
      </c>
      <c r="E457" s="199" t="s">
        <v>6609</v>
      </c>
      <c r="I457" s="198">
        <v>4.4800000000000004</v>
      </c>
      <c r="K457" s="198">
        <v>66833.929999999993</v>
      </c>
    </row>
    <row r="458" spans="3:11" x14ac:dyDescent="0.2">
      <c r="C458" s="201" t="s">
        <v>6608</v>
      </c>
      <c r="D458" s="200">
        <v>44244</v>
      </c>
      <c r="E458" s="199" t="s">
        <v>6607</v>
      </c>
      <c r="I458" s="198">
        <v>3.76</v>
      </c>
      <c r="K458" s="198">
        <v>66837.69</v>
      </c>
    </row>
    <row r="459" spans="3:11" x14ac:dyDescent="0.2">
      <c r="C459" s="201" t="s">
        <v>6606</v>
      </c>
      <c r="D459" s="200">
        <v>44244</v>
      </c>
      <c r="E459" s="199" t="s">
        <v>6605</v>
      </c>
      <c r="I459" s="198">
        <v>6.94</v>
      </c>
      <c r="K459" s="198">
        <v>66844.63</v>
      </c>
    </row>
    <row r="460" spans="3:11" x14ac:dyDescent="0.2">
      <c r="C460" s="201" t="s">
        <v>6604</v>
      </c>
      <c r="D460" s="200">
        <v>44244</v>
      </c>
      <c r="E460" s="199" t="s">
        <v>6603</v>
      </c>
      <c r="I460" s="198">
        <v>6.04</v>
      </c>
      <c r="K460" s="198">
        <v>66850.67</v>
      </c>
    </row>
    <row r="461" spans="3:11" x14ac:dyDescent="0.2">
      <c r="C461" s="201" t="s">
        <v>1542</v>
      </c>
      <c r="D461" s="200">
        <v>44244</v>
      </c>
      <c r="E461" s="199" t="s">
        <v>6602</v>
      </c>
      <c r="J461" s="222">
        <v>10.49</v>
      </c>
      <c r="K461" s="198">
        <v>66840.179999999993</v>
      </c>
    </row>
    <row r="462" spans="3:11" x14ac:dyDescent="0.2">
      <c r="C462" s="201" t="s">
        <v>1537</v>
      </c>
      <c r="D462" s="200">
        <v>44244</v>
      </c>
      <c r="E462" s="199" t="s">
        <v>6601</v>
      </c>
      <c r="J462" s="222">
        <v>19.84</v>
      </c>
      <c r="K462" s="198">
        <v>66820.34</v>
      </c>
    </row>
    <row r="463" spans="3:11" x14ac:dyDescent="0.2">
      <c r="C463" s="201" t="s">
        <v>6600</v>
      </c>
      <c r="D463" s="200">
        <v>44244</v>
      </c>
      <c r="E463" s="199" t="s">
        <v>6599</v>
      </c>
      <c r="J463" s="222">
        <v>9.6</v>
      </c>
      <c r="K463" s="198">
        <v>66810.740000000005</v>
      </c>
    </row>
    <row r="464" spans="3:11" x14ac:dyDescent="0.2">
      <c r="C464" s="201" t="s">
        <v>6598</v>
      </c>
      <c r="D464" s="200">
        <v>44244</v>
      </c>
      <c r="E464" s="199" t="s">
        <v>6597</v>
      </c>
      <c r="J464" s="222">
        <v>7.58</v>
      </c>
      <c r="K464" s="198">
        <v>66803.16</v>
      </c>
    </row>
    <row r="465" spans="3:11" x14ac:dyDescent="0.2">
      <c r="C465" s="201" t="s">
        <v>1536</v>
      </c>
      <c r="D465" s="200">
        <v>44244</v>
      </c>
      <c r="E465" s="199" t="s">
        <v>6596</v>
      </c>
      <c r="J465" s="222">
        <v>15.47</v>
      </c>
      <c r="K465" s="198">
        <v>66787.69</v>
      </c>
    </row>
    <row r="466" spans="3:11" x14ac:dyDescent="0.2">
      <c r="C466" s="201" t="s">
        <v>1535</v>
      </c>
      <c r="D466" s="200">
        <v>44244</v>
      </c>
      <c r="E466" s="199" t="s">
        <v>6595</v>
      </c>
      <c r="J466" s="222">
        <v>11.7</v>
      </c>
      <c r="K466" s="198">
        <v>66775.990000000005</v>
      </c>
    </row>
    <row r="467" spans="3:11" x14ac:dyDescent="0.2">
      <c r="C467" s="201" t="s">
        <v>6594</v>
      </c>
      <c r="D467" s="200">
        <v>44245</v>
      </c>
      <c r="E467" s="199" t="s">
        <v>6593</v>
      </c>
      <c r="I467" s="198">
        <v>8.3800000000000008</v>
      </c>
      <c r="K467" s="198">
        <v>66784.37</v>
      </c>
    </row>
    <row r="468" spans="3:11" x14ac:dyDescent="0.2">
      <c r="C468" s="201" t="s">
        <v>6592</v>
      </c>
      <c r="D468" s="200">
        <v>44245</v>
      </c>
      <c r="E468" s="199" t="s">
        <v>6591</v>
      </c>
      <c r="I468" s="198">
        <v>13.25</v>
      </c>
      <c r="K468" s="198">
        <v>66797.62</v>
      </c>
    </row>
    <row r="469" spans="3:11" x14ac:dyDescent="0.2">
      <c r="C469" s="201" t="s">
        <v>6590</v>
      </c>
      <c r="D469" s="200">
        <v>44245</v>
      </c>
      <c r="E469" s="199" t="s">
        <v>6589</v>
      </c>
      <c r="I469" s="198">
        <v>12.6</v>
      </c>
      <c r="K469" s="198">
        <v>66810.22</v>
      </c>
    </row>
    <row r="470" spans="3:11" x14ac:dyDescent="0.2">
      <c r="C470" s="201" t="s">
        <v>6588</v>
      </c>
      <c r="D470" s="200">
        <v>44245</v>
      </c>
      <c r="E470" s="199" t="s">
        <v>6587</v>
      </c>
      <c r="I470" s="198">
        <v>13.62</v>
      </c>
      <c r="K470" s="198">
        <v>66823.839999999997</v>
      </c>
    </row>
    <row r="471" spans="3:11" x14ac:dyDescent="0.2">
      <c r="C471" s="201" t="s">
        <v>6586</v>
      </c>
      <c r="D471" s="200">
        <v>44245</v>
      </c>
      <c r="E471" s="199" t="s">
        <v>6585</v>
      </c>
      <c r="I471" s="198">
        <v>7.01</v>
      </c>
      <c r="K471" s="198">
        <v>66830.850000000006</v>
      </c>
    </row>
    <row r="472" spans="3:11" x14ac:dyDescent="0.2">
      <c r="C472" s="201" t="s">
        <v>6584</v>
      </c>
      <c r="D472" s="200">
        <v>44245</v>
      </c>
      <c r="E472" s="199" t="s">
        <v>6583</v>
      </c>
      <c r="I472" s="198">
        <v>7.82</v>
      </c>
      <c r="K472" s="198">
        <v>66838.67</v>
      </c>
    </row>
    <row r="473" spans="3:11" x14ac:dyDescent="0.2">
      <c r="C473" s="201" t="s">
        <v>6582</v>
      </c>
      <c r="D473" s="200">
        <v>44245</v>
      </c>
      <c r="E473" s="199" t="s">
        <v>6581</v>
      </c>
      <c r="I473" s="198">
        <v>9.83</v>
      </c>
      <c r="K473" s="198">
        <v>66848.5</v>
      </c>
    </row>
    <row r="474" spans="3:11" x14ac:dyDescent="0.2">
      <c r="C474" s="201" t="s">
        <v>6580</v>
      </c>
      <c r="D474" s="200">
        <v>44245</v>
      </c>
      <c r="E474" s="199" t="s">
        <v>6579</v>
      </c>
      <c r="I474" s="198">
        <v>23.57</v>
      </c>
      <c r="K474" s="198">
        <v>66872.070000000007</v>
      </c>
    </row>
    <row r="475" spans="3:11" x14ac:dyDescent="0.2">
      <c r="C475" s="201" t="s">
        <v>6578</v>
      </c>
      <c r="D475" s="200">
        <v>44245</v>
      </c>
      <c r="E475" s="199" t="s">
        <v>6577</v>
      </c>
      <c r="I475" s="198">
        <v>4.2</v>
      </c>
      <c r="K475" s="198">
        <v>66876.27</v>
      </c>
    </row>
    <row r="476" spans="3:11" x14ac:dyDescent="0.2">
      <c r="C476" s="201" t="s">
        <v>6576</v>
      </c>
      <c r="D476" s="200">
        <v>44245</v>
      </c>
      <c r="E476" s="199" t="s">
        <v>6575</v>
      </c>
      <c r="I476" s="198">
        <v>3.47</v>
      </c>
      <c r="K476" s="198">
        <v>66879.740000000005</v>
      </c>
    </row>
    <row r="477" spans="3:11" x14ac:dyDescent="0.2">
      <c r="C477" s="201" t="s">
        <v>6574</v>
      </c>
      <c r="D477" s="200">
        <v>44245</v>
      </c>
      <c r="E477" s="199" t="s">
        <v>6573</v>
      </c>
      <c r="I477" s="198">
        <v>15.96</v>
      </c>
      <c r="K477" s="198">
        <v>66895.7</v>
      </c>
    </row>
    <row r="478" spans="3:11" x14ac:dyDescent="0.2">
      <c r="C478" s="201" t="s">
        <v>6572</v>
      </c>
      <c r="D478" s="200">
        <v>44245</v>
      </c>
      <c r="E478" s="199" t="s">
        <v>6571</v>
      </c>
      <c r="I478" s="198">
        <v>4.0199999999999996</v>
      </c>
      <c r="K478" s="198">
        <v>66899.72</v>
      </c>
    </row>
    <row r="479" spans="3:11" x14ac:dyDescent="0.2">
      <c r="C479" s="201" t="s">
        <v>6570</v>
      </c>
      <c r="D479" s="200">
        <v>44245</v>
      </c>
      <c r="E479" s="199" t="s">
        <v>6569</v>
      </c>
      <c r="I479" s="198">
        <v>8.5</v>
      </c>
      <c r="K479" s="198">
        <v>66908.22</v>
      </c>
    </row>
    <row r="480" spans="3:11" x14ac:dyDescent="0.2">
      <c r="C480" s="201" t="s">
        <v>6568</v>
      </c>
      <c r="D480" s="200">
        <v>44245</v>
      </c>
      <c r="E480" s="199" t="s">
        <v>6567</v>
      </c>
      <c r="I480" s="198">
        <v>21.55</v>
      </c>
      <c r="K480" s="198">
        <v>66929.77</v>
      </c>
    </row>
    <row r="481" spans="3:11" x14ac:dyDescent="0.2">
      <c r="C481" s="201" t="s">
        <v>6566</v>
      </c>
      <c r="D481" s="200">
        <v>44245</v>
      </c>
      <c r="E481" s="199" t="s">
        <v>6565</v>
      </c>
      <c r="I481" s="198">
        <v>1.89</v>
      </c>
      <c r="K481" s="198">
        <v>66931.66</v>
      </c>
    </row>
    <row r="482" spans="3:11" x14ac:dyDescent="0.2">
      <c r="C482" s="201" t="s">
        <v>6564</v>
      </c>
      <c r="D482" s="200">
        <v>44245</v>
      </c>
      <c r="E482" s="199" t="s">
        <v>6563</v>
      </c>
      <c r="I482" s="198">
        <v>2.73</v>
      </c>
      <c r="K482" s="198">
        <v>66934.39</v>
      </c>
    </row>
    <row r="483" spans="3:11" x14ac:dyDescent="0.2">
      <c r="C483" s="201" t="s">
        <v>6562</v>
      </c>
      <c r="D483" s="200">
        <v>44245</v>
      </c>
      <c r="E483" s="199" t="s">
        <v>6561</v>
      </c>
      <c r="I483" s="198">
        <v>1.76</v>
      </c>
      <c r="K483" s="198">
        <v>66936.149999999994</v>
      </c>
    </row>
    <row r="484" spans="3:11" x14ac:dyDescent="0.2">
      <c r="C484" s="201" t="s">
        <v>6560</v>
      </c>
      <c r="D484" s="200">
        <v>44245</v>
      </c>
      <c r="E484" s="199" t="s">
        <v>6559</v>
      </c>
      <c r="I484" s="198">
        <v>1.68</v>
      </c>
      <c r="K484" s="198">
        <v>66937.83</v>
      </c>
    </row>
    <row r="485" spans="3:11" x14ac:dyDescent="0.2">
      <c r="C485" s="201" t="s">
        <v>6558</v>
      </c>
      <c r="D485" s="200">
        <v>44245</v>
      </c>
      <c r="E485" s="199" t="s">
        <v>6557</v>
      </c>
      <c r="I485" s="198">
        <v>4.66</v>
      </c>
      <c r="K485" s="198">
        <v>66942.490000000005</v>
      </c>
    </row>
    <row r="486" spans="3:11" x14ac:dyDescent="0.2">
      <c r="C486" s="201" t="s">
        <v>6556</v>
      </c>
      <c r="D486" s="200">
        <v>44245</v>
      </c>
      <c r="E486" s="199" t="s">
        <v>6555</v>
      </c>
      <c r="I486" s="198">
        <v>2.68</v>
      </c>
      <c r="K486" s="198">
        <v>66945.17</v>
      </c>
    </row>
    <row r="487" spans="3:11" x14ac:dyDescent="0.2">
      <c r="C487" s="201" t="s">
        <v>6554</v>
      </c>
      <c r="D487" s="200">
        <v>44245</v>
      </c>
      <c r="E487" s="199" t="s">
        <v>6553</v>
      </c>
      <c r="I487" s="198">
        <v>12.34</v>
      </c>
      <c r="K487" s="198">
        <v>66957.509999999995</v>
      </c>
    </row>
    <row r="488" spans="3:11" x14ac:dyDescent="0.2">
      <c r="C488" s="201" t="s">
        <v>6552</v>
      </c>
      <c r="D488" s="200">
        <v>44245</v>
      </c>
      <c r="E488" s="199" t="s">
        <v>6551</v>
      </c>
      <c r="I488" s="198">
        <v>4.1900000000000004</v>
      </c>
      <c r="K488" s="198">
        <v>66961.7</v>
      </c>
    </row>
    <row r="489" spans="3:11" x14ac:dyDescent="0.2">
      <c r="C489" s="201" t="s">
        <v>6550</v>
      </c>
      <c r="D489" s="200">
        <v>44245</v>
      </c>
      <c r="E489" s="199" t="s">
        <v>6549</v>
      </c>
      <c r="I489" s="198">
        <v>3</v>
      </c>
      <c r="K489" s="198">
        <v>66964.7</v>
      </c>
    </row>
    <row r="490" spans="3:11" x14ac:dyDescent="0.2">
      <c r="C490" s="201" t="s">
        <v>6548</v>
      </c>
      <c r="D490" s="200">
        <v>44246</v>
      </c>
      <c r="E490" s="199" t="s">
        <v>6547</v>
      </c>
      <c r="I490" s="198">
        <v>13.82</v>
      </c>
      <c r="K490" s="198">
        <v>66978.52</v>
      </c>
    </row>
    <row r="491" spans="3:11" x14ac:dyDescent="0.2">
      <c r="C491" s="201" t="s">
        <v>6546</v>
      </c>
      <c r="D491" s="200">
        <v>44246</v>
      </c>
      <c r="E491" s="199" t="s">
        <v>6545</v>
      </c>
      <c r="I491" s="198">
        <v>115.64</v>
      </c>
      <c r="K491" s="198">
        <v>67094.16</v>
      </c>
    </row>
    <row r="492" spans="3:11" x14ac:dyDescent="0.2">
      <c r="C492" s="201" t="s">
        <v>6544</v>
      </c>
      <c r="D492" s="200">
        <v>44246</v>
      </c>
      <c r="E492" s="199" t="s">
        <v>6543</v>
      </c>
      <c r="I492" s="198">
        <v>22</v>
      </c>
      <c r="K492" s="198">
        <v>67116.160000000003</v>
      </c>
    </row>
    <row r="493" spans="3:11" x14ac:dyDescent="0.2">
      <c r="C493" s="201" t="s">
        <v>6542</v>
      </c>
      <c r="D493" s="200">
        <v>44246</v>
      </c>
      <c r="E493" s="199" t="s">
        <v>6541</v>
      </c>
      <c r="I493" s="198">
        <v>13.62</v>
      </c>
      <c r="K493" s="198">
        <v>67129.78</v>
      </c>
    </row>
    <row r="494" spans="3:11" x14ac:dyDescent="0.2">
      <c r="C494" s="201" t="s">
        <v>6540</v>
      </c>
      <c r="D494" s="200">
        <v>44246</v>
      </c>
      <c r="E494" s="199" t="s">
        <v>6539</v>
      </c>
      <c r="I494" s="198">
        <v>3</v>
      </c>
      <c r="K494" s="198">
        <v>67132.78</v>
      </c>
    </row>
    <row r="495" spans="3:11" x14ac:dyDescent="0.2">
      <c r="C495" s="201" t="s">
        <v>6538</v>
      </c>
      <c r="D495" s="200">
        <v>44246</v>
      </c>
      <c r="E495" s="199" t="s">
        <v>6537</v>
      </c>
      <c r="I495" s="198">
        <v>18.100000000000001</v>
      </c>
      <c r="K495" s="198">
        <v>67150.880000000005</v>
      </c>
    </row>
    <row r="496" spans="3:11" x14ac:dyDescent="0.2">
      <c r="C496" s="201" t="s">
        <v>6536</v>
      </c>
      <c r="D496" s="200">
        <v>44246</v>
      </c>
      <c r="E496" s="199" t="s">
        <v>6535</v>
      </c>
      <c r="I496" s="198">
        <v>16.079999999999998</v>
      </c>
      <c r="K496" s="198">
        <v>67166.960000000006</v>
      </c>
    </row>
    <row r="497" spans="3:11" x14ac:dyDescent="0.2">
      <c r="C497" s="201" t="s">
        <v>6534</v>
      </c>
      <c r="D497" s="200">
        <v>44246</v>
      </c>
      <c r="E497" s="199" t="s">
        <v>6533</v>
      </c>
      <c r="I497" s="198">
        <v>7.53</v>
      </c>
      <c r="K497" s="198">
        <v>67174.490000000005</v>
      </c>
    </row>
    <row r="498" spans="3:11" x14ac:dyDescent="0.2">
      <c r="C498" s="201" t="s">
        <v>6532</v>
      </c>
      <c r="D498" s="200">
        <v>44246</v>
      </c>
      <c r="E498" s="199" t="s">
        <v>6531</v>
      </c>
      <c r="I498" s="198">
        <v>10.56</v>
      </c>
      <c r="K498" s="198">
        <v>67185.05</v>
      </c>
    </row>
    <row r="499" spans="3:11" x14ac:dyDescent="0.2">
      <c r="C499" s="201" t="s">
        <v>6530</v>
      </c>
      <c r="D499" s="200">
        <v>44246</v>
      </c>
      <c r="E499" s="199" t="s">
        <v>6529</v>
      </c>
      <c r="I499" s="198">
        <v>5.76</v>
      </c>
      <c r="K499" s="198">
        <v>67190.81</v>
      </c>
    </row>
    <row r="500" spans="3:11" x14ac:dyDescent="0.2">
      <c r="C500" s="201" t="s">
        <v>6528</v>
      </c>
      <c r="D500" s="200">
        <v>44246</v>
      </c>
      <c r="E500" s="199" t="s">
        <v>6527</v>
      </c>
      <c r="I500" s="198">
        <v>8.8699999999999992</v>
      </c>
      <c r="K500" s="198">
        <v>67199.679999999993</v>
      </c>
    </row>
    <row r="501" spans="3:11" x14ac:dyDescent="0.2">
      <c r="C501" s="201" t="s">
        <v>6526</v>
      </c>
      <c r="D501" s="200">
        <v>44246</v>
      </c>
      <c r="E501" s="199" t="s">
        <v>6525</v>
      </c>
      <c r="I501" s="198">
        <v>4.74</v>
      </c>
      <c r="K501" s="198">
        <v>67204.42</v>
      </c>
    </row>
    <row r="502" spans="3:11" x14ac:dyDescent="0.2">
      <c r="C502" s="201" t="s">
        <v>6524</v>
      </c>
      <c r="D502" s="200">
        <v>44246</v>
      </c>
      <c r="E502" s="199" t="s">
        <v>6523</v>
      </c>
      <c r="I502" s="198">
        <v>1.93</v>
      </c>
      <c r="K502" s="198">
        <v>67206.350000000006</v>
      </c>
    </row>
    <row r="503" spans="3:11" x14ac:dyDescent="0.2">
      <c r="C503" s="201" t="s">
        <v>6522</v>
      </c>
      <c r="D503" s="200">
        <v>44246</v>
      </c>
      <c r="E503" s="199" t="s">
        <v>6521</v>
      </c>
      <c r="I503" s="198">
        <v>6.08</v>
      </c>
      <c r="K503" s="198">
        <v>67212.429999999993</v>
      </c>
    </row>
    <row r="504" spans="3:11" x14ac:dyDescent="0.2">
      <c r="C504" s="201" t="s">
        <v>6520</v>
      </c>
      <c r="D504" s="200">
        <v>44246</v>
      </c>
      <c r="E504" s="199" t="s">
        <v>6519</v>
      </c>
      <c r="I504" s="198">
        <v>22.38</v>
      </c>
      <c r="K504" s="198">
        <v>67234.81</v>
      </c>
    </row>
    <row r="505" spans="3:11" x14ac:dyDescent="0.2">
      <c r="C505" s="201" t="s">
        <v>6518</v>
      </c>
      <c r="D505" s="200">
        <v>44246</v>
      </c>
      <c r="E505" s="199" t="s">
        <v>6517</v>
      </c>
      <c r="I505" s="198">
        <v>25.14</v>
      </c>
      <c r="K505" s="198">
        <v>67259.95</v>
      </c>
    </row>
    <row r="506" spans="3:11" x14ac:dyDescent="0.2">
      <c r="C506" s="201" t="s">
        <v>6516</v>
      </c>
      <c r="D506" s="200">
        <v>44246</v>
      </c>
      <c r="E506" s="199" t="s">
        <v>6515</v>
      </c>
      <c r="I506" s="198">
        <v>8.08</v>
      </c>
      <c r="K506" s="198">
        <v>67268.03</v>
      </c>
    </row>
    <row r="507" spans="3:11" x14ac:dyDescent="0.2">
      <c r="C507" s="201" t="s">
        <v>6514</v>
      </c>
      <c r="D507" s="200">
        <v>44246</v>
      </c>
      <c r="E507" s="199" t="s">
        <v>6513</v>
      </c>
      <c r="I507" s="198">
        <v>2.2400000000000002</v>
      </c>
      <c r="K507" s="198">
        <v>67270.27</v>
      </c>
    </row>
    <row r="508" spans="3:11" x14ac:dyDescent="0.2">
      <c r="C508" s="201" t="s">
        <v>1534</v>
      </c>
      <c r="D508" s="200">
        <v>44246</v>
      </c>
      <c r="E508" s="199" t="s">
        <v>6512</v>
      </c>
      <c r="J508" s="222">
        <v>1174.8800000000001</v>
      </c>
      <c r="K508" s="198">
        <v>66095.39</v>
      </c>
    </row>
    <row r="509" spans="3:11" x14ac:dyDescent="0.2">
      <c r="C509" s="201" t="s">
        <v>6511</v>
      </c>
      <c r="D509" s="200">
        <v>44247</v>
      </c>
      <c r="E509" s="199" t="s">
        <v>6510</v>
      </c>
      <c r="I509" s="198">
        <v>2.76</v>
      </c>
      <c r="K509" s="198">
        <v>66098.149999999994</v>
      </c>
    </row>
    <row r="510" spans="3:11" x14ac:dyDescent="0.2">
      <c r="C510" s="201" t="s">
        <v>6509</v>
      </c>
      <c r="D510" s="200">
        <v>44247</v>
      </c>
      <c r="E510" s="199" t="s">
        <v>6508</v>
      </c>
      <c r="I510" s="198">
        <v>8.86</v>
      </c>
      <c r="K510" s="198">
        <v>66107.009999999995</v>
      </c>
    </row>
    <row r="511" spans="3:11" x14ac:dyDescent="0.2">
      <c r="C511" s="201" t="s">
        <v>6507</v>
      </c>
      <c r="D511" s="200">
        <v>44247</v>
      </c>
      <c r="E511" s="199" t="s">
        <v>6506</v>
      </c>
      <c r="I511" s="198">
        <v>8.3800000000000008</v>
      </c>
      <c r="K511" s="198">
        <v>66115.39</v>
      </c>
    </row>
    <row r="512" spans="3:11" x14ac:dyDescent="0.2">
      <c r="C512" s="201" t="s">
        <v>6505</v>
      </c>
      <c r="D512" s="200">
        <v>44247</v>
      </c>
      <c r="E512" s="199" t="s">
        <v>6504</v>
      </c>
      <c r="I512" s="198">
        <v>19.68</v>
      </c>
      <c r="K512" s="198">
        <v>66135.070000000007</v>
      </c>
    </row>
    <row r="513" spans="3:11" x14ac:dyDescent="0.2">
      <c r="C513" s="201" t="s">
        <v>6503</v>
      </c>
      <c r="D513" s="200">
        <v>44247</v>
      </c>
      <c r="E513" s="199" t="s">
        <v>6502</v>
      </c>
      <c r="I513" s="198">
        <v>6.08</v>
      </c>
      <c r="K513" s="198">
        <v>66141.149999999994</v>
      </c>
    </row>
    <row r="514" spans="3:11" x14ac:dyDescent="0.2">
      <c r="C514" s="201" t="s">
        <v>6501</v>
      </c>
      <c r="D514" s="200">
        <v>44247</v>
      </c>
      <c r="E514" s="199" t="s">
        <v>6500</v>
      </c>
      <c r="I514" s="198">
        <v>4.6500000000000004</v>
      </c>
      <c r="K514" s="198">
        <v>66145.8</v>
      </c>
    </row>
    <row r="515" spans="3:11" x14ac:dyDescent="0.2">
      <c r="C515" s="201" t="s">
        <v>6499</v>
      </c>
      <c r="D515" s="200">
        <v>44248</v>
      </c>
      <c r="E515" s="199" t="s">
        <v>6498</v>
      </c>
      <c r="I515" s="198">
        <v>8.3800000000000008</v>
      </c>
      <c r="K515" s="198">
        <v>66154.179999999993</v>
      </c>
    </row>
    <row r="516" spans="3:11" x14ac:dyDescent="0.2">
      <c r="C516" s="201" t="s">
        <v>6497</v>
      </c>
      <c r="D516" s="200">
        <v>44248</v>
      </c>
      <c r="E516" s="199" t="s">
        <v>6496</v>
      </c>
      <c r="I516" s="198">
        <v>2.0699999999999998</v>
      </c>
      <c r="K516" s="198">
        <v>66156.25</v>
      </c>
    </row>
    <row r="517" spans="3:11" x14ac:dyDescent="0.2">
      <c r="C517" s="201" t="s">
        <v>6495</v>
      </c>
      <c r="D517" s="200">
        <v>44248</v>
      </c>
      <c r="E517" s="199" t="s">
        <v>6494</v>
      </c>
      <c r="I517" s="198">
        <v>9.86</v>
      </c>
      <c r="K517" s="198">
        <v>66166.11</v>
      </c>
    </row>
    <row r="518" spans="3:11" x14ac:dyDescent="0.2">
      <c r="C518" s="201" t="s">
        <v>6493</v>
      </c>
      <c r="D518" s="200">
        <v>44248</v>
      </c>
      <c r="E518" s="199" t="s">
        <v>6492</v>
      </c>
      <c r="I518" s="198">
        <v>7.82</v>
      </c>
      <c r="K518" s="198">
        <v>66173.929999999993</v>
      </c>
    </row>
    <row r="519" spans="3:11" x14ac:dyDescent="0.2">
      <c r="C519" s="201" t="s">
        <v>6491</v>
      </c>
      <c r="D519" s="200">
        <v>44249</v>
      </c>
      <c r="E519" s="199" t="s">
        <v>6490</v>
      </c>
      <c r="I519" s="198">
        <v>8.3800000000000008</v>
      </c>
      <c r="K519" s="198">
        <v>66182.31</v>
      </c>
    </row>
    <row r="520" spans="3:11" x14ac:dyDescent="0.2">
      <c r="C520" s="201" t="s">
        <v>6489</v>
      </c>
      <c r="D520" s="200">
        <v>44249</v>
      </c>
      <c r="E520" s="199" t="s">
        <v>6488</v>
      </c>
      <c r="I520" s="198">
        <v>5</v>
      </c>
      <c r="K520" s="198">
        <v>66187.31</v>
      </c>
    </row>
    <row r="521" spans="3:11" x14ac:dyDescent="0.2">
      <c r="C521" s="201" t="s">
        <v>6487</v>
      </c>
      <c r="D521" s="200">
        <v>44249</v>
      </c>
      <c r="E521" s="199" t="s">
        <v>6486</v>
      </c>
      <c r="I521" s="198">
        <v>10.58</v>
      </c>
      <c r="K521" s="198">
        <v>66197.89</v>
      </c>
    </row>
    <row r="522" spans="3:11" x14ac:dyDescent="0.2">
      <c r="C522" s="201" t="s">
        <v>6485</v>
      </c>
      <c r="D522" s="200">
        <v>44249</v>
      </c>
      <c r="E522" s="199" t="s">
        <v>6484</v>
      </c>
      <c r="I522" s="198">
        <v>60.96</v>
      </c>
      <c r="K522" s="198">
        <v>66258.850000000006</v>
      </c>
    </row>
    <row r="523" spans="3:11" x14ac:dyDescent="0.2">
      <c r="C523" s="201" t="s">
        <v>6483</v>
      </c>
      <c r="D523" s="200">
        <v>44249</v>
      </c>
      <c r="E523" s="199" t="s">
        <v>6482</v>
      </c>
      <c r="I523" s="198">
        <v>4.08</v>
      </c>
      <c r="K523" s="198">
        <v>66262.929999999993</v>
      </c>
    </row>
    <row r="524" spans="3:11" x14ac:dyDescent="0.2">
      <c r="C524" s="201" t="s">
        <v>6481</v>
      </c>
      <c r="D524" s="200">
        <v>44249</v>
      </c>
      <c r="E524" s="199" t="s">
        <v>6480</v>
      </c>
      <c r="I524" s="198">
        <v>9.01</v>
      </c>
      <c r="K524" s="198">
        <v>66271.94</v>
      </c>
    </row>
    <row r="525" spans="3:11" x14ac:dyDescent="0.2">
      <c r="C525" s="201" t="s">
        <v>6479</v>
      </c>
      <c r="D525" s="200">
        <v>44249</v>
      </c>
      <c r="E525" s="199" t="s">
        <v>6478</v>
      </c>
      <c r="I525" s="198">
        <v>13.96</v>
      </c>
      <c r="K525" s="198">
        <v>66285.899999999994</v>
      </c>
    </row>
    <row r="526" spans="3:11" x14ac:dyDescent="0.2">
      <c r="C526" s="201" t="s">
        <v>6477</v>
      </c>
      <c r="D526" s="200">
        <v>44249</v>
      </c>
      <c r="E526" s="199" t="s">
        <v>6476</v>
      </c>
      <c r="I526" s="198">
        <v>9.49</v>
      </c>
      <c r="K526" s="198">
        <v>66295.39</v>
      </c>
    </row>
    <row r="527" spans="3:11" x14ac:dyDescent="0.2">
      <c r="C527" s="201" t="s">
        <v>6475</v>
      </c>
      <c r="D527" s="200">
        <v>44249</v>
      </c>
      <c r="E527" s="199" t="s">
        <v>6474</v>
      </c>
      <c r="I527" s="198">
        <v>6.94</v>
      </c>
      <c r="K527" s="198">
        <v>66302.33</v>
      </c>
    </row>
    <row r="528" spans="3:11" x14ac:dyDescent="0.2">
      <c r="C528" s="201" t="s">
        <v>6473</v>
      </c>
      <c r="D528" s="200">
        <v>44249</v>
      </c>
      <c r="E528" s="199" t="s">
        <v>6472</v>
      </c>
      <c r="I528" s="198">
        <v>1.23</v>
      </c>
      <c r="K528" s="198">
        <v>66303.56</v>
      </c>
    </row>
    <row r="529" spans="3:11" x14ac:dyDescent="0.2">
      <c r="C529" s="201" t="s">
        <v>6471</v>
      </c>
      <c r="D529" s="200">
        <v>44249</v>
      </c>
      <c r="E529" s="199" t="s">
        <v>6470</v>
      </c>
      <c r="I529" s="198">
        <v>3.36</v>
      </c>
      <c r="K529" s="198">
        <v>66306.92</v>
      </c>
    </row>
    <row r="530" spans="3:11" x14ac:dyDescent="0.2">
      <c r="C530" s="201" t="s">
        <v>6469</v>
      </c>
      <c r="D530" s="200">
        <v>44249</v>
      </c>
      <c r="E530" s="199" t="s">
        <v>6468</v>
      </c>
      <c r="I530" s="198">
        <v>5.79</v>
      </c>
      <c r="K530" s="198">
        <v>66312.710000000006</v>
      </c>
    </row>
    <row r="531" spans="3:11" x14ac:dyDescent="0.2">
      <c r="C531" s="201" t="s">
        <v>6467</v>
      </c>
      <c r="D531" s="200">
        <v>44249</v>
      </c>
      <c r="E531" s="199" t="s">
        <v>6466</v>
      </c>
      <c r="I531" s="198">
        <v>16.760000000000002</v>
      </c>
      <c r="K531" s="198">
        <v>66329.47</v>
      </c>
    </row>
    <row r="532" spans="3:11" x14ac:dyDescent="0.2">
      <c r="C532" s="201" t="s">
        <v>6465</v>
      </c>
      <c r="D532" s="200">
        <v>44249</v>
      </c>
      <c r="E532" s="199" t="s">
        <v>6464</v>
      </c>
      <c r="I532" s="198">
        <v>2</v>
      </c>
      <c r="K532" s="198">
        <v>66331.47</v>
      </c>
    </row>
    <row r="533" spans="3:11" x14ac:dyDescent="0.2">
      <c r="C533" s="201" t="s">
        <v>6463</v>
      </c>
      <c r="D533" s="200">
        <v>44249</v>
      </c>
      <c r="E533" s="199" t="s">
        <v>6462</v>
      </c>
      <c r="I533" s="198">
        <v>8.3800000000000008</v>
      </c>
      <c r="K533" s="198">
        <v>66339.850000000006</v>
      </c>
    </row>
    <row r="534" spans="3:11" x14ac:dyDescent="0.2">
      <c r="C534" s="201" t="s">
        <v>6461</v>
      </c>
      <c r="D534" s="200">
        <v>44249</v>
      </c>
      <c r="E534" s="199" t="s">
        <v>6460</v>
      </c>
      <c r="I534" s="198">
        <v>4.24</v>
      </c>
      <c r="K534" s="198">
        <v>66344.09</v>
      </c>
    </row>
    <row r="535" spans="3:11" x14ac:dyDescent="0.2">
      <c r="C535" s="201" t="s">
        <v>6459</v>
      </c>
      <c r="D535" s="200">
        <v>44249</v>
      </c>
      <c r="E535" s="199" t="s">
        <v>6458</v>
      </c>
      <c r="I535" s="198">
        <v>17.899999999999999</v>
      </c>
      <c r="K535" s="198">
        <v>66361.990000000005</v>
      </c>
    </row>
    <row r="536" spans="3:11" x14ac:dyDescent="0.2">
      <c r="C536" s="201" t="s">
        <v>6457</v>
      </c>
      <c r="D536" s="200">
        <v>44249</v>
      </c>
      <c r="E536" s="199" t="s">
        <v>6456</v>
      </c>
      <c r="I536" s="198">
        <v>8.3800000000000008</v>
      </c>
      <c r="K536" s="198">
        <v>66370.37</v>
      </c>
    </row>
    <row r="537" spans="3:11" x14ac:dyDescent="0.2">
      <c r="C537" s="201" t="s">
        <v>6455</v>
      </c>
      <c r="D537" s="200">
        <v>44249</v>
      </c>
      <c r="E537" s="199" t="s">
        <v>6454</v>
      </c>
      <c r="I537" s="198">
        <v>4.1900000000000004</v>
      </c>
      <c r="K537" s="198">
        <v>66374.559999999998</v>
      </c>
    </row>
    <row r="538" spans="3:11" x14ac:dyDescent="0.2">
      <c r="C538" s="201" t="s">
        <v>6453</v>
      </c>
      <c r="D538" s="200">
        <v>44249</v>
      </c>
      <c r="E538" s="199" t="s">
        <v>6452</v>
      </c>
      <c r="I538" s="198">
        <v>11.75</v>
      </c>
      <c r="K538" s="198">
        <v>66386.31</v>
      </c>
    </row>
    <row r="539" spans="3:11" x14ac:dyDescent="0.2">
      <c r="C539" s="201" t="s">
        <v>6451</v>
      </c>
      <c r="D539" s="200">
        <v>44249</v>
      </c>
      <c r="E539" s="199" t="s">
        <v>6450</v>
      </c>
      <c r="I539" s="198">
        <v>8.9600000000000009</v>
      </c>
      <c r="K539" s="198">
        <v>66395.27</v>
      </c>
    </row>
    <row r="540" spans="3:11" x14ac:dyDescent="0.2">
      <c r="C540" s="201" t="s">
        <v>6449</v>
      </c>
      <c r="D540" s="200">
        <v>44249</v>
      </c>
      <c r="E540" s="199" t="s">
        <v>6448</v>
      </c>
      <c r="I540" s="198">
        <v>13.68</v>
      </c>
      <c r="K540" s="198">
        <v>66408.95</v>
      </c>
    </row>
    <row r="541" spans="3:11" x14ac:dyDescent="0.2">
      <c r="C541" s="201" t="s">
        <v>6447</v>
      </c>
      <c r="D541" s="200">
        <v>44249</v>
      </c>
      <c r="E541" s="199" t="s">
        <v>6446</v>
      </c>
      <c r="I541" s="198">
        <v>20.82</v>
      </c>
      <c r="K541" s="198">
        <v>66429.77</v>
      </c>
    </row>
    <row r="542" spans="3:11" x14ac:dyDescent="0.2">
      <c r="C542" s="201" t="s">
        <v>6445</v>
      </c>
      <c r="D542" s="200">
        <v>44249</v>
      </c>
      <c r="E542" s="199" t="s">
        <v>6444</v>
      </c>
      <c r="I542" s="198">
        <v>6.24</v>
      </c>
      <c r="K542" s="198">
        <v>66436.009999999995</v>
      </c>
    </row>
    <row r="543" spans="3:11" x14ac:dyDescent="0.2">
      <c r="C543" s="201" t="s">
        <v>6443</v>
      </c>
      <c r="D543" s="200">
        <v>44249</v>
      </c>
      <c r="E543" s="199" t="s">
        <v>6442</v>
      </c>
      <c r="I543" s="198">
        <v>197.06</v>
      </c>
      <c r="K543" s="198">
        <v>66633.070000000007</v>
      </c>
    </row>
    <row r="544" spans="3:11" x14ac:dyDescent="0.2">
      <c r="C544" s="201" t="s">
        <v>6441</v>
      </c>
      <c r="D544" s="200">
        <v>44249</v>
      </c>
      <c r="E544" s="199" t="s">
        <v>6440</v>
      </c>
      <c r="I544" s="198">
        <v>5.22</v>
      </c>
      <c r="K544" s="198">
        <v>66638.289999999994</v>
      </c>
    </row>
    <row r="545" spans="3:11" x14ac:dyDescent="0.2">
      <c r="C545" s="201" t="s">
        <v>1554</v>
      </c>
      <c r="D545" s="200">
        <v>44249</v>
      </c>
      <c r="E545" s="199" t="s">
        <v>6439</v>
      </c>
      <c r="J545" s="222">
        <v>5032.26</v>
      </c>
      <c r="K545" s="198">
        <v>61606.03</v>
      </c>
    </row>
    <row r="546" spans="3:11" x14ac:dyDescent="0.2">
      <c r="C546" s="201" t="s">
        <v>1560</v>
      </c>
      <c r="D546" s="200">
        <v>44249</v>
      </c>
      <c r="E546" s="199" t="s">
        <v>6438</v>
      </c>
      <c r="J546" s="222">
        <v>1123.6400000000001</v>
      </c>
      <c r="K546" s="198">
        <v>60482.39</v>
      </c>
    </row>
    <row r="547" spans="3:11" x14ac:dyDescent="0.2">
      <c r="C547" s="201" t="s">
        <v>1558</v>
      </c>
      <c r="D547" s="200">
        <v>44249</v>
      </c>
      <c r="E547" s="199" t="s">
        <v>6437</v>
      </c>
      <c r="J547" s="222">
        <v>1296.53</v>
      </c>
      <c r="K547" s="198">
        <v>59185.86</v>
      </c>
    </row>
    <row r="548" spans="3:11" x14ac:dyDescent="0.2">
      <c r="C548" s="201" t="s">
        <v>20175</v>
      </c>
      <c r="D548" s="200">
        <v>44250</v>
      </c>
      <c r="E548" s="199" t="s">
        <v>20174</v>
      </c>
      <c r="I548" s="198">
        <v>10</v>
      </c>
      <c r="K548" s="198">
        <v>59195.86</v>
      </c>
    </row>
    <row r="549" spans="3:11" x14ac:dyDescent="0.2">
      <c r="C549" s="201" t="s">
        <v>6436</v>
      </c>
      <c r="D549" s="200">
        <v>44250</v>
      </c>
      <c r="E549" s="199" t="s">
        <v>6435</v>
      </c>
      <c r="I549" s="198">
        <v>1.68</v>
      </c>
      <c r="K549" s="198">
        <v>59197.54</v>
      </c>
    </row>
    <row r="550" spans="3:11" x14ac:dyDescent="0.2">
      <c r="C550" s="201" t="s">
        <v>6434</v>
      </c>
      <c r="D550" s="200">
        <v>44250</v>
      </c>
      <c r="E550" s="199" t="s">
        <v>6433</v>
      </c>
      <c r="I550" s="198">
        <v>4.88</v>
      </c>
      <c r="K550" s="198">
        <v>59202.42</v>
      </c>
    </row>
    <row r="551" spans="3:11" x14ac:dyDescent="0.2">
      <c r="C551" s="201" t="s">
        <v>6432</v>
      </c>
      <c r="D551" s="200">
        <v>44250</v>
      </c>
      <c r="E551" s="199" t="s">
        <v>6431</v>
      </c>
      <c r="I551" s="198">
        <v>3.88</v>
      </c>
      <c r="K551" s="198">
        <v>59206.3</v>
      </c>
    </row>
    <row r="552" spans="3:11" x14ac:dyDescent="0.2">
      <c r="C552" s="201" t="s">
        <v>6430</v>
      </c>
      <c r="D552" s="200">
        <v>44250</v>
      </c>
      <c r="E552" s="199" t="s">
        <v>6429</v>
      </c>
      <c r="I552" s="198">
        <v>13.71</v>
      </c>
      <c r="K552" s="198">
        <v>59220.01</v>
      </c>
    </row>
    <row r="553" spans="3:11" x14ac:dyDescent="0.2">
      <c r="C553" s="201" t="s">
        <v>6428</v>
      </c>
      <c r="D553" s="200">
        <v>44250</v>
      </c>
      <c r="E553" s="199" t="s">
        <v>6427</v>
      </c>
      <c r="I553" s="198">
        <v>5.1100000000000003</v>
      </c>
      <c r="K553" s="198">
        <v>59225.120000000003</v>
      </c>
    </row>
    <row r="554" spans="3:11" x14ac:dyDescent="0.2">
      <c r="C554" s="201" t="s">
        <v>6426</v>
      </c>
      <c r="D554" s="200">
        <v>44250</v>
      </c>
      <c r="E554" s="199" t="s">
        <v>6425</v>
      </c>
      <c r="I554" s="198">
        <v>5.71</v>
      </c>
      <c r="K554" s="198">
        <v>59230.83</v>
      </c>
    </row>
    <row r="555" spans="3:11" x14ac:dyDescent="0.2">
      <c r="C555" s="201" t="s">
        <v>6424</v>
      </c>
      <c r="D555" s="200">
        <v>44250</v>
      </c>
      <c r="E555" s="199" t="s">
        <v>6423</v>
      </c>
      <c r="I555" s="198">
        <v>3.46</v>
      </c>
      <c r="K555" s="198">
        <v>59234.29</v>
      </c>
    </row>
    <row r="556" spans="3:11" x14ac:dyDescent="0.2">
      <c r="C556" s="201" t="s">
        <v>6422</v>
      </c>
      <c r="D556" s="200">
        <v>44250</v>
      </c>
      <c r="E556" s="199" t="s">
        <v>6421</v>
      </c>
      <c r="I556" s="198">
        <v>1.94</v>
      </c>
      <c r="K556" s="198">
        <v>59236.23</v>
      </c>
    </row>
    <row r="557" spans="3:11" x14ac:dyDescent="0.2">
      <c r="C557" s="201" t="s">
        <v>6420</v>
      </c>
      <c r="D557" s="200">
        <v>44250</v>
      </c>
      <c r="E557" s="199" t="s">
        <v>6419</v>
      </c>
      <c r="I557" s="198">
        <v>2.8</v>
      </c>
      <c r="K557" s="198">
        <v>59239.03</v>
      </c>
    </row>
    <row r="558" spans="3:11" x14ac:dyDescent="0.2">
      <c r="C558" s="201" t="s">
        <v>6418</v>
      </c>
      <c r="D558" s="200">
        <v>44250</v>
      </c>
      <c r="E558" s="199" t="s">
        <v>6417</v>
      </c>
      <c r="I558" s="198">
        <v>3.7</v>
      </c>
      <c r="K558" s="198">
        <v>59242.73</v>
      </c>
    </row>
    <row r="559" spans="3:11" x14ac:dyDescent="0.2">
      <c r="C559" s="201" t="s">
        <v>6416</v>
      </c>
      <c r="D559" s="200">
        <v>44250</v>
      </c>
      <c r="E559" s="199" t="s">
        <v>6415</v>
      </c>
      <c r="I559" s="198">
        <v>1.68</v>
      </c>
      <c r="K559" s="198">
        <v>59244.41</v>
      </c>
    </row>
    <row r="560" spans="3:11" x14ac:dyDescent="0.2">
      <c r="C560" s="201" t="s">
        <v>6414</v>
      </c>
      <c r="D560" s="200">
        <v>44250</v>
      </c>
      <c r="E560" s="199" t="s">
        <v>6413</v>
      </c>
      <c r="I560" s="198">
        <v>3.36</v>
      </c>
      <c r="K560" s="198">
        <v>59247.77</v>
      </c>
    </row>
    <row r="561" spans="3:11" x14ac:dyDescent="0.2">
      <c r="C561" s="201" t="s">
        <v>6412</v>
      </c>
      <c r="D561" s="200">
        <v>44250</v>
      </c>
      <c r="E561" s="199" t="s">
        <v>6411</v>
      </c>
      <c r="I561" s="198">
        <v>9.2100000000000009</v>
      </c>
      <c r="K561" s="198">
        <v>59256.98</v>
      </c>
    </row>
    <row r="562" spans="3:11" x14ac:dyDescent="0.2">
      <c r="C562" s="201" t="s">
        <v>6410</v>
      </c>
      <c r="D562" s="200">
        <v>44251</v>
      </c>
      <c r="E562" s="199" t="s">
        <v>6409</v>
      </c>
      <c r="I562" s="198">
        <v>1.58</v>
      </c>
      <c r="K562" s="198">
        <v>59258.559999999998</v>
      </c>
    </row>
    <row r="563" spans="3:11" x14ac:dyDescent="0.2">
      <c r="C563" s="201" t="s">
        <v>6408</v>
      </c>
      <c r="D563" s="200">
        <v>44251</v>
      </c>
      <c r="E563" s="199" t="s">
        <v>6407</v>
      </c>
      <c r="I563" s="198">
        <v>30</v>
      </c>
      <c r="K563" s="198">
        <v>59288.56</v>
      </c>
    </row>
    <row r="564" spans="3:11" x14ac:dyDescent="0.2">
      <c r="C564" s="201" t="s">
        <v>6406</v>
      </c>
      <c r="D564" s="200">
        <v>44251</v>
      </c>
      <c r="E564" s="199" t="s">
        <v>6405</v>
      </c>
      <c r="I564" s="198">
        <v>79.66</v>
      </c>
      <c r="K564" s="198">
        <v>59368.22</v>
      </c>
    </row>
    <row r="565" spans="3:11" x14ac:dyDescent="0.2">
      <c r="C565" s="201" t="s">
        <v>6404</v>
      </c>
      <c r="D565" s="200">
        <v>44251</v>
      </c>
      <c r="E565" s="199" t="s">
        <v>6403</v>
      </c>
      <c r="I565" s="198">
        <v>9.43</v>
      </c>
      <c r="K565" s="198">
        <v>59377.65</v>
      </c>
    </row>
    <row r="566" spans="3:11" x14ac:dyDescent="0.2">
      <c r="C566" s="201" t="s">
        <v>6402</v>
      </c>
      <c r="D566" s="200">
        <v>44251</v>
      </c>
      <c r="E566" s="199" t="s">
        <v>6401</v>
      </c>
      <c r="I566" s="198">
        <v>14</v>
      </c>
      <c r="K566" s="198">
        <v>59391.65</v>
      </c>
    </row>
    <row r="567" spans="3:11" x14ac:dyDescent="0.2">
      <c r="C567" s="201" t="s">
        <v>6400</v>
      </c>
      <c r="D567" s="200">
        <v>44251</v>
      </c>
      <c r="E567" s="199" t="s">
        <v>6399</v>
      </c>
      <c r="I567" s="198">
        <v>1.74</v>
      </c>
      <c r="K567" s="198">
        <v>59393.39</v>
      </c>
    </row>
    <row r="568" spans="3:11" x14ac:dyDescent="0.2">
      <c r="C568" s="201" t="s">
        <v>6398</v>
      </c>
      <c r="D568" s="200">
        <v>44251</v>
      </c>
      <c r="E568" s="199" t="s">
        <v>6397</v>
      </c>
      <c r="I568" s="198">
        <v>4.29</v>
      </c>
      <c r="K568" s="198">
        <v>59397.68</v>
      </c>
    </row>
    <row r="569" spans="3:11" x14ac:dyDescent="0.2">
      <c r="C569" s="201" t="s">
        <v>6396</v>
      </c>
      <c r="D569" s="200">
        <v>44251</v>
      </c>
      <c r="E569" s="199" t="s">
        <v>6395</v>
      </c>
      <c r="I569" s="198">
        <v>2.34</v>
      </c>
      <c r="K569" s="198">
        <v>59400.02</v>
      </c>
    </row>
    <row r="570" spans="3:11" x14ac:dyDescent="0.2">
      <c r="C570" s="201" t="s">
        <v>6394</v>
      </c>
      <c r="D570" s="200">
        <v>44251</v>
      </c>
      <c r="E570" s="199" t="s">
        <v>6393</v>
      </c>
      <c r="I570" s="198">
        <v>5.39</v>
      </c>
      <c r="K570" s="198">
        <v>59405.41</v>
      </c>
    </row>
    <row r="571" spans="3:11" x14ac:dyDescent="0.2">
      <c r="C571" s="201" t="s">
        <v>6392</v>
      </c>
      <c r="D571" s="200">
        <v>44251</v>
      </c>
      <c r="E571" s="199" t="s">
        <v>6391</v>
      </c>
      <c r="I571" s="198">
        <v>8.3800000000000008</v>
      </c>
      <c r="K571" s="198">
        <v>59413.79</v>
      </c>
    </row>
    <row r="572" spans="3:11" x14ac:dyDescent="0.2">
      <c r="C572" s="201" t="s">
        <v>6390</v>
      </c>
      <c r="D572" s="200">
        <v>44251</v>
      </c>
      <c r="E572" s="199" t="s">
        <v>6389</v>
      </c>
      <c r="I572" s="198">
        <v>8.3800000000000008</v>
      </c>
      <c r="K572" s="198">
        <v>59422.17</v>
      </c>
    </row>
    <row r="573" spans="3:11" x14ac:dyDescent="0.2">
      <c r="C573" s="201" t="s">
        <v>6388</v>
      </c>
      <c r="D573" s="200">
        <v>44251</v>
      </c>
      <c r="E573" s="199" t="s">
        <v>6387</v>
      </c>
      <c r="I573" s="198">
        <v>5.95</v>
      </c>
      <c r="K573" s="198">
        <v>59428.12</v>
      </c>
    </row>
    <row r="574" spans="3:11" x14ac:dyDescent="0.2">
      <c r="C574" s="201" t="s">
        <v>6386</v>
      </c>
      <c r="D574" s="200">
        <v>44251</v>
      </c>
      <c r="E574" s="199" t="s">
        <v>6385</v>
      </c>
      <c r="I574" s="198">
        <v>22.18</v>
      </c>
      <c r="K574" s="198">
        <v>59450.3</v>
      </c>
    </row>
    <row r="575" spans="3:11" x14ac:dyDescent="0.2">
      <c r="C575" s="201" t="s">
        <v>6384</v>
      </c>
      <c r="D575" s="200">
        <v>44251</v>
      </c>
      <c r="E575" s="199" t="s">
        <v>6383</v>
      </c>
      <c r="I575" s="198">
        <v>16.760000000000002</v>
      </c>
      <c r="K575" s="198">
        <v>59467.06</v>
      </c>
    </row>
    <row r="576" spans="3:11" x14ac:dyDescent="0.2">
      <c r="C576" s="201" t="s">
        <v>6382</v>
      </c>
      <c r="D576" s="200">
        <v>44251</v>
      </c>
      <c r="E576" s="199" t="s">
        <v>6381</v>
      </c>
      <c r="I576" s="198">
        <v>7.68</v>
      </c>
      <c r="K576" s="198">
        <v>59474.74</v>
      </c>
    </row>
    <row r="577" spans="3:11" x14ac:dyDescent="0.2">
      <c r="C577" s="201" t="s">
        <v>6380</v>
      </c>
      <c r="D577" s="200">
        <v>44251</v>
      </c>
      <c r="E577" s="199" t="s">
        <v>6379</v>
      </c>
      <c r="I577" s="198">
        <v>4.9000000000000004</v>
      </c>
      <c r="K577" s="198">
        <v>59479.64</v>
      </c>
    </row>
    <row r="578" spans="3:11" x14ac:dyDescent="0.2">
      <c r="C578" s="201" t="s">
        <v>6378</v>
      </c>
      <c r="D578" s="200">
        <v>44251</v>
      </c>
      <c r="E578" s="199" t="s">
        <v>6377</v>
      </c>
      <c r="I578" s="198">
        <v>1.68</v>
      </c>
      <c r="K578" s="198">
        <v>59481.32</v>
      </c>
    </row>
    <row r="579" spans="3:11" x14ac:dyDescent="0.2">
      <c r="C579" s="201" t="s">
        <v>6376</v>
      </c>
      <c r="D579" s="200">
        <v>44251</v>
      </c>
      <c r="E579" s="199" t="s">
        <v>6375</v>
      </c>
      <c r="I579" s="198">
        <v>3.02</v>
      </c>
      <c r="K579" s="198">
        <v>59484.34</v>
      </c>
    </row>
    <row r="580" spans="3:11" x14ac:dyDescent="0.2">
      <c r="C580" s="201" t="s">
        <v>6374</v>
      </c>
      <c r="D580" s="200">
        <v>44251</v>
      </c>
      <c r="E580" s="199" t="s">
        <v>6373</v>
      </c>
      <c r="I580" s="198">
        <v>2.0699999999999998</v>
      </c>
      <c r="K580" s="198">
        <v>59486.41</v>
      </c>
    </row>
    <row r="581" spans="3:11" x14ac:dyDescent="0.2">
      <c r="C581" s="201" t="s">
        <v>6372</v>
      </c>
      <c r="D581" s="200">
        <v>44251</v>
      </c>
      <c r="E581" s="199" t="s">
        <v>6371</v>
      </c>
      <c r="I581" s="198">
        <v>24.6</v>
      </c>
      <c r="K581" s="198">
        <v>59511.01</v>
      </c>
    </row>
    <row r="582" spans="3:11" x14ac:dyDescent="0.2">
      <c r="C582" s="201" t="s">
        <v>6370</v>
      </c>
      <c r="D582" s="200">
        <v>44251</v>
      </c>
      <c r="E582" s="199" t="s">
        <v>6369</v>
      </c>
      <c r="I582" s="198">
        <v>12.08</v>
      </c>
      <c r="K582" s="198">
        <v>59523.09</v>
      </c>
    </row>
    <row r="583" spans="3:11" x14ac:dyDescent="0.2">
      <c r="C583" s="201" t="s">
        <v>6368</v>
      </c>
      <c r="D583" s="200">
        <v>44251</v>
      </c>
      <c r="E583" s="199" t="s">
        <v>6367</v>
      </c>
      <c r="I583" s="198">
        <v>9.6199999999999992</v>
      </c>
      <c r="K583" s="198">
        <v>59532.71</v>
      </c>
    </row>
    <row r="584" spans="3:11" x14ac:dyDescent="0.2">
      <c r="C584" s="201" t="s">
        <v>6366</v>
      </c>
      <c r="D584" s="200">
        <v>44251</v>
      </c>
      <c r="E584" s="199" t="s">
        <v>6365</v>
      </c>
      <c r="I584" s="198">
        <v>9.67</v>
      </c>
      <c r="K584" s="198">
        <v>59542.38</v>
      </c>
    </row>
    <row r="585" spans="3:11" x14ac:dyDescent="0.2">
      <c r="C585" s="201" t="s">
        <v>6364</v>
      </c>
      <c r="D585" s="200">
        <v>44251</v>
      </c>
      <c r="E585" s="199" t="s">
        <v>6363</v>
      </c>
      <c r="I585" s="198">
        <v>3.81</v>
      </c>
      <c r="K585" s="198">
        <v>59546.19</v>
      </c>
    </row>
    <row r="586" spans="3:11" x14ac:dyDescent="0.2">
      <c r="C586" s="201" t="s">
        <v>6362</v>
      </c>
      <c r="D586" s="200">
        <v>44251</v>
      </c>
      <c r="E586" s="199" t="s">
        <v>6361</v>
      </c>
      <c r="I586" s="198">
        <v>15.3</v>
      </c>
      <c r="K586" s="198">
        <v>59561.49</v>
      </c>
    </row>
    <row r="587" spans="3:11" x14ac:dyDescent="0.2">
      <c r="C587" s="201" t="s">
        <v>6360</v>
      </c>
      <c r="D587" s="200">
        <v>44251</v>
      </c>
      <c r="E587" s="199" t="s">
        <v>6359</v>
      </c>
      <c r="I587" s="198">
        <v>17.28</v>
      </c>
      <c r="K587" s="198">
        <v>59578.77</v>
      </c>
    </row>
    <row r="588" spans="3:11" x14ac:dyDescent="0.2">
      <c r="C588" s="201" t="s">
        <v>6358</v>
      </c>
      <c r="D588" s="200">
        <v>44251</v>
      </c>
      <c r="E588" s="199" t="s">
        <v>6357</v>
      </c>
      <c r="I588" s="198">
        <v>6.16</v>
      </c>
      <c r="K588" s="198">
        <v>59584.93</v>
      </c>
    </row>
    <row r="589" spans="3:11" x14ac:dyDescent="0.2">
      <c r="C589" s="201" t="s">
        <v>6356</v>
      </c>
      <c r="D589" s="200">
        <v>44251</v>
      </c>
      <c r="E589" s="199" t="s">
        <v>6355</v>
      </c>
      <c r="I589" s="198">
        <v>11.8</v>
      </c>
      <c r="K589" s="198">
        <v>59596.73</v>
      </c>
    </row>
    <row r="590" spans="3:11" x14ac:dyDescent="0.2">
      <c r="C590" s="201" t="s">
        <v>6354</v>
      </c>
      <c r="D590" s="200">
        <v>44251</v>
      </c>
      <c r="E590" s="199" t="s">
        <v>6353</v>
      </c>
      <c r="I590" s="198">
        <v>25.14</v>
      </c>
      <c r="K590" s="198">
        <v>59621.87</v>
      </c>
    </row>
    <row r="591" spans="3:11" x14ac:dyDescent="0.2">
      <c r="C591" s="201" t="s">
        <v>6352</v>
      </c>
      <c r="D591" s="200">
        <v>44251</v>
      </c>
      <c r="E591" s="199" t="s">
        <v>6351</v>
      </c>
      <c r="I591" s="198">
        <v>3.36</v>
      </c>
      <c r="K591" s="198">
        <v>59625.23</v>
      </c>
    </row>
    <row r="592" spans="3:11" x14ac:dyDescent="0.2">
      <c r="C592" s="201" t="s">
        <v>6350</v>
      </c>
      <c r="D592" s="200">
        <v>44251</v>
      </c>
      <c r="E592" s="199" t="s">
        <v>6349</v>
      </c>
      <c r="I592" s="198">
        <v>3.54</v>
      </c>
      <c r="K592" s="198">
        <v>59628.77</v>
      </c>
    </row>
    <row r="593" spans="3:11" x14ac:dyDescent="0.2">
      <c r="C593" s="201" t="s">
        <v>6348</v>
      </c>
      <c r="D593" s="200">
        <v>44252</v>
      </c>
      <c r="E593" s="199" t="s">
        <v>6347</v>
      </c>
      <c r="I593" s="198">
        <v>305.76</v>
      </c>
      <c r="K593" s="198">
        <v>59934.53</v>
      </c>
    </row>
    <row r="594" spans="3:11" x14ac:dyDescent="0.2">
      <c r="C594" s="201" t="s">
        <v>6346</v>
      </c>
      <c r="D594" s="200">
        <v>44252</v>
      </c>
      <c r="E594" s="199" t="s">
        <v>6345</v>
      </c>
      <c r="I594" s="198">
        <v>10</v>
      </c>
      <c r="K594" s="198">
        <v>59944.53</v>
      </c>
    </row>
    <row r="595" spans="3:11" x14ac:dyDescent="0.2">
      <c r="C595" s="201" t="s">
        <v>6344</v>
      </c>
      <c r="D595" s="200">
        <v>44252</v>
      </c>
      <c r="E595" s="199" t="s">
        <v>6343</v>
      </c>
      <c r="I595" s="198">
        <v>16.760000000000002</v>
      </c>
      <c r="K595" s="198">
        <v>59961.29</v>
      </c>
    </row>
    <row r="596" spans="3:11" x14ac:dyDescent="0.2">
      <c r="C596" s="201" t="s">
        <v>6342</v>
      </c>
      <c r="D596" s="200">
        <v>44252</v>
      </c>
      <c r="E596" s="199" t="s">
        <v>6341</v>
      </c>
      <c r="I596" s="198">
        <v>41.54</v>
      </c>
      <c r="K596" s="198">
        <v>60002.83</v>
      </c>
    </row>
    <row r="597" spans="3:11" x14ac:dyDescent="0.2">
      <c r="C597" s="201" t="s">
        <v>6340</v>
      </c>
      <c r="D597" s="200">
        <v>44252</v>
      </c>
      <c r="E597" s="199" t="s">
        <v>6339</v>
      </c>
      <c r="I597" s="198">
        <v>6.95</v>
      </c>
      <c r="K597" s="198">
        <v>60009.78</v>
      </c>
    </row>
    <row r="598" spans="3:11" x14ac:dyDescent="0.2">
      <c r="C598" s="201" t="s">
        <v>6338</v>
      </c>
      <c r="D598" s="200">
        <v>44252</v>
      </c>
      <c r="E598" s="199" t="s">
        <v>6337</v>
      </c>
      <c r="I598" s="198">
        <v>14.69</v>
      </c>
      <c r="K598" s="198">
        <v>60024.47</v>
      </c>
    </row>
    <row r="599" spans="3:11" x14ac:dyDescent="0.2">
      <c r="C599" s="201" t="s">
        <v>6336</v>
      </c>
      <c r="D599" s="200">
        <v>44252</v>
      </c>
      <c r="E599" s="199" t="s">
        <v>6335</v>
      </c>
      <c r="I599" s="198">
        <v>4.04</v>
      </c>
      <c r="K599" s="198">
        <v>60028.51</v>
      </c>
    </row>
    <row r="600" spans="3:11" x14ac:dyDescent="0.2">
      <c r="C600" s="201" t="s">
        <v>6334</v>
      </c>
      <c r="D600" s="200">
        <v>44252</v>
      </c>
      <c r="E600" s="199" t="s">
        <v>6333</v>
      </c>
      <c r="I600" s="198">
        <v>1.68</v>
      </c>
      <c r="K600" s="198">
        <v>60030.19</v>
      </c>
    </row>
    <row r="601" spans="3:11" x14ac:dyDescent="0.2">
      <c r="C601" s="201" t="s">
        <v>6332</v>
      </c>
      <c r="D601" s="200">
        <v>44252</v>
      </c>
      <c r="E601" s="199" t="s">
        <v>6331</v>
      </c>
      <c r="I601" s="198">
        <v>7.56</v>
      </c>
      <c r="K601" s="198">
        <v>60037.75</v>
      </c>
    </row>
    <row r="602" spans="3:11" x14ac:dyDescent="0.2">
      <c r="C602" s="201" t="s">
        <v>6330</v>
      </c>
      <c r="D602" s="200">
        <v>44252</v>
      </c>
      <c r="E602" s="199" t="s">
        <v>6329</v>
      </c>
      <c r="I602" s="198">
        <v>3.36</v>
      </c>
      <c r="K602" s="198">
        <v>60041.11</v>
      </c>
    </row>
    <row r="603" spans="3:11" x14ac:dyDescent="0.2">
      <c r="C603" s="201" t="s">
        <v>6328</v>
      </c>
      <c r="D603" s="200">
        <v>44252</v>
      </c>
      <c r="E603" s="199" t="s">
        <v>6327</v>
      </c>
      <c r="I603" s="198">
        <v>3.63</v>
      </c>
      <c r="K603" s="198">
        <v>60044.74</v>
      </c>
    </row>
    <row r="604" spans="3:11" x14ac:dyDescent="0.2">
      <c r="C604" s="201" t="s">
        <v>6326</v>
      </c>
      <c r="D604" s="200">
        <v>44252</v>
      </c>
      <c r="E604" s="199" t="s">
        <v>6325</v>
      </c>
      <c r="I604" s="198">
        <v>1.68</v>
      </c>
      <c r="K604" s="198">
        <v>60046.42</v>
      </c>
    </row>
    <row r="605" spans="3:11" x14ac:dyDescent="0.2">
      <c r="C605" s="201" t="s">
        <v>6324</v>
      </c>
      <c r="D605" s="200">
        <v>44252</v>
      </c>
      <c r="E605" s="199" t="s">
        <v>6323</v>
      </c>
      <c r="I605" s="198">
        <v>38.380000000000003</v>
      </c>
      <c r="K605" s="198">
        <v>60084.800000000003</v>
      </c>
    </row>
    <row r="606" spans="3:11" x14ac:dyDescent="0.2">
      <c r="C606" s="201" t="s">
        <v>6322</v>
      </c>
      <c r="D606" s="200">
        <v>44252</v>
      </c>
      <c r="E606" s="199" t="s">
        <v>6321</v>
      </c>
      <c r="I606" s="198">
        <v>4.1900000000000004</v>
      </c>
      <c r="K606" s="198">
        <v>60088.99</v>
      </c>
    </row>
    <row r="607" spans="3:11" x14ac:dyDescent="0.2">
      <c r="C607" s="201" t="s">
        <v>6320</v>
      </c>
      <c r="D607" s="200">
        <v>44252</v>
      </c>
      <c r="E607" s="199" t="s">
        <v>6319</v>
      </c>
      <c r="I607" s="198">
        <v>3.61</v>
      </c>
      <c r="K607" s="198">
        <v>60092.6</v>
      </c>
    </row>
    <row r="608" spans="3:11" x14ac:dyDescent="0.2">
      <c r="C608" s="201" t="s">
        <v>6318</v>
      </c>
      <c r="D608" s="200">
        <v>44252</v>
      </c>
      <c r="E608" s="199" t="s">
        <v>6317</v>
      </c>
      <c r="I608" s="198">
        <v>8.3800000000000008</v>
      </c>
      <c r="K608" s="198">
        <v>60100.98</v>
      </c>
    </row>
    <row r="609" spans="3:11" x14ac:dyDescent="0.2">
      <c r="C609" s="201" t="s">
        <v>6316</v>
      </c>
      <c r="D609" s="200">
        <v>44252</v>
      </c>
      <c r="E609" s="199" t="s">
        <v>6315</v>
      </c>
      <c r="I609" s="198">
        <v>3.45</v>
      </c>
      <c r="K609" s="198">
        <v>60104.43</v>
      </c>
    </row>
    <row r="610" spans="3:11" x14ac:dyDescent="0.2">
      <c r="C610" s="201" t="s">
        <v>6314</v>
      </c>
      <c r="D610" s="200">
        <v>44252</v>
      </c>
      <c r="E610" s="199" t="s">
        <v>6313</v>
      </c>
      <c r="I610" s="198">
        <v>2.63</v>
      </c>
      <c r="K610" s="198">
        <v>60107.06</v>
      </c>
    </row>
    <row r="611" spans="3:11" x14ac:dyDescent="0.2">
      <c r="C611" s="201" t="s">
        <v>6312</v>
      </c>
      <c r="D611" s="200">
        <v>44252</v>
      </c>
      <c r="E611" s="199" t="s">
        <v>6311</v>
      </c>
      <c r="I611" s="198">
        <v>1.68</v>
      </c>
      <c r="K611" s="198">
        <v>60108.74</v>
      </c>
    </row>
    <row r="612" spans="3:11" x14ac:dyDescent="0.2">
      <c r="C612" s="201" t="s">
        <v>6310</v>
      </c>
      <c r="D612" s="200">
        <v>44252</v>
      </c>
      <c r="E612" s="199" t="s">
        <v>6309</v>
      </c>
      <c r="I612" s="198">
        <v>5.76</v>
      </c>
      <c r="K612" s="198">
        <v>60114.5</v>
      </c>
    </row>
    <row r="613" spans="3:11" x14ac:dyDescent="0.2">
      <c r="C613" s="201" t="s">
        <v>6308</v>
      </c>
      <c r="D613" s="200">
        <v>44252</v>
      </c>
      <c r="E613" s="199" t="s">
        <v>6307</v>
      </c>
      <c r="I613" s="198">
        <v>16.760000000000002</v>
      </c>
      <c r="K613" s="198">
        <v>60131.26</v>
      </c>
    </row>
    <row r="614" spans="3:11" x14ac:dyDescent="0.2">
      <c r="C614" s="201" t="s">
        <v>6306</v>
      </c>
      <c r="D614" s="200">
        <v>44252</v>
      </c>
      <c r="E614" s="199" t="s">
        <v>6305</v>
      </c>
      <c r="I614" s="198">
        <v>8.3800000000000008</v>
      </c>
      <c r="K614" s="198">
        <v>60139.64</v>
      </c>
    </row>
    <row r="615" spans="3:11" x14ac:dyDescent="0.2">
      <c r="C615" s="201" t="s">
        <v>6304</v>
      </c>
      <c r="D615" s="200">
        <v>44252</v>
      </c>
      <c r="E615" s="199" t="s">
        <v>6303</v>
      </c>
      <c r="I615" s="198">
        <v>16.760000000000002</v>
      </c>
      <c r="K615" s="198">
        <v>60156.4</v>
      </c>
    </row>
    <row r="616" spans="3:11" x14ac:dyDescent="0.2">
      <c r="C616" s="201" t="s">
        <v>6302</v>
      </c>
      <c r="D616" s="200">
        <v>44252</v>
      </c>
      <c r="E616" s="199" t="s">
        <v>6301</v>
      </c>
      <c r="I616" s="198">
        <v>1.68</v>
      </c>
      <c r="K616" s="198">
        <v>60158.080000000002</v>
      </c>
    </row>
    <row r="617" spans="3:11" x14ac:dyDescent="0.2">
      <c r="C617" s="201" t="s">
        <v>6300</v>
      </c>
      <c r="D617" s="200">
        <v>44252</v>
      </c>
      <c r="E617" s="199" t="s">
        <v>6299</v>
      </c>
      <c r="I617" s="198">
        <v>1.98</v>
      </c>
      <c r="K617" s="198">
        <v>60160.06</v>
      </c>
    </row>
    <row r="618" spans="3:11" x14ac:dyDescent="0.2">
      <c r="C618" s="201" t="s">
        <v>6298</v>
      </c>
      <c r="D618" s="200">
        <v>44252</v>
      </c>
      <c r="E618" s="199" t="s">
        <v>6297</v>
      </c>
      <c r="I618" s="198">
        <v>1.68</v>
      </c>
      <c r="K618" s="198">
        <v>60161.74</v>
      </c>
    </row>
    <row r="619" spans="3:11" x14ac:dyDescent="0.2">
      <c r="C619" s="201" t="s">
        <v>6296</v>
      </c>
      <c r="D619" s="200">
        <v>44252</v>
      </c>
      <c r="E619" s="199" t="s">
        <v>6295</v>
      </c>
      <c r="I619" s="198">
        <v>1.94</v>
      </c>
      <c r="K619" s="198">
        <v>60163.68</v>
      </c>
    </row>
    <row r="620" spans="3:11" x14ac:dyDescent="0.2">
      <c r="C620" s="201" t="s">
        <v>6294</v>
      </c>
      <c r="D620" s="200">
        <v>44252</v>
      </c>
      <c r="E620" s="199" t="s">
        <v>6293</v>
      </c>
      <c r="I620" s="198">
        <v>5</v>
      </c>
      <c r="K620" s="198">
        <v>60168.68</v>
      </c>
    </row>
    <row r="621" spans="3:11" x14ac:dyDescent="0.2">
      <c r="C621" s="201" t="s">
        <v>6292</v>
      </c>
      <c r="D621" s="200">
        <v>44252</v>
      </c>
      <c r="E621" s="199" t="s">
        <v>6291</v>
      </c>
      <c r="I621" s="198">
        <v>80.650000000000006</v>
      </c>
      <c r="K621" s="198">
        <v>60249.33</v>
      </c>
    </row>
    <row r="622" spans="3:11" x14ac:dyDescent="0.2">
      <c r="C622" s="201" t="s">
        <v>6290</v>
      </c>
      <c r="D622" s="200">
        <v>44253</v>
      </c>
      <c r="E622" s="199" t="s">
        <v>6289</v>
      </c>
      <c r="I622" s="198">
        <v>1.86</v>
      </c>
      <c r="K622" s="198">
        <v>60251.19</v>
      </c>
    </row>
    <row r="623" spans="3:11" x14ac:dyDescent="0.2">
      <c r="C623" s="201" t="s">
        <v>6288</v>
      </c>
      <c r="D623" s="200">
        <v>44253</v>
      </c>
      <c r="E623" s="199" t="s">
        <v>6287</v>
      </c>
      <c r="I623" s="198">
        <v>5.47</v>
      </c>
      <c r="K623" s="198">
        <v>60256.66</v>
      </c>
    </row>
    <row r="624" spans="3:11" x14ac:dyDescent="0.2">
      <c r="C624" s="201" t="s">
        <v>6286</v>
      </c>
      <c r="D624" s="200">
        <v>44253</v>
      </c>
      <c r="E624" s="199" t="s">
        <v>6285</v>
      </c>
      <c r="I624" s="198">
        <v>5</v>
      </c>
      <c r="K624" s="198">
        <v>60261.66</v>
      </c>
    </row>
    <row r="625" spans="3:11" x14ac:dyDescent="0.2">
      <c r="C625" s="201" t="s">
        <v>6284</v>
      </c>
      <c r="D625" s="200">
        <v>44253</v>
      </c>
      <c r="E625" s="199" t="s">
        <v>6283</v>
      </c>
      <c r="I625" s="198">
        <v>5.27</v>
      </c>
      <c r="K625" s="198">
        <v>60266.93</v>
      </c>
    </row>
    <row r="626" spans="3:11" x14ac:dyDescent="0.2">
      <c r="C626" s="201" t="s">
        <v>6282</v>
      </c>
      <c r="D626" s="200">
        <v>44253</v>
      </c>
      <c r="E626" s="199" t="s">
        <v>6281</v>
      </c>
      <c r="I626" s="198">
        <v>21.43</v>
      </c>
      <c r="K626" s="198">
        <v>60288.36</v>
      </c>
    </row>
    <row r="627" spans="3:11" x14ac:dyDescent="0.2">
      <c r="C627" s="201" t="s">
        <v>6280</v>
      </c>
      <c r="D627" s="200">
        <v>44253</v>
      </c>
      <c r="E627" s="199" t="s">
        <v>6279</v>
      </c>
      <c r="I627" s="198">
        <v>5.04</v>
      </c>
      <c r="K627" s="198">
        <v>60293.4</v>
      </c>
    </row>
    <row r="628" spans="3:11" x14ac:dyDescent="0.2">
      <c r="C628" s="201" t="s">
        <v>6278</v>
      </c>
      <c r="D628" s="200">
        <v>44253</v>
      </c>
      <c r="E628" s="199" t="s">
        <v>6277</v>
      </c>
      <c r="I628" s="198">
        <v>3.89</v>
      </c>
      <c r="K628" s="198">
        <v>60297.29</v>
      </c>
    </row>
    <row r="629" spans="3:11" x14ac:dyDescent="0.2">
      <c r="C629" s="201" t="s">
        <v>6276</v>
      </c>
      <c r="D629" s="200">
        <v>44253</v>
      </c>
      <c r="E629" s="199" t="s">
        <v>6275</v>
      </c>
      <c r="I629" s="198">
        <v>14.74</v>
      </c>
      <c r="K629" s="198">
        <v>60312.03</v>
      </c>
    </row>
    <row r="630" spans="3:11" x14ac:dyDescent="0.2">
      <c r="C630" s="201" t="s">
        <v>6274</v>
      </c>
      <c r="D630" s="200">
        <v>44253</v>
      </c>
      <c r="E630" s="199" t="s">
        <v>6273</v>
      </c>
      <c r="I630" s="198">
        <v>3.9</v>
      </c>
      <c r="K630" s="198">
        <v>60315.93</v>
      </c>
    </row>
    <row r="631" spans="3:11" x14ac:dyDescent="0.2">
      <c r="C631" s="201" t="s">
        <v>6272</v>
      </c>
      <c r="D631" s="200">
        <v>44253</v>
      </c>
      <c r="E631" s="199" t="s">
        <v>6271</v>
      </c>
      <c r="I631" s="198">
        <v>2.35</v>
      </c>
      <c r="K631" s="198">
        <v>60318.28</v>
      </c>
    </row>
    <row r="632" spans="3:11" x14ac:dyDescent="0.2">
      <c r="C632" s="201" t="s">
        <v>6270</v>
      </c>
      <c r="D632" s="200">
        <v>44253</v>
      </c>
      <c r="E632" s="199" t="s">
        <v>6269</v>
      </c>
      <c r="I632" s="198">
        <v>5.08</v>
      </c>
      <c r="K632" s="198">
        <v>60323.360000000001</v>
      </c>
    </row>
    <row r="633" spans="3:11" x14ac:dyDescent="0.2">
      <c r="C633" s="201" t="s">
        <v>6268</v>
      </c>
      <c r="D633" s="200">
        <v>44253</v>
      </c>
      <c r="E633" s="199" t="s">
        <v>6267</v>
      </c>
      <c r="I633" s="198">
        <v>6.31</v>
      </c>
      <c r="K633" s="198">
        <v>60329.67</v>
      </c>
    </row>
    <row r="634" spans="3:11" x14ac:dyDescent="0.2">
      <c r="C634" s="201" t="s">
        <v>6266</v>
      </c>
      <c r="D634" s="200">
        <v>44253</v>
      </c>
      <c r="E634" s="199" t="s">
        <v>6265</v>
      </c>
      <c r="I634" s="198">
        <v>6.24</v>
      </c>
      <c r="K634" s="198">
        <v>60335.91</v>
      </c>
    </row>
    <row r="635" spans="3:11" x14ac:dyDescent="0.2">
      <c r="C635" s="201" t="s">
        <v>6264</v>
      </c>
      <c r="D635" s="200">
        <v>44253</v>
      </c>
      <c r="E635" s="199" t="s">
        <v>6263</v>
      </c>
      <c r="I635" s="198">
        <v>6.84</v>
      </c>
      <c r="K635" s="198">
        <v>60342.75</v>
      </c>
    </row>
    <row r="636" spans="3:11" x14ac:dyDescent="0.2">
      <c r="C636" s="201" t="s">
        <v>6262</v>
      </c>
      <c r="D636" s="200">
        <v>44253</v>
      </c>
      <c r="E636" s="199" t="s">
        <v>6261</v>
      </c>
      <c r="I636" s="198">
        <v>1.68</v>
      </c>
      <c r="K636" s="198">
        <v>60344.43</v>
      </c>
    </row>
    <row r="637" spans="3:11" x14ac:dyDescent="0.2">
      <c r="C637" s="201" t="s">
        <v>6260</v>
      </c>
      <c r="D637" s="200">
        <v>44253</v>
      </c>
      <c r="E637" s="199" t="s">
        <v>6259</v>
      </c>
      <c r="I637" s="198">
        <v>1.7</v>
      </c>
      <c r="K637" s="198">
        <v>60346.13</v>
      </c>
    </row>
    <row r="638" spans="3:11" x14ac:dyDescent="0.2">
      <c r="C638" s="201" t="s">
        <v>6258</v>
      </c>
      <c r="D638" s="200">
        <v>44253</v>
      </c>
      <c r="E638" s="199" t="s">
        <v>6257</v>
      </c>
      <c r="I638" s="198">
        <v>0.62</v>
      </c>
      <c r="K638" s="198">
        <v>60346.75</v>
      </c>
    </row>
    <row r="639" spans="3:11" x14ac:dyDescent="0.2">
      <c r="C639" s="201" t="s">
        <v>6256</v>
      </c>
      <c r="D639" s="200">
        <v>44253</v>
      </c>
      <c r="E639" s="199" t="s">
        <v>6255</v>
      </c>
      <c r="I639" s="198">
        <v>7.25</v>
      </c>
      <c r="K639" s="198">
        <v>60354</v>
      </c>
    </row>
    <row r="640" spans="3:11" x14ac:dyDescent="0.2">
      <c r="C640" s="201" t="s">
        <v>6254</v>
      </c>
      <c r="D640" s="200">
        <v>44253</v>
      </c>
      <c r="E640" s="199" t="s">
        <v>6253</v>
      </c>
      <c r="I640" s="198">
        <v>1.68</v>
      </c>
      <c r="K640" s="198">
        <v>60355.68</v>
      </c>
    </row>
    <row r="641" spans="3:11" x14ac:dyDescent="0.2">
      <c r="C641" s="201" t="s">
        <v>6252</v>
      </c>
      <c r="D641" s="200">
        <v>44253</v>
      </c>
      <c r="E641" s="199" t="s">
        <v>6251</v>
      </c>
      <c r="I641" s="198">
        <v>5.05</v>
      </c>
      <c r="K641" s="198">
        <v>60360.73</v>
      </c>
    </row>
    <row r="642" spans="3:11" x14ac:dyDescent="0.2">
      <c r="C642" s="201" t="s">
        <v>6250</v>
      </c>
      <c r="D642" s="200">
        <v>44253</v>
      </c>
      <c r="E642" s="199" t="s">
        <v>6249</v>
      </c>
      <c r="I642" s="198">
        <v>3.11</v>
      </c>
      <c r="K642" s="198">
        <v>60363.839999999997</v>
      </c>
    </row>
    <row r="643" spans="3:11" x14ac:dyDescent="0.2">
      <c r="C643" s="201" t="s">
        <v>6248</v>
      </c>
      <c r="D643" s="200">
        <v>44253</v>
      </c>
      <c r="E643" s="199" t="s">
        <v>6247</v>
      </c>
      <c r="I643" s="198">
        <v>10.65</v>
      </c>
      <c r="K643" s="198">
        <v>60374.49</v>
      </c>
    </row>
    <row r="644" spans="3:11" x14ac:dyDescent="0.2">
      <c r="C644" s="201" t="s">
        <v>6246</v>
      </c>
      <c r="D644" s="200">
        <v>44253</v>
      </c>
      <c r="E644" s="199" t="s">
        <v>6245</v>
      </c>
      <c r="I644" s="198">
        <v>10.7</v>
      </c>
      <c r="K644" s="198">
        <v>60385.19</v>
      </c>
    </row>
    <row r="645" spans="3:11" x14ac:dyDescent="0.2">
      <c r="C645" s="201" t="s">
        <v>6244</v>
      </c>
      <c r="D645" s="200">
        <v>44253</v>
      </c>
      <c r="E645" s="199" t="s">
        <v>6243</v>
      </c>
      <c r="I645" s="198">
        <v>4.78</v>
      </c>
      <c r="K645" s="198">
        <v>60389.97</v>
      </c>
    </row>
    <row r="646" spans="3:11" x14ac:dyDescent="0.2">
      <c r="C646" s="201" t="s">
        <v>6242</v>
      </c>
      <c r="D646" s="200">
        <v>44253</v>
      </c>
      <c r="E646" s="199" t="s">
        <v>6241</v>
      </c>
      <c r="I646" s="198">
        <v>5.82</v>
      </c>
      <c r="K646" s="198">
        <v>60395.79</v>
      </c>
    </row>
    <row r="647" spans="3:11" x14ac:dyDescent="0.2">
      <c r="C647" s="201" t="s">
        <v>6240</v>
      </c>
      <c r="D647" s="200">
        <v>44253</v>
      </c>
      <c r="E647" s="199" t="s">
        <v>6239</v>
      </c>
      <c r="I647" s="198">
        <v>14.57</v>
      </c>
      <c r="K647" s="198">
        <v>60410.36</v>
      </c>
    </row>
    <row r="648" spans="3:11" x14ac:dyDescent="0.2">
      <c r="C648" s="201" t="s">
        <v>6238</v>
      </c>
      <c r="D648" s="200">
        <v>44253</v>
      </c>
      <c r="E648" s="199" t="s">
        <v>6237</v>
      </c>
      <c r="I648" s="198">
        <v>5.04</v>
      </c>
      <c r="K648" s="198">
        <v>60415.4</v>
      </c>
    </row>
    <row r="649" spans="3:11" x14ac:dyDescent="0.2">
      <c r="C649" s="201" t="s">
        <v>6236</v>
      </c>
      <c r="D649" s="200">
        <v>44253</v>
      </c>
      <c r="E649" s="199" t="s">
        <v>6235</v>
      </c>
      <c r="I649" s="198">
        <v>5.93</v>
      </c>
      <c r="K649" s="198">
        <v>60421.33</v>
      </c>
    </row>
    <row r="650" spans="3:11" x14ac:dyDescent="0.2">
      <c r="C650" s="201" t="s">
        <v>6234</v>
      </c>
      <c r="D650" s="200">
        <v>44253</v>
      </c>
      <c r="E650" s="199" t="s">
        <v>6233</v>
      </c>
      <c r="I650" s="198">
        <v>20.6</v>
      </c>
      <c r="K650" s="198">
        <v>60441.93</v>
      </c>
    </row>
    <row r="651" spans="3:11" x14ac:dyDescent="0.2">
      <c r="C651" s="201" t="s">
        <v>6232</v>
      </c>
      <c r="D651" s="200">
        <v>44253</v>
      </c>
      <c r="E651" s="199" t="s">
        <v>6231</v>
      </c>
      <c r="I651" s="198">
        <v>6.08</v>
      </c>
      <c r="K651" s="198">
        <v>60448.01</v>
      </c>
    </row>
    <row r="652" spans="3:11" x14ac:dyDescent="0.2">
      <c r="C652" s="201" t="s">
        <v>6230</v>
      </c>
      <c r="D652" s="200">
        <v>44253</v>
      </c>
      <c r="E652" s="199" t="s">
        <v>6229</v>
      </c>
      <c r="I652" s="198">
        <v>2.2200000000000002</v>
      </c>
      <c r="K652" s="198">
        <v>60450.23</v>
      </c>
    </row>
    <row r="653" spans="3:11" x14ac:dyDescent="0.2">
      <c r="C653" s="201" t="s">
        <v>6228</v>
      </c>
      <c r="D653" s="200">
        <v>44253</v>
      </c>
      <c r="E653" s="199" t="s">
        <v>6227</v>
      </c>
      <c r="I653" s="198">
        <v>3.53</v>
      </c>
      <c r="K653" s="198">
        <v>60453.760000000002</v>
      </c>
    </row>
    <row r="654" spans="3:11" x14ac:dyDescent="0.2">
      <c r="C654" s="201" t="s">
        <v>6226</v>
      </c>
      <c r="D654" s="200">
        <v>44253</v>
      </c>
      <c r="E654" s="199" t="s">
        <v>6225</v>
      </c>
      <c r="I654" s="198">
        <v>17.899999999999999</v>
      </c>
      <c r="K654" s="198">
        <v>60471.66</v>
      </c>
    </row>
    <row r="655" spans="3:11" x14ac:dyDescent="0.2">
      <c r="C655" s="201" t="s">
        <v>6224</v>
      </c>
      <c r="D655" s="200">
        <v>44253</v>
      </c>
      <c r="E655" s="199" t="s">
        <v>6223</v>
      </c>
      <c r="I655" s="198">
        <v>4.01</v>
      </c>
      <c r="K655" s="198">
        <v>60475.67</v>
      </c>
    </row>
    <row r="656" spans="3:11" x14ac:dyDescent="0.2">
      <c r="C656" s="201" t="s">
        <v>6222</v>
      </c>
      <c r="D656" s="200">
        <v>44253</v>
      </c>
      <c r="E656" s="199" t="s">
        <v>6221</v>
      </c>
      <c r="I656" s="198">
        <v>1.99</v>
      </c>
      <c r="K656" s="198">
        <v>60477.66</v>
      </c>
    </row>
    <row r="657" spans="3:11" x14ac:dyDescent="0.2">
      <c r="C657" s="201" t="s">
        <v>6220</v>
      </c>
      <c r="D657" s="200">
        <v>44253</v>
      </c>
      <c r="E657" s="199" t="s">
        <v>6219</v>
      </c>
      <c r="I657" s="198">
        <v>6.37</v>
      </c>
      <c r="K657" s="198">
        <v>60484.03</v>
      </c>
    </row>
    <row r="658" spans="3:11" x14ac:dyDescent="0.2">
      <c r="C658" s="201" t="s">
        <v>6218</v>
      </c>
      <c r="D658" s="200">
        <v>44253</v>
      </c>
      <c r="E658" s="199" t="s">
        <v>6217</v>
      </c>
      <c r="I658" s="198">
        <v>2.2400000000000002</v>
      </c>
      <c r="K658" s="198">
        <v>60486.27</v>
      </c>
    </row>
    <row r="659" spans="3:11" x14ac:dyDescent="0.2">
      <c r="C659" s="201" t="s">
        <v>6216</v>
      </c>
      <c r="D659" s="200">
        <v>44253</v>
      </c>
      <c r="E659" s="199" t="s">
        <v>6215</v>
      </c>
      <c r="I659" s="198">
        <v>2.09</v>
      </c>
      <c r="K659" s="198">
        <v>60488.36</v>
      </c>
    </row>
    <row r="660" spans="3:11" x14ac:dyDescent="0.2">
      <c r="C660" s="201" t="s">
        <v>6214</v>
      </c>
      <c r="D660" s="200">
        <v>44253</v>
      </c>
      <c r="E660" s="199" t="s">
        <v>6213</v>
      </c>
      <c r="I660" s="198">
        <v>1.68</v>
      </c>
      <c r="K660" s="198">
        <v>60490.04</v>
      </c>
    </row>
    <row r="661" spans="3:11" x14ac:dyDescent="0.2">
      <c r="C661" s="201" t="s">
        <v>6212</v>
      </c>
      <c r="D661" s="200">
        <v>44253</v>
      </c>
      <c r="E661" s="199" t="s">
        <v>6211</v>
      </c>
      <c r="I661" s="198">
        <v>1.98</v>
      </c>
      <c r="K661" s="198">
        <v>60492.02</v>
      </c>
    </row>
    <row r="662" spans="3:11" x14ac:dyDescent="0.2">
      <c r="C662" s="201" t="s">
        <v>6210</v>
      </c>
      <c r="D662" s="200">
        <v>44253</v>
      </c>
      <c r="E662" s="199" t="s">
        <v>6209</v>
      </c>
      <c r="I662" s="198">
        <v>4.1900000000000004</v>
      </c>
      <c r="K662" s="198">
        <v>60496.21</v>
      </c>
    </row>
    <row r="663" spans="3:11" x14ac:dyDescent="0.2">
      <c r="C663" s="201" t="s">
        <v>6208</v>
      </c>
      <c r="D663" s="200">
        <v>44253</v>
      </c>
      <c r="E663" s="199" t="s">
        <v>6207</v>
      </c>
      <c r="I663" s="198">
        <v>2.15</v>
      </c>
      <c r="K663" s="198">
        <v>60498.36</v>
      </c>
    </row>
    <row r="664" spans="3:11" x14ac:dyDescent="0.2">
      <c r="C664" s="201" t="s">
        <v>6206</v>
      </c>
      <c r="D664" s="200">
        <v>44253</v>
      </c>
      <c r="E664" s="199" t="s">
        <v>6205</v>
      </c>
      <c r="I664" s="198">
        <v>12.3</v>
      </c>
      <c r="K664" s="198">
        <v>60510.66</v>
      </c>
    </row>
    <row r="665" spans="3:11" x14ac:dyDescent="0.2">
      <c r="C665" s="201" t="s">
        <v>6204</v>
      </c>
      <c r="D665" s="200">
        <v>44253</v>
      </c>
      <c r="E665" s="199" t="s">
        <v>6203</v>
      </c>
      <c r="I665" s="198">
        <v>2.4500000000000002</v>
      </c>
      <c r="K665" s="198">
        <v>60513.11</v>
      </c>
    </row>
    <row r="666" spans="3:11" x14ac:dyDescent="0.2">
      <c r="C666" s="201" t="s">
        <v>6202</v>
      </c>
      <c r="D666" s="200">
        <v>44253</v>
      </c>
      <c r="E666" s="199" t="s">
        <v>6201</v>
      </c>
      <c r="I666" s="198">
        <v>15.3</v>
      </c>
      <c r="K666" s="198">
        <v>60528.41</v>
      </c>
    </row>
    <row r="667" spans="3:11" x14ac:dyDescent="0.2">
      <c r="C667" s="201" t="s">
        <v>6200</v>
      </c>
      <c r="D667" s="200">
        <v>44253</v>
      </c>
      <c r="E667" s="199" t="s">
        <v>6199</v>
      </c>
      <c r="I667" s="198">
        <v>24.6</v>
      </c>
      <c r="K667" s="198">
        <v>60553.01</v>
      </c>
    </row>
    <row r="668" spans="3:11" x14ac:dyDescent="0.2">
      <c r="C668" s="201" t="s">
        <v>6198</v>
      </c>
      <c r="D668" s="200">
        <v>44253</v>
      </c>
      <c r="E668" s="199" t="s">
        <v>6197</v>
      </c>
      <c r="I668" s="198">
        <v>5.99</v>
      </c>
      <c r="K668" s="198">
        <v>60559</v>
      </c>
    </row>
    <row r="669" spans="3:11" x14ac:dyDescent="0.2">
      <c r="C669" s="201" t="s">
        <v>6196</v>
      </c>
      <c r="D669" s="200">
        <v>44253</v>
      </c>
      <c r="E669" s="199" t="s">
        <v>6195</v>
      </c>
      <c r="I669" s="198">
        <v>23.46</v>
      </c>
      <c r="K669" s="198">
        <v>60582.46</v>
      </c>
    </row>
    <row r="670" spans="3:11" x14ac:dyDescent="0.2">
      <c r="C670" s="201" t="s">
        <v>6194</v>
      </c>
      <c r="D670" s="200">
        <v>44253</v>
      </c>
      <c r="E670" s="199" t="s">
        <v>6193</v>
      </c>
      <c r="I670" s="198">
        <v>14.85</v>
      </c>
      <c r="K670" s="198">
        <v>60597.31</v>
      </c>
    </row>
    <row r="671" spans="3:11" x14ac:dyDescent="0.2">
      <c r="C671" s="201" t="s">
        <v>6192</v>
      </c>
      <c r="D671" s="200">
        <v>44253</v>
      </c>
      <c r="E671" s="199" t="s">
        <v>6191</v>
      </c>
      <c r="I671" s="198">
        <v>2.81</v>
      </c>
      <c r="K671" s="198">
        <v>60600.12</v>
      </c>
    </row>
    <row r="672" spans="3:11" x14ac:dyDescent="0.2">
      <c r="C672" s="201" t="s">
        <v>6190</v>
      </c>
      <c r="D672" s="200">
        <v>44253</v>
      </c>
      <c r="E672" s="199" t="s">
        <v>6189</v>
      </c>
      <c r="I672" s="198">
        <v>1.68</v>
      </c>
      <c r="K672" s="198">
        <v>60601.8</v>
      </c>
    </row>
    <row r="673" spans="3:11" x14ac:dyDescent="0.2">
      <c r="C673" s="201" t="s">
        <v>6188</v>
      </c>
      <c r="D673" s="200">
        <v>44253</v>
      </c>
      <c r="E673" s="199" t="s">
        <v>6187</v>
      </c>
      <c r="I673" s="198">
        <v>7.76</v>
      </c>
      <c r="K673" s="198">
        <v>60609.56</v>
      </c>
    </row>
    <row r="674" spans="3:11" x14ac:dyDescent="0.2">
      <c r="C674" s="201" t="s">
        <v>6186</v>
      </c>
      <c r="D674" s="200">
        <v>44253</v>
      </c>
      <c r="E674" s="199" t="s">
        <v>6185</v>
      </c>
      <c r="I674" s="198">
        <v>2.36</v>
      </c>
      <c r="K674" s="198">
        <v>60611.92</v>
      </c>
    </row>
    <row r="675" spans="3:11" x14ac:dyDescent="0.2">
      <c r="C675" s="201" t="s">
        <v>6184</v>
      </c>
      <c r="D675" s="200">
        <v>44253</v>
      </c>
      <c r="E675" s="199" t="s">
        <v>6183</v>
      </c>
      <c r="I675" s="198">
        <v>5584.67</v>
      </c>
      <c r="K675" s="198">
        <v>66196.59</v>
      </c>
    </row>
    <row r="676" spans="3:11" x14ac:dyDescent="0.2">
      <c r="C676" s="201" t="s">
        <v>6182</v>
      </c>
      <c r="D676" s="200">
        <v>44253</v>
      </c>
      <c r="E676" s="199" t="s">
        <v>6181</v>
      </c>
      <c r="I676" s="198">
        <v>1.68</v>
      </c>
      <c r="K676" s="198">
        <v>66198.27</v>
      </c>
    </row>
    <row r="677" spans="3:11" x14ac:dyDescent="0.2">
      <c r="C677" s="201" t="s">
        <v>6180</v>
      </c>
      <c r="D677" s="200">
        <v>44253</v>
      </c>
      <c r="E677" s="199" t="s">
        <v>6179</v>
      </c>
      <c r="J677" s="222">
        <v>600</v>
      </c>
      <c r="K677" s="198">
        <v>65598.27</v>
      </c>
    </row>
    <row r="678" spans="3:11" x14ac:dyDescent="0.2">
      <c r="C678" s="201" t="s">
        <v>6178</v>
      </c>
      <c r="D678" s="200">
        <v>44253</v>
      </c>
      <c r="E678" s="199" t="s">
        <v>6177</v>
      </c>
      <c r="J678" s="222">
        <v>1663.42</v>
      </c>
      <c r="K678" s="198">
        <v>63934.85</v>
      </c>
    </row>
    <row r="679" spans="3:11" x14ac:dyDescent="0.2">
      <c r="C679" s="201" t="s">
        <v>6176</v>
      </c>
      <c r="D679" s="200">
        <v>44253</v>
      </c>
      <c r="E679" s="199" t="s">
        <v>6175</v>
      </c>
      <c r="J679" s="222">
        <v>2972.49</v>
      </c>
      <c r="K679" s="198">
        <v>60962.36</v>
      </c>
    </row>
    <row r="680" spans="3:11" x14ac:dyDescent="0.2">
      <c r="C680" s="201" t="s">
        <v>6174</v>
      </c>
      <c r="D680" s="200">
        <v>44254</v>
      </c>
      <c r="E680" s="199" t="s">
        <v>6173</v>
      </c>
      <c r="J680" s="222">
        <v>108.77</v>
      </c>
      <c r="K680" s="198">
        <v>60853.59</v>
      </c>
    </row>
    <row r="681" spans="3:11" x14ac:dyDescent="0.2">
      <c r="C681" s="201" t="s">
        <v>6172</v>
      </c>
      <c r="D681" s="200">
        <v>44254</v>
      </c>
      <c r="E681" s="199" t="s">
        <v>6171</v>
      </c>
      <c r="I681" s="198">
        <v>2.12</v>
      </c>
      <c r="K681" s="198">
        <v>60855.71</v>
      </c>
    </row>
    <row r="682" spans="3:11" x14ac:dyDescent="0.2">
      <c r="C682" s="201" t="s">
        <v>6170</v>
      </c>
      <c r="D682" s="200">
        <v>44254</v>
      </c>
      <c r="E682" s="199" t="s">
        <v>6169</v>
      </c>
      <c r="I682" s="198">
        <v>8.8699999999999992</v>
      </c>
      <c r="K682" s="198">
        <v>60864.58</v>
      </c>
    </row>
    <row r="683" spans="3:11" x14ac:dyDescent="0.2">
      <c r="C683" s="201" t="s">
        <v>6168</v>
      </c>
      <c r="D683" s="200">
        <v>44254</v>
      </c>
      <c r="E683" s="199" t="s">
        <v>6167</v>
      </c>
      <c r="I683" s="198">
        <v>3.48</v>
      </c>
      <c r="K683" s="198">
        <v>60868.06</v>
      </c>
    </row>
    <row r="684" spans="3:11" x14ac:dyDescent="0.2">
      <c r="C684" s="201" t="s">
        <v>6166</v>
      </c>
      <c r="D684" s="200">
        <v>44254</v>
      </c>
      <c r="E684" s="199" t="s">
        <v>6165</v>
      </c>
      <c r="I684" s="198">
        <v>4.76</v>
      </c>
      <c r="K684" s="198">
        <v>60872.82</v>
      </c>
    </row>
    <row r="685" spans="3:11" x14ac:dyDescent="0.2">
      <c r="C685" s="201" t="s">
        <v>6164</v>
      </c>
      <c r="D685" s="200">
        <v>44254</v>
      </c>
      <c r="E685" s="199" t="s">
        <v>6163</v>
      </c>
      <c r="I685" s="198">
        <v>5.48</v>
      </c>
      <c r="K685" s="198">
        <v>60878.3</v>
      </c>
    </row>
    <row r="686" spans="3:11" x14ac:dyDescent="0.2">
      <c r="C686" s="201" t="s">
        <v>6162</v>
      </c>
      <c r="D686" s="200">
        <v>44254</v>
      </c>
      <c r="E686" s="199" t="s">
        <v>6161</v>
      </c>
      <c r="I686" s="198">
        <v>1.75</v>
      </c>
      <c r="K686" s="198">
        <v>60880.05</v>
      </c>
    </row>
    <row r="687" spans="3:11" x14ac:dyDescent="0.2">
      <c r="C687" s="201" t="s">
        <v>6160</v>
      </c>
      <c r="D687" s="200">
        <v>44254</v>
      </c>
      <c r="E687" s="199" t="s">
        <v>6159</v>
      </c>
      <c r="I687" s="198">
        <v>5.94</v>
      </c>
      <c r="K687" s="198">
        <v>60885.99</v>
      </c>
    </row>
    <row r="688" spans="3:11" x14ac:dyDescent="0.2">
      <c r="C688" s="201" t="s">
        <v>6158</v>
      </c>
      <c r="D688" s="200">
        <v>44254</v>
      </c>
      <c r="E688" s="199" t="s">
        <v>6157</v>
      </c>
      <c r="I688" s="198">
        <v>3.96</v>
      </c>
      <c r="K688" s="198">
        <v>60889.95</v>
      </c>
    </row>
    <row r="689" spans="3:11" x14ac:dyDescent="0.2">
      <c r="C689" s="201" t="s">
        <v>6156</v>
      </c>
      <c r="D689" s="200">
        <v>44254</v>
      </c>
      <c r="E689" s="199" t="s">
        <v>6155</v>
      </c>
      <c r="I689" s="198">
        <v>3.16</v>
      </c>
      <c r="K689" s="198">
        <v>60893.11</v>
      </c>
    </row>
    <row r="690" spans="3:11" x14ac:dyDescent="0.2">
      <c r="C690" s="201" t="s">
        <v>6154</v>
      </c>
      <c r="D690" s="200">
        <v>44254</v>
      </c>
      <c r="E690" s="199" t="s">
        <v>6153</v>
      </c>
      <c r="I690" s="198">
        <v>5.0599999999999996</v>
      </c>
      <c r="K690" s="198">
        <v>60898.17</v>
      </c>
    </row>
    <row r="691" spans="3:11" x14ac:dyDescent="0.2">
      <c r="C691" s="201" t="s">
        <v>6152</v>
      </c>
      <c r="D691" s="200">
        <v>44254</v>
      </c>
      <c r="E691" s="199" t="s">
        <v>6151</v>
      </c>
      <c r="I691" s="198">
        <v>2.4500000000000002</v>
      </c>
      <c r="K691" s="198">
        <v>60900.62</v>
      </c>
    </row>
    <row r="692" spans="3:11" x14ac:dyDescent="0.2">
      <c r="C692" s="201" t="s">
        <v>6150</v>
      </c>
      <c r="D692" s="200">
        <v>44254</v>
      </c>
      <c r="E692" s="199" t="s">
        <v>6149</v>
      </c>
      <c r="I692" s="198">
        <v>15.1</v>
      </c>
      <c r="K692" s="198">
        <v>60915.72</v>
      </c>
    </row>
    <row r="693" spans="3:11" x14ac:dyDescent="0.2">
      <c r="C693" s="201" t="s">
        <v>6148</v>
      </c>
      <c r="D693" s="200">
        <v>44254</v>
      </c>
      <c r="E693" s="199" t="s">
        <v>6147</v>
      </c>
      <c r="I693" s="198">
        <v>10.47</v>
      </c>
      <c r="K693" s="198">
        <v>60926.19</v>
      </c>
    </row>
    <row r="694" spans="3:11" x14ac:dyDescent="0.2">
      <c r="C694" s="201" t="s">
        <v>6146</v>
      </c>
      <c r="D694" s="200">
        <v>44255</v>
      </c>
      <c r="E694" s="199" t="s">
        <v>6145</v>
      </c>
      <c r="I694" s="198">
        <v>5.24</v>
      </c>
      <c r="K694" s="198">
        <v>60931.43</v>
      </c>
    </row>
    <row r="695" spans="3:11" x14ac:dyDescent="0.2">
      <c r="C695" s="201" t="s">
        <v>6144</v>
      </c>
      <c r="D695" s="200">
        <v>44255</v>
      </c>
      <c r="E695" s="199" t="s">
        <v>6143</v>
      </c>
      <c r="I695" s="198">
        <v>6.23</v>
      </c>
      <c r="K695" s="198">
        <v>60937.66</v>
      </c>
    </row>
    <row r="696" spans="3:11" x14ac:dyDescent="0.2">
      <c r="C696" s="201" t="s">
        <v>6142</v>
      </c>
      <c r="D696" s="200">
        <v>44255</v>
      </c>
      <c r="E696" s="199" t="s">
        <v>6141</v>
      </c>
      <c r="I696" s="198">
        <v>1.83</v>
      </c>
      <c r="K696" s="198">
        <v>60939.49</v>
      </c>
    </row>
    <row r="697" spans="3:11" x14ac:dyDescent="0.2">
      <c r="C697" s="201" t="s">
        <v>6140</v>
      </c>
      <c r="D697" s="200">
        <v>44255</v>
      </c>
      <c r="E697" s="199" t="s">
        <v>6139</v>
      </c>
      <c r="I697" s="198">
        <v>9.1300000000000008</v>
      </c>
      <c r="K697" s="198">
        <v>60948.62</v>
      </c>
    </row>
    <row r="698" spans="3:11" x14ac:dyDescent="0.2">
      <c r="C698" s="201" t="s">
        <v>6138</v>
      </c>
      <c r="D698" s="200">
        <v>44255</v>
      </c>
      <c r="E698" s="199" t="s">
        <v>6137</v>
      </c>
      <c r="I698" s="198">
        <v>2.15</v>
      </c>
      <c r="K698" s="198">
        <v>60950.77</v>
      </c>
    </row>
    <row r="699" spans="3:11" x14ac:dyDescent="0.2">
      <c r="C699" s="201" t="s">
        <v>6136</v>
      </c>
      <c r="D699" s="200">
        <v>44255</v>
      </c>
      <c r="E699" s="199" t="s">
        <v>6135</v>
      </c>
      <c r="I699" s="198">
        <v>7.77</v>
      </c>
      <c r="K699" s="198">
        <v>60958.54</v>
      </c>
    </row>
    <row r="700" spans="3:11" x14ac:dyDescent="0.2">
      <c r="C700" s="201" t="s">
        <v>6134</v>
      </c>
      <c r="D700" s="200">
        <v>44255</v>
      </c>
      <c r="E700" s="199" t="s">
        <v>6133</v>
      </c>
      <c r="I700" s="198">
        <v>2.02</v>
      </c>
      <c r="K700" s="198">
        <v>60960.56</v>
      </c>
    </row>
    <row r="701" spans="3:11" x14ac:dyDescent="0.2">
      <c r="C701" s="201" t="s">
        <v>6132</v>
      </c>
      <c r="D701" s="200">
        <v>44255</v>
      </c>
      <c r="E701" s="199" t="s">
        <v>6131</v>
      </c>
      <c r="I701" s="198">
        <v>5.19</v>
      </c>
      <c r="K701" s="198">
        <v>60965.75</v>
      </c>
    </row>
    <row r="702" spans="3:11" x14ac:dyDescent="0.2">
      <c r="C702" s="201" t="s">
        <v>6130</v>
      </c>
      <c r="D702" s="200">
        <v>44255</v>
      </c>
      <c r="E702" s="199" t="s">
        <v>6129</v>
      </c>
      <c r="I702" s="198">
        <v>1.42</v>
      </c>
      <c r="K702" s="198">
        <v>60967.17</v>
      </c>
    </row>
    <row r="703" spans="3:11" x14ac:dyDescent="0.2">
      <c r="C703" s="201" t="s">
        <v>12158</v>
      </c>
      <c r="D703" s="200">
        <v>44255</v>
      </c>
      <c r="E703" s="199" t="s">
        <v>20173</v>
      </c>
      <c r="J703" s="222">
        <v>119.35</v>
      </c>
      <c r="K703" s="198">
        <v>60847.82</v>
      </c>
    </row>
    <row r="704" spans="3:11" x14ac:dyDescent="0.2">
      <c r="C704" s="197" t="s">
        <v>22</v>
      </c>
      <c r="D704" s="196">
        <v>67070.62</v>
      </c>
      <c r="E704" s="197" t="s">
        <v>21</v>
      </c>
      <c r="F704" s="196">
        <v>21464.36</v>
      </c>
      <c r="G704" s="197" t="s">
        <v>20</v>
      </c>
      <c r="H704" s="196">
        <v>27687.16</v>
      </c>
      <c r="J704" s="197" t="s">
        <v>19</v>
      </c>
      <c r="K704" s="196">
        <v>60847.82</v>
      </c>
    </row>
    <row r="707" spans="5:11" x14ac:dyDescent="0.2">
      <c r="E707" s="87" t="s">
        <v>18</v>
      </c>
      <c r="K707" s="86" t="s">
        <v>17</v>
      </c>
    </row>
  </sheetData>
  <pageMargins left="0.75" right="0.75" top="1" bottom="1" header="0" footer="0"/>
  <pageSetup orientation="portrait" errors="NA" horizontalDpi="120" verticalDpi="72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E6EB2-BC14-4F9F-9DE8-D13AA4ED51BE}">
  <sheetPr>
    <pageSetUpPr fitToPage="1"/>
  </sheetPr>
  <dimension ref="A1:G210"/>
  <sheetViews>
    <sheetView topLeftCell="A98" workbookViewId="0">
      <selection activeCell="C209" sqref="C209"/>
    </sheetView>
  </sheetViews>
  <sheetFormatPr baseColWidth="10" defaultRowHeight="15" x14ac:dyDescent="0.25"/>
  <cols>
    <col min="2" max="2" width="45.42578125" customWidth="1"/>
    <col min="3" max="3" width="7.7109375" customWidth="1"/>
    <col min="4" max="4" width="12" customWidth="1"/>
    <col min="5" max="5" width="15.7109375" bestFit="1" customWidth="1"/>
    <col min="6" max="6" width="10.28515625" bestFit="1" customWidth="1"/>
    <col min="7" max="7" width="10.7109375" customWidth="1"/>
  </cols>
  <sheetData>
    <row r="1" spans="1:6" x14ac:dyDescent="0.25">
      <c r="A1" s="292" t="s">
        <v>3804</v>
      </c>
      <c r="B1" s="292"/>
      <c r="C1" s="292"/>
      <c r="D1" s="292"/>
      <c r="E1" s="292"/>
      <c r="F1" s="292"/>
    </row>
    <row r="2" spans="1:6" x14ac:dyDescent="0.25">
      <c r="A2" s="104" t="s">
        <v>542</v>
      </c>
      <c r="B2" s="104" t="s">
        <v>543</v>
      </c>
      <c r="C2" s="104" t="s">
        <v>9</v>
      </c>
      <c r="D2" s="104" t="s">
        <v>544</v>
      </c>
      <c r="E2" s="104" t="s">
        <v>5</v>
      </c>
      <c r="F2" s="104" t="s">
        <v>545</v>
      </c>
    </row>
    <row r="3" spans="1:6" x14ac:dyDescent="0.25">
      <c r="A3" s="105" t="str">
        <f>"3907377"</f>
        <v>3907377</v>
      </c>
      <c r="B3" s="105" t="s">
        <v>3803</v>
      </c>
      <c r="C3" s="107">
        <v>5.58</v>
      </c>
      <c r="D3" s="105">
        <v>352561</v>
      </c>
      <c r="E3" s="106">
        <v>44228.42287037037</v>
      </c>
      <c r="F3" s="104">
        <v>1499</v>
      </c>
    </row>
    <row r="4" spans="1:6" x14ac:dyDescent="0.25">
      <c r="A4" s="105" t="str">
        <f>"3909959"</f>
        <v>3909959</v>
      </c>
      <c r="B4" s="105" t="s">
        <v>3802</v>
      </c>
      <c r="C4" s="107">
        <v>4.09</v>
      </c>
      <c r="D4" s="105">
        <v>351492</v>
      </c>
      <c r="E4" s="106">
        <v>44228.45753472222</v>
      </c>
      <c r="F4" s="104">
        <v>1500</v>
      </c>
    </row>
    <row r="5" spans="1:6" x14ac:dyDescent="0.25">
      <c r="A5" s="105" t="str">
        <f>"3902757"</f>
        <v>3902757</v>
      </c>
      <c r="B5" s="105" t="s">
        <v>3801</v>
      </c>
      <c r="C5" s="107">
        <v>1.88</v>
      </c>
      <c r="D5" s="105">
        <v>352423</v>
      </c>
      <c r="E5" s="106">
        <v>44228.481388888889</v>
      </c>
      <c r="F5" s="104">
        <v>1501</v>
      </c>
    </row>
    <row r="6" spans="1:6" x14ac:dyDescent="0.25">
      <c r="A6" s="105" t="str">
        <f>"3906769"</f>
        <v>3906769</v>
      </c>
      <c r="B6" s="105" t="s">
        <v>3800</v>
      </c>
      <c r="C6" s="107">
        <v>10.74</v>
      </c>
      <c r="D6" s="105">
        <v>351794</v>
      </c>
      <c r="E6" s="106">
        <v>44228.510937500003</v>
      </c>
      <c r="F6" s="104">
        <v>1502</v>
      </c>
    </row>
    <row r="7" spans="1:6" x14ac:dyDescent="0.25">
      <c r="A7" s="105" t="str">
        <f>"3960274"</f>
        <v>3960274</v>
      </c>
      <c r="B7" s="105" t="s">
        <v>553</v>
      </c>
      <c r="C7" s="107">
        <v>9.0399999999999991</v>
      </c>
      <c r="D7" s="105">
        <v>351068</v>
      </c>
      <c r="E7" s="106">
        <v>44228.766180555554</v>
      </c>
      <c r="F7" s="104">
        <v>1503</v>
      </c>
    </row>
    <row r="8" spans="1:6" x14ac:dyDescent="0.25">
      <c r="A8" s="105" t="str">
        <f>"3909157"</f>
        <v>3909157</v>
      </c>
      <c r="B8" s="105" t="s">
        <v>3799</v>
      </c>
      <c r="C8" s="107">
        <v>3.58</v>
      </c>
      <c r="D8" s="105">
        <v>351959</v>
      </c>
      <c r="E8" s="106">
        <v>44228.436828703707</v>
      </c>
      <c r="F8" s="104">
        <v>1504</v>
      </c>
    </row>
    <row r="9" spans="1:6" x14ac:dyDescent="0.25">
      <c r="A9" s="105" t="str">
        <f>"3930394"</f>
        <v>3930394</v>
      </c>
      <c r="B9" s="105" t="s">
        <v>558</v>
      </c>
      <c r="C9" s="107">
        <v>2.48</v>
      </c>
      <c r="D9" s="105">
        <v>352001</v>
      </c>
      <c r="E9" s="106">
        <v>44228.45815972222</v>
      </c>
      <c r="F9" s="104">
        <v>1505</v>
      </c>
    </row>
    <row r="10" spans="1:6" x14ac:dyDescent="0.25">
      <c r="A10" s="105" t="str">
        <f>"3908160"</f>
        <v>3908160</v>
      </c>
      <c r="B10" s="105" t="s">
        <v>3798</v>
      </c>
      <c r="C10" s="107">
        <v>13.69</v>
      </c>
      <c r="D10" s="105">
        <v>352659</v>
      </c>
      <c r="E10" s="106">
        <v>44228.472777777781</v>
      </c>
      <c r="F10" s="104">
        <v>1506</v>
      </c>
    </row>
    <row r="11" spans="1:6" x14ac:dyDescent="0.25">
      <c r="A11" s="105" t="str">
        <f>"3908320"</f>
        <v>3908320</v>
      </c>
      <c r="B11" s="105" t="s">
        <v>3797</v>
      </c>
      <c r="C11" s="107">
        <v>1.9</v>
      </c>
      <c r="D11" s="105">
        <v>352753</v>
      </c>
      <c r="E11" s="106">
        <v>44228.527650462966</v>
      </c>
      <c r="F11" s="104">
        <v>1507</v>
      </c>
    </row>
    <row r="12" spans="1:6" x14ac:dyDescent="0.25">
      <c r="A12" s="105" t="str">
        <f>"3908204"</f>
        <v>3908204</v>
      </c>
      <c r="B12" s="105" t="s">
        <v>3796</v>
      </c>
      <c r="C12" s="107">
        <v>10.52</v>
      </c>
      <c r="D12" s="105">
        <v>352675</v>
      </c>
      <c r="E12" s="106">
        <v>44228.52784722222</v>
      </c>
      <c r="F12" s="104">
        <v>1508</v>
      </c>
    </row>
    <row r="13" spans="1:6" x14ac:dyDescent="0.25">
      <c r="A13" s="105" t="str">
        <f>"3903545"</f>
        <v>3903545</v>
      </c>
      <c r="B13" s="105" t="s">
        <v>603</v>
      </c>
      <c r="C13" s="107">
        <v>1.89</v>
      </c>
      <c r="D13" s="105">
        <v>351784</v>
      </c>
      <c r="E13" s="106">
        <v>44228.533865740741</v>
      </c>
      <c r="F13" s="104">
        <v>1509</v>
      </c>
    </row>
    <row r="14" spans="1:6" x14ac:dyDescent="0.25">
      <c r="A14" s="105" t="str">
        <f>"3960344"</f>
        <v>3960344</v>
      </c>
      <c r="B14" s="105" t="s">
        <v>3747</v>
      </c>
      <c r="C14" s="107">
        <v>16.760000000000002</v>
      </c>
      <c r="D14" s="105">
        <v>351124</v>
      </c>
      <c r="E14" s="106">
        <v>44228.57271990741</v>
      </c>
      <c r="F14" s="104">
        <v>1510</v>
      </c>
    </row>
    <row r="15" spans="1:6" x14ac:dyDescent="0.25">
      <c r="A15" s="105" t="str">
        <f>"3903549"</f>
        <v>3903549</v>
      </c>
      <c r="B15" s="105" t="s">
        <v>3795</v>
      </c>
      <c r="C15" s="107">
        <v>6.21</v>
      </c>
      <c r="D15" s="105">
        <v>351786</v>
      </c>
      <c r="E15" s="106">
        <v>44228.609918981485</v>
      </c>
      <c r="F15" s="104">
        <v>1511</v>
      </c>
    </row>
    <row r="16" spans="1:6" x14ac:dyDescent="0.25">
      <c r="A16" s="105" t="str">
        <f>"3903516"</f>
        <v>3903516</v>
      </c>
      <c r="B16" s="105" t="s">
        <v>3794</v>
      </c>
      <c r="C16" s="107">
        <v>8.58</v>
      </c>
      <c r="D16" s="105">
        <v>351963</v>
      </c>
      <c r="E16" s="106">
        <v>44228.618414351855</v>
      </c>
      <c r="F16" s="104">
        <v>1512</v>
      </c>
    </row>
    <row r="17" spans="1:6" x14ac:dyDescent="0.25">
      <c r="A17" s="105" t="str">
        <f>"3930057"</f>
        <v>3930057</v>
      </c>
      <c r="B17" s="105" t="s">
        <v>3793</v>
      </c>
      <c r="C17" s="107">
        <v>56.64</v>
      </c>
      <c r="D17" s="105">
        <v>344029</v>
      </c>
      <c r="E17" s="106">
        <v>44228.666851851849</v>
      </c>
      <c r="F17" s="104">
        <v>1516</v>
      </c>
    </row>
    <row r="18" spans="1:6" x14ac:dyDescent="0.25">
      <c r="A18" s="105" t="str">
        <f>"3909808"</f>
        <v>3909808</v>
      </c>
      <c r="B18" s="105" t="s">
        <v>3792</v>
      </c>
      <c r="C18" s="107">
        <v>3.52</v>
      </c>
      <c r="D18" s="105">
        <v>352104</v>
      </c>
      <c r="E18" s="106">
        <v>44228.687071759261</v>
      </c>
      <c r="F18" s="104">
        <v>1513</v>
      </c>
    </row>
    <row r="19" spans="1:6" x14ac:dyDescent="0.25">
      <c r="A19" s="105" t="str">
        <f>"3903064"</f>
        <v>3903064</v>
      </c>
      <c r="B19" s="105" t="s">
        <v>1096</v>
      </c>
      <c r="C19" s="107">
        <v>6.94</v>
      </c>
      <c r="D19" s="105">
        <v>351313</v>
      </c>
      <c r="E19" s="106">
        <v>44228.689768518518</v>
      </c>
      <c r="F19" s="104">
        <v>1514</v>
      </c>
    </row>
    <row r="20" spans="1:6" x14ac:dyDescent="0.25">
      <c r="A20" s="105" t="str">
        <f>"3900576"</f>
        <v>3900576</v>
      </c>
      <c r="B20" s="105" t="s">
        <v>3791</v>
      </c>
      <c r="C20" s="107">
        <v>2.1800000000000002</v>
      </c>
      <c r="D20" s="105">
        <v>352263</v>
      </c>
      <c r="E20" s="106">
        <v>44228.691793981481</v>
      </c>
      <c r="F20" s="104">
        <v>1515</v>
      </c>
    </row>
    <row r="21" spans="1:6" x14ac:dyDescent="0.25">
      <c r="A21" s="105"/>
      <c r="B21" s="104">
        <v>1</v>
      </c>
      <c r="C21" s="108">
        <f>SUM(C3:C20)</f>
        <v>166.22</v>
      </c>
      <c r="D21" s="105"/>
      <c r="E21" s="106"/>
      <c r="F21" s="104"/>
    </row>
    <row r="22" spans="1:6" x14ac:dyDescent="0.25">
      <c r="A22" s="105"/>
      <c r="B22" s="105"/>
      <c r="C22" s="107"/>
      <c r="D22" s="105"/>
      <c r="E22" s="106"/>
      <c r="F22" s="104"/>
    </row>
    <row r="23" spans="1:6" x14ac:dyDescent="0.25">
      <c r="A23" s="105" t="str">
        <f>"3908875"</f>
        <v>3908875</v>
      </c>
      <c r="B23" s="105" t="s">
        <v>1095</v>
      </c>
      <c r="C23" s="107">
        <v>2.17</v>
      </c>
      <c r="D23" s="105">
        <v>351594</v>
      </c>
      <c r="E23" s="106">
        <v>44229.418761574074</v>
      </c>
      <c r="F23" s="104">
        <v>1624</v>
      </c>
    </row>
    <row r="24" spans="1:6" x14ac:dyDescent="0.25">
      <c r="A24" s="105" t="str">
        <f>"3902247"</f>
        <v>3902247</v>
      </c>
      <c r="B24" s="105" t="s">
        <v>3790</v>
      </c>
      <c r="C24" s="107">
        <v>3.98</v>
      </c>
      <c r="D24" s="105">
        <v>352082</v>
      </c>
      <c r="E24" s="106">
        <v>44229.449814814812</v>
      </c>
      <c r="F24" s="104">
        <v>1625</v>
      </c>
    </row>
    <row r="25" spans="1:6" x14ac:dyDescent="0.25">
      <c r="A25" s="105" t="str">
        <f>"3907152"</f>
        <v>3907152</v>
      </c>
      <c r="B25" s="105" t="s">
        <v>3789</v>
      </c>
      <c r="C25" s="107">
        <v>20.82</v>
      </c>
      <c r="D25" s="105">
        <v>351284</v>
      </c>
      <c r="E25" s="106">
        <v>44229.491539351853</v>
      </c>
      <c r="F25" s="104">
        <v>1632</v>
      </c>
    </row>
    <row r="26" spans="1:6" x14ac:dyDescent="0.25">
      <c r="A26" s="105" t="str">
        <f>"3907156"</f>
        <v>3907156</v>
      </c>
      <c r="B26" s="105" t="s">
        <v>1121</v>
      </c>
      <c r="C26" s="107">
        <v>6.94</v>
      </c>
      <c r="D26" s="105">
        <v>351286</v>
      </c>
      <c r="E26" s="106">
        <v>44229.513969907406</v>
      </c>
      <c r="F26" s="104">
        <v>1626</v>
      </c>
    </row>
    <row r="27" spans="1:6" x14ac:dyDescent="0.25">
      <c r="A27" s="105" t="str">
        <f>"3901153"</f>
        <v>3901153</v>
      </c>
      <c r="B27" s="105" t="s">
        <v>3788</v>
      </c>
      <c r="C27" s="107">
        <v>29.03</v>
      </c>
      <c r="D27" s="105">
        <v>350746</v>
      </c>
      <c r="E27" s="106">
        <v>44229.573819444442</v>
      </c>
      <c r="F27" s="104">
        <v>1627</v>
      </c>
    </row>
    <row r="28" spans="1:6" x14ac:dyDescent="0.25">
      <c r="A28" s="105" t="str">
        <f>"3930203"</f>
        <v>3930203</v>
      </c>
      <c r="B28" s="105" t="s">
        <v>3787</v>
      </c>
      <c r="C28" s="107">
        <v>11.97</v>
      </c>
      <c r="D28" s="105">
        <v>344232</v>
      </c>
      <c r="E28" s="106">
        <v>44229.591122685182</v>
      </c>
      <c r="F28" s="104">
        <v>1633</v>
      </c>
    </row>
    <row r="29" spans="1:6" x14ac:dyDescent="0.25">
      <c r="A29" s="105" t="str">
        <f>"3907257"</f>
        <v>3907257</v>
      </c>
      <c r="B29" s="105" t="s">
        <v>631</v>
      </c>
      <c r="C29" s="107">
        <v>1.1299999999999999</v>
      </c>
      <c r="D29" s="105">
        <v>351306</v>
      </c>
      <c r="E29" s="106">
        <v>44229.612708333334</v>
      </c>
      <c r="F29" s="104">
        <v>1628</v>
      </c>
    </row>
    <row r="30" spans="1:6" x14ac:dyDescent="0.25">
      <c r="A30" s="105" t="str">
        <f>"3907525"</f>
        <v>3907525</v>
      </c>
      <c r="B30" s="105" t="s">
        <v>3786</v>
      </c>
      <c r="C30" s="107">
        <v>3</v>
      </c>
      <c r="D30" s="105">
        <v>350735</v>
      </c>
      <c r="E30" s="106">
        <v>44229.662928240738</v>
      </c>
      <c r="F30" s="104">
        <v>1629</v>
      </c>
    </row>
    <row r="31" spans="1:6" x14ac:dyDescent="0.25">
      <c r="A31" s="105" t="str">
        <f>"3907544"</f>
        <v>3907544</v>
      </c>
      <c r="B31" s="105" t="s">
        <v>3786</v>
      </c>
      <c r="C31" s="107">
        <v>1.94</v>
      </c>
      <c r="D31" s="105">
        <v>350734</v>
      </c>
      <c r="E31" s="106">
        <v>44229.663935185185</v>
      </c>
      <c r="F31" s="104">
        <v>1630</v>
      </c>
    </row>
    <row r="32" spans="1:6" x14ac:dyDescent="0.25">
      <c r="A32" s="105" t="str">
        <f>"3900383"</f>
        <v>3900383</v>
      </c>
      <c r="B32" s="105" t="s">
        <v>634</v>
      </c>
      <c r="C32" s="107">
        <v>3.09</v>
      </c>
      <c r="D32" s="105">
        <v>352208</v>
      </c>
      <c r="E32" s="106">
        <v>44229.724826388891</v>
      </c>
      <c r="F32" s="104">
        <v>1631</v>
      </c>
    </row>
    <row r="33" spans="1:7" x14ac:dyDescent="0.25">
      <c r="A33" s="105"/>
      <c r="B33" s="104">
        <v>2</v>
      </c>
      <c r="C33" s="108">
        <f>SUM(C23:C32)</f>
        <v>84.07</v>
      </c>
      <c r="D33" s="105"/>
      <c r="E33" s="106"/>
      <c r="F33" s="104"/>
    </row>
    <row r="34" spans="1:7" x14ac:dyDescent="0.25">
      <c r="A34" s="105"/>
      <c r="B34" s="105"/>
      <c r="C34" s="107"/>
      <c r="D34" s="105"/>
      <c r="E34" s="106"/>
      <c r="F34" s="104"/>
    </row>
    <row r="35" spans="1:7" x14ac:dyDescent="0.25">
      <c r="A35" s="105" t="str">
        <f>"3903544"</f>
        <v>3903544</v>
      </c>
      <c r="B35" s="105" t="s">
        <v>3785</v>
      </c>
      <c r="C35" s="107">
        <v>1.68</v>
      </c>
      <c r="D35" s="105">
        <v>351772</v>
      </c>
      <c r="E35" s="106">
        <v>44230.373576388891</v>
      </c>
      <c r="F35" s="104">
        <v>1687</v>
      </c>
    </row>
    <row r="36" spans="1:7" x14ac:dyDescent="0.25">
      <c r="A36" s="105" t="str">
        <f>"3950207"</f>
        <v>3950207</v>
      </c>
      <c r="B36" s="105" t="s">
        <v>3784</v>
      </c>
      <c r="C36" s="107">
        <v>17.899999999999999</v>
      </c>
      <c r="D36" s="105">
        <v>351125</v>
      </c>
      <c r="E36" s="106">
        <v>44230.376701388886</v>
      </c>
      <c r="F36" s="104">
        <v>1688</v>
      </c>
    </row>
    <row r="37" spans="1:7" x14ac:dyDescent="0.25">
      <c r="A37" s="105" t="str">
        <f>"3908653"</f>
        <v>3908653</v>
      </c>
      <c r="B37" s="105" t="s">
        <v>3783</v>
      </c>
      <c r="C37" s="107">
        <v>5.49</v>
      </c>
      <c r="D37" s="105">
        <v>351351</v>
      </c>
      <c r="E37" s="106">
        <v>44230.421886574077</v>
      </c>
      <c r="F37" s="104">
        <v>1694</v>
      </c>
      <c r="G37" s="26"/>
    </row>
    <row r="38" spans="1:7" x14ac:dyDescent="0.25">
      <c r="A38" s="105" t="str">
        <f>"3907791"</f>
        <v>3907791</v>
      </c>
      <c r="B38" s="105" t="s">
        <v>1084</v>
      </c>
      <c r="C38" s="107">
        <v>1.78</v>
      </c>
      <c r="D38" s="105">
        <v>351619</v>
      </c>
      <c r="E38" s="106">
        <v>44230.462939814817</v>
      </c>
      <c r="F38" s="104">
        <v>1689</v>
      </c>
    </row>
    <row r="39" spans="1:7" x14ac:dyDescent="0.25">
      <c r="A39" s="105" t="str">
        <f>"3930293"</f>
        <v>3930293</v>
      </c>
      <c r="B39" s="105" t="s">
        <v>3782</v>
      </c>
      <c r="C39" s="107">
        <v>3.8</v>
      </c>
      <c r="D39" s="105">
        <v>350828</v>
      </c>
      <c r="E39" s="106">
        <v>44230.558761574073</v>
      </c>
      <c r="F39" s="104">
        <v>1690</v>
      </c>
    </row>
    <row r="40" spans="1:7" x14ac:dyDescent="0.25">
      <c r="A40" s="105" t="str">
        <f>"3903592"</f>
        <v>3903592</v>
      </c>
      <c r="B40" s="105" t="s">
        <v>3781</v>
      </c>
      <c r="C40" s="107">
        <v>6.93</v>
      </c>
      <c r="D40" s="105">
        <v>351908</v>
      </c>
      <c r="E40" s="106">
        <v>44230.578564814816</v>
      </c>
      <c r="F40" s="104">
        <v>1691</v>
      </c>
    </row>
    <row r="41" spans="1:7" x14ac:dyDescent="0.25">
      <c r="A41" s="105" t="str">
        <f>"3900397"</f>
        <v>3900397</v>
      </c>
      <c r="B41" s="105" t="s">
        <v>3781</v>
      </c>
      <c r="C41" s="107">
        <v>6.72</v>
      </c>
      <c r="D41" s="105">
        <v>346216</v>
      </c>
      <c r="E41" s="106">
        <v>44230.580381944441</v>
      </c>
      <c r="F41" s="104">
        <v>1695</v>
      </c>
    </row>
    <row r="42" spans="1:7" x14ac:dyDescent="0.25">
      <c r="A42" s="105" t="str">
        <f>"3908938"</f>
        <v>3908938</v>
      </c>
      <c r="B42" s="105" t="s">
        <v>3780</v>
      </c>
      <c r="C42" s="107">
        <v>9.02</v>
      </c>
      <c r="D42" s="105">
        <v>352821</v>
      </c>
      <c r="E42" s="106">
        <v>44230.694756944446</v>
      </c>
      <c r="F42" s="104">
        <v>1692</v>
      </c>
    </row>
    <row r="43" spans="1:7" x14ac:dyDescent="0.25">
      <c r="A43" s="105" t="str">
        <f>"3907560"</f>
        <v>3907560</v>
      </c>
      <c r="B43" s="105" t="s">
        <v>3779</v>
      </c>
      <c r="C43" s="107">
        <v>2.97</v>
      </c>
      <c r="D43" s="105">
        <v>350743</v>
      </c>
      <c r="E43" s="106">
        <v>44230.714189814818</v>
      </c>
      <c r="F43" s="104">
        <v>1693</v>
      </c>
    </row>
    <row r="44" spans="1:7" x14ac:dyDescent="0.25">
      <c r="A44" s="105"/>
      <c r="B44" s="104">
        <v>3</v>
      </c>
      <c r="C44" s="108">
        <f>SUM(C35:C43)</f>
        <v>56.289999999999992</v>
      </c>
      <c r="D44" s="105"/>
      <c r="E44" s="106"/>
      <c r="F44" s="104"/>
    </row>
    <row r="45" spans="1:7" x14ac:dyDescent="0.25">
      <c r="A45" s="105"/>
      <c r="B45" s="105"/>
      <c r="C45" s="107"/>
      <c r="D45" s="105"/>
      <c r="E45" s="106"/>
      <c r="F45" s="104"/>
    </row>
    <row r="46" spans="1:7" x14ac:dyDescent="0.25">
      <c r="A46" s="105" t="str">
        <f>"3945455"</f>
        <v>3945455</v>
      </c>
      <c r="B46" s="105" t="s">
        <v>1127</v>
      </c>
      <c r="C46" s="107">
        <v>9.14</v>
      </c>
      <c r="D46" s="105">
        <v>351155</v>
      </c>
      <c r="E46" s="106">
        <v>44231.46297453704</v>
      </c>
      <c r="F46" s="104">
        <v>1858</v>
      </c>
    </row>
    <row r="47" spans="1:7" x14ac:dyDescent="0.25">
      <c r="A47" s="105" t="str">
        <f>"3901121"</f>
        <v>3901121</v>
      </c>
      <c r="B47" s="105" t="s">
        <v>615</v>
      </c>
      <c r="C47" s="107">
        <v>1.68</v>
      </c>
      <c r="D47" s="105">
        <v>351655</v>
      </c>
      <c r="E47" s="106">
        <v>44231.613113425927</v>
      </c>
      <c r="F47" s="104">
        <v>1859</v>
      </c>
    </row>
    <row r="48" spans="1:7" x14ac:dyDescent="0.25">
      <c r="A48" s="105" t="str">
        <f>"3900343"</f>
        <v>3900343</v>
      </c>
      <c r="B48" s="105" t="s">
        <v>3778</v>
      </c>
      <c r="C48" s="107">
        <v>3.67</v>
      </c>
      <c r="D48" s="105">
        <v>350908</v>
      </c>
      <c r="E48" s="106">
        <v>44231.781782407408</v>
      </c>
      <c r="F48" s="104">
        <v>1860</v>
      </c>
    </row>
    <row r="49" spans="1:6" x14ac:dyDescent="0.25">
      <c r="A49" s="105" t="str">
        <f>"3945284"</f>
        <v>3945284</v>
      </c>
      <c r="B49" s="105" t="s">
        <v>579</v>
      </c>
      <c r="C49" s="107">
        <v>8.3800000000000008</v>
      </c>
      <c r="D49" s="105">
        <v>351226</v>
      </c>
      <c r="E49" s="106">
        <v>44231.714814814812</v>
      </c>
      <c r="F49" s="104">
        <v>1861</v>
      </c>
    </row>
    <row r="50" spans="1:6" x14ac:dyDescent="0.25">
      <c r="A50" s="105" t="str">
        <f>"3901398"</f>
        <v>3901398</v>
      </c>
      <c r="B50" s="105" t="s">
        <v>568</v>
      </c>
      <c r="C50" s="107">
        <v>1.96</v>
      </c>
      <c r="D50" s="105">
        <v>352312</v>
      </c>
      <c r="E50" s="106">
        <v>44231.714814814812</v>
      </c>
      <c r="F50" s="104">
        <v>1862</v>
      </c>
    </row>
    <row r="51" spans="1:6" x14ac:dyDescent="0.25">
      <c r="A51" s="105" t="str">
        <f>"3902750"</f>
        <v>3902750</v>
      </c>
      <c r="B51" s="105" t="s">
        <v>563</v>
      </c>
      <c r="C51" s="107">
        <v>9.44</v>
      </c>
      <c r="D51" s="105">
        <v>351214</v>
      </c>
      <c r="E51" s="106">
        <v>44231.714814814812</v>
      </c>
      <c r="F51" s="104">
        <v>1863</v>
      </c>
    </row>
    <row r="52" spans="1:6" x14ac:dyDescent="0.25">
      <c r="A52" s="105" t="str">
        <f>"3903364"</f>
        <v>3903364</v>
      </c>
      <c r="B52" s="105" t="s">
        <v>564</v>
      </c>
      <c r="C52" s="107">
        <v>5.91</v>
      </c>
      <c r="D52" s="105">
        <v>351608</v>
      </c>
      <c r="E52" s="106">
        <v>44231.714814814812</v>
      </c>
      <c r="F52" s="104">
        <v>1864</v>
      </c>
    </row>
    <row r="53" spans="1:6" x14ac:dyDescent="0.25">
      <c r="A53" s="105" t="str">
        <f>"3900349"</f>
        <v>3900349</v>
      </c>
      <c r="B53" s="105" t="s">
        <v>566</v>
      </c>
      <c r="C53" s="107">
        <v>1.8</v>
      </c>
      <c r="D53" s="105">
        <v>352198</v>
      </c>
      <c r="E53" s="106">
        <v>44231.714814814812</v>
      </c>
      <c r="F53" s="104">
        <v>1865</v>
      </c>
    </row>
    <row r="54" spans="1:6" x14ac:dyDescent="0.25">
      <c r="A54" s="105" t="str">
        <f>"3909936"</f>
        <v>3909936</v>
      </c>
      <c r="B54" s="105" t="s">
        <v>560</v>
      </c>
      <c r="C54" s="107">
        <v>4.04</v>
      </c>
      <c r="D54" s="105">
        <v>351503</v>
      </c>
      <c r="E54" s="106">
        <v>44231.714814814812</v>
      </c>
      <c r="F54" s="104">
        <v>1866</v>
      </c>
    </row>
    <row r="55" spans="1:6" x14ac:dyDescent="0.25">
      <c r="A55" s="105" t="str">
        <f>"3900568"</f>
        <v>3900568</v>
      </c>
      <c r="B55" s="105" t="s">
        <v>1118</v>
      </c>
      <c r="C55" s="107">
        <v>1.77</v>
      </c>
      <c r="D55" s="105">
        <v>352261</v>
      </c>
      <c r="E55" s="106">
        <v>44231.714814814812</v>
      </c>
      <c r="F55" s="104">
        <v>1867</v>
      </c>
    </row>
    <row r="56" spans="1:6" x14ac:dyDescent="0.25">
      <c r="A56" s="105" t="str">
        <f>"3903061"</f>
        <v>3903061</v>
      </c>
      <c r="B56" s="105" t="s">
        <v>569</v>
      </c>
      <c r="C56" s="107">
        <v>6.94</v>
      </c>
      <c r="D56" s="105">
        <v>351312</v>
      </c>
      <c r="E56" s="106">
        <v>44231.714814814812</v>
      </c>
      <c r="F56" s="104">
        <v>1868</v>
      </c>
    </row>
    <row r="57" spans="1:6" x14ac:dyDescent="0.25">
      <c r="A57" s="105" t="str">
        <f>"3909039"</f>
        <v>3909039</v>
      </c>
      <c r="B57" s="105" t="s">
        <v>570</v>
      </c>
      <c r="C57" s="107">
        <v>1.46</v>
      </c>
      <c r="D57" s="105">
        <v>351842</v>
      </c>
      <c r="E57" s="106">
        <v>44231.714814814812</v>
      </c>
      <c r="F57" s="104">
        <v>1869</v>
      </c>
    </row>
    <row r="58" spans="1:6" x14ac:dyDescent="0.25">
      <c r="A58" s="105" t="str">
        <f>"3903467"</f>
        <v>3903467</v>
      </c>
      <c r="B58" s="105" t="s">
        <v>562</v>
      </c>
      <c r="C58" s="107">
        <v>1.68</v>
      </c>
      <c r="D58" s="105">
        <v>351565</v>
      </c>
      <c r="E58" s="106">
        <v>44231.714814814812</v>
      </c>
      <c r="F58" s="104">
        <v>1870</v>
      </c>
    </row>
    <row r="59" spans="1:6" x14ac:dyDescent="0.25">
      <c r="A59" s="105" t="str">
        <f>"3907239"</f>
        <v>3907239</v>
      </c>
      <c r="B59" s="105" t="s">
        <v>573</v>
      </c>
      <c r="C59" s="107">
        <v>6.94</v>
      </c>
      <c r="D59" s="105">
        <v>351302</v>
      </c>
      <c r="E59" s="106">
        <v>44231.714814814812</v>
      </c>
      <c r="F59" s="104">
        <v>1871</v>
      </c>
    </row>
    <row r="60" spans="1:6" x14ac:dyDescent="0.25">
      <c r="A60" s="105" t="str">
        <f>"3907541"</f>
        <v>3907541</v>
      </c>
      <c r="B60" s="105" t="s">
        <v>578</v>
      </c>
      <c r="C60" s="107">
        <v>2.2599999999999998</v>
      </c>
      <c r="D60" s="105">
        <v>351391</v>
      </c>
      <c r="E60" s="106">
        <v>44231.714814814812</v>
      </c>
      <c r="F60" s="104">
        <v>1872</v>
      </c>
    </row>
    <row r="61" spans="1:6" x14ac:dyDescent="0.25">
      <c r="A61" s="105" t="str">
        <f>"3900389"</f>
        <v>3900389</v>
      </c>
      <c r="B61" s="105" t="s">
        <v>581</v>
      </c>
      <c r="C61" s="107">
        <v>2.14</v>
      </c>
      <c r="D61" s="105">
        <v>352210</v>
      </c>
      <c r="E61" s="106">
        <v>44231.714814814812</v>
      </c>
      <c r="F61" s="104">
        <v>1873</v>
      </c>
    </row>
    <row r="62" spans="1:6" x14ac:dyDescent="0.25">
      <c r="A62" s="105" t="str">
        <f>"3950328"</f>
        <v>3950328</v>
      </c>
      <c r="B62" s="105" t="s">
        <v>585</v>
      </c>
      <c r="C62" s="107">
        <v>7.61</v>
      </c>
      <c r="D62" s="105">
        <v>351175</v>
      </c>
      <c r="E62" s="106">
        <v>44231.714814814812</v>
      </c>
      <c r="F62" s="104">
        <v>1874</v>
      </c>
    </row>
    <row r="63" spans="1:6" x14ac:dyDescent="0.25">
      <c r="A63" s="105" t="str">
        <f>"3920281"</f>
        <v>3920281</v>
      </c>
      <c r="B63" s="105" t="s">
        <v>588</v>
      </c>
      <c r="C63" s="107">
        <v>7.82</v>
      </c>
      <c r="D63" s="105">
        <v>351054</v>
      </c>
      <c r="E63" s="106">
        <v>44231.714814814812</v>
      </c>
      <c r="F63" s="104">
        <v>1875</v>
      </c>
    </row>
    <row r="64" spans="1:6" x14ac:dyDescent="0.25">
      <c r="A64" s="105" t="str">
        <f>"3903282"</f>
        <v>3903282</v>
      </c>
      <c r="B64" s="105" t="s">
        <v>584</v>
      </c>
      <c r="C64" s="107">
        <v>1.87</v>
      </c>
      <c r="D64" s="105">
        <v>352446</v>
      </c>
      <c r="E64" s="106">
        <v>44231.714814814812</v>
      </c>
      <c r="F64" s="104">
        <v>1876</v>
      </c>
    </row>
    <row r="65" spans="1:6" x14ac:dyDescent="0.25">
      <c r="A65" s="105" t="str">
        <f>"3906324"</f>
        <v>3906324</v>
      </c>
      <c r="B65" s="105" t="s">
        <v>591</v>
      </c>
      <c r="C65" s="107">
        <v>4.59</v>
      </c>
      <c r="D65" s="105">
        <v>351243</v>
      </c>
      <c r="E65" s="106">
        <v>44231.714814814812</v>
      </c>
      <c r="F65" s="104">
        <v>1877</v>
      </c>
    </row>
    <row r="66" spans="1:6" x14ac:dyDescent="0.25">
      <c r="A66" s="105" t="str">
        <f>"3945272"</f>
        <v>3945272</v>
      </c>
      <c r="B66" s="105" t="s">
        <v>589</v>
      </c>
      <c r="C66" s="107">
        <v>4.1900000000000004</v>
      </c>
      <c r="D66" s="105">
        <v>351224</v>
      </c>
      <c r="E66" s="106">
        <v>44231.714814814812</v>
      </c>
      <c r="F66" s="104">
        <v>1878</v>
      </c>
    </row>
    <row r="67" spans="1:6" x14ac:dyDescent="0.25">
      <c r="A67" s="105" t="str">
        <f>"3945262"</f>
        <v>3945262</v>
      </c>
      <c r="B67" s="105" t="s">
        <v>593</v>
      </c>
      <c r="C67" s="107">
        <v>3.36</v>
      </c>
      <c r="D67" s="105">
        <v>351227</v>
      </c>
      <c r="E67" s="106">
        <v>44231.714814814812</v>
      </c>
      <c r="F67" s="104">
        <v>1879</v>
      </c>
    </row>
    <row r="68" spans="1:6" x14ac:dyDescent="0.25">
      <c r="A68" s="105" t="str">
        <f>"3960264"</f>
        <v>3960264</v>
      </c>
      <c r="B68" s="105" t="s">
        <v>594</v>
      </c>
      <c r="C68" s="107">
        <v>7.82</v>
      </c>
      <c r="D68" s="105">
        <v>351062</v>
      </c>
      <c r="E68" s="106">
        <v>44231.714814814812</v>
      </c>
      <c r="F68" s="104">
        <v>1880</v>
      </c>
    </row>
    <row r="69" spans="1:6" x14ac:dyDescent="0.25">
      <c r="A69" s="105" t="str">
        <f>"3902419"</f>
        <v>3902419</v>
      </c>
      <c r="B69" s="105" t="s">
        <v>561</v>
      </c>
      <c r="C69" s="107">
        <v>6.48</v>
      </c>
      <c r="D69" s="105">
        <v>352023</v>
      </c>
      <c r="E69" s="106">
        <v>44231.714814814812</v>
      </c>
      <c r="F69" s="104">
        <v>1881</v>
      </c>
    </row>
    <row r="70" spans="1:6" x14ac:dyDescent="0.25">
      <c r="A70" s="105" t="str">
        <f>"3903883"</f>
        <v>3903883</v>
      </c>
      <c r="B70" s="105" t="s">
        <v>1102</v>
      </c>
      <c r="C70" s="107">
        <v>1.68</v>
      </c>
      <c r="D70" s="105">
        <v>352691</v>
      </c>
      <c r="E70" s="106">
        <v>44231.714814814812</v>
      </c>
      <c r="F70" s="104">
        <v>1882</v>
      </c>
    </row>
    <row r="71" spans="1:6" x14ac:dyDescent="0.25">
      <c r="A71" s="105" t="str">
        <f>"3945102"</f>
        <v>3945102</v>
      </c>
      <c r="B71" s="105" t="s">
        <v>572</v>
      </c>
      <c r="C71" s="107">
        <v>8.3800000000000008</v>
      </c>
      <c r="D71" s="105">
        <v>351116</v>
      </c>
      <c r="E71" s="106">
        <v>44231.714814814812</v>
      </c>
      <c r="F71" s="104">
        <v>1883</v>
      </c>
    </row>
    <row r="72" spans="1:6" x14ac:dyDescent="0.25">
      <c r="A72" s="105" t="str">
        <f>"3903127"</f>
        <v>3903127</v>
      </c>
      <c r="B72" s="105" t="s">
        <v>577</v>
      </c>
      <c r="C72" s="107">
        <v>1.68</v>
      </c>
      <c r="D72" s="105">
        <v>351375</v>
      </c>
      <c r="E72" s="106">
        <v>44231.714814814812</v>
      </c>
      <c r="F72" s="104">
        <v>1884</v>
      </c>
    </row>
    <row r="73" spans="1:6" x14ac:dyDescent="0.25">
      <c r="A73" s="105" t="str">
        <f>"3945105"</f>
        <v>3945105</v>
      </c>
      <c r="B73" s="105" t="s">
        <v>1093</v>
      </c>
      <c r="C73" s="107">
        <v>8.3800000000000008</v>
      </c>
      <c r="D73" s="105">
        <v>351122</v>
      </c>
      <c r="E73" s="106">
        <v>44231.714814814812</v>
      </c>
      <c r="F73" s="104">
        <v>1885</v>
      </c>
    </row>
    <row r="74" spans="1:6" x14ac:dyDescent="0.25">
      <c r="A74" s="105" t="str">
        <f>"3945435"</f>
        <v>3945435</v>
      </c>
      <c r="B74" s="105" t="s">
        <v>571</v>
      </c>
      <c r="C74" s="107">
        <v>8.3800000000000008</v>
      </c>
      <c r="D74" s="105">
        <v>351153</v>
      </c>
      <c r="E74" s="106">
        <v>44231.714814814812</v>
      </c>
      <c r="F74" s="104">
        <v>1886</v>
      </c>
    </row>
    <row r="75" spans="1:6" x14ac:dyDescent="0.25">
      <c r="A75" s="105" t="str">
        <f>"3960277"</f>
        <v>3960277</v>
      </c>
      <c r="B75" s="105" t="s">
        <v>575</v>
      </c>
      <c r="C75" s="107">
        <v>7.24</v>
      </c>
      <c r="D75" s="105">
        <v>351086</v>
      </c>
      <c r="E75" s="106">
        <v>44231.714814814812</v>
      </c>
      <c r="F75" s="104">
        <v>1887</v>
      </c>
    </row>
    <row r="76" spans="1:6" x14ac:dyDescent="0.25">
      <c r="A76" s="105" t="str">
        <f>"3950033"</f>
        <v>3950033</v>
      </c>
      <c r="B76" s="105" t="s">
        <v>567</v>
      </c>
      <c r="C76" s="107">
        <v>8.3800000000000008</v>
      </c>
      <c r="D76" s="105">
        <v>351075</v>
      </c>
      <c r="E76" s="106">
        <v>44231.714814814812</v>
      </c>
      <c r="F76" s="104">
        <v>1888</v>
      </c>
    </row>
    <row r="77" spans="1:6" x14ac:dyDescent="0.25">
      <c r="A77" s="105" t="str">
        <f>"3960315"</f>
        <v>3960315</v>
      </c>
      <c r="B77" s="105" t="s">
        <v>565</v>
      </c>
      <c r="C77" s="107">
        <v>6.25</v>
      </c>
      <c r="D77" s="105">
        <v>351172</v>
      </c>
      <c r="E77" s="106">
        <v>44231.714814814812</v>
      </c>
      <c r="F77" s="104">
        <v>1889</v>
      </c>
    </row>
    <row r="78" spans="1:6" x14ac:dyDescent="0.25">
      <c r="A78" s="105" t="str">
        <f>"3901113"</f>
        <v>3901113</v>
      </c>
      <c r="B78" s="105" t="s">
        <v>592</v>
      </c>
      <c r="C78" s="107">
        <v>2.14</v>
      </c>
      <c r="D78" s="105">
        <v>351654</v>
      </c>
      <c r="E78" s="106">
        <v>44231.714814814812</v>
      </c>
      <c r="F78" s="104">
        <v>1890</v>
      </c>
    </row>
    <row r="79" spans="1:6" x14ac:dyDescent="0.25">
      <c r="A79" s="105" t="str">
        <f>"3900676"</f>
        <v>3900676</v>
      </c>
      <c r="B79" s="105" t="s">
        <v>1103</v>
      </c>
      <c r="C79" s="107">
        <v>1.77</v>
      </c>
      <c r="D79" s="105">
        <v>352597</v>
      </c>
      <c r="E79" s="106">
        <v>44231.714814814812</v>
      </c>
      <c r="F79" s="104">
        <v>1891</v>
      </c>
    </row>
    <row r="80" spans="1:6" x14ac:dyDescent="0.25">
      <c r="A80" s="105" t="str">
        <f>"3909981"</f>
        <v>3909981</v>
      </c>
      <c r="B80" s="105" t="s">
        <v>582</v>
      </c>
      <c r="C80" s="107">
        <v>3.33</v>
      </c>
      <c r="D80" s="105">
        <v>351448</v>
      </c>
      <c r="E80" s="106">
        <v>44231.714814814812</v>
      </c>
      <c r="F80" s="104">
        <v>1892</v>
      </c>
    </row>
    <row r="81" spans="1:6" x14ac:dyDescent="0.25">
      <c r="A81" s="105" t="str">
        <f>"3960256"</f>
        <v>3960256</v>
      </c>
      <c r="B81" s="105" t="s">
        <v>580</v>
      </c>
      <c r="C81" s="107">
        <v>17.899999999999999</v>
      </c>
      <c r="D81" s="105">
        <v>351072</v>
      </c>
      <c r="E81" s="106">
        <v>44231.714814814812</v>
      </c>
      <c r="F81" s="104">
        <v>1893</v>
      </c>
    </row>
    <row r="82" spans="1:6" x14ac:dyDescent="0.25">
      <c r="A82" s="105" t="str">
        <f>"3960232"</f>
        <v>3960232</v>
      </c>
      <c r="B82" s="105" t="s">
        <v>595</v>
      </c>
      <c r="C82" s="107">
        <v>12.3</v>
      </c>
      <c r="D82" s="105">
        <v>351117</v>
      </c>
      <c r="E82" s="106">
        <v>44231.714814814812</v>
      </c>
      <c r="F82" s="104">
        <v>1894</v>
      </c>
    </row>
    <row r="83" spans="1:6" x14ac:dyDescent="0.25">
      <c r="A83" s="105" t="str">
        <f>"3908672"</f>
        <v>3908672</v>
      </c>
      <c r="B83" s="105" t="s">
        <v>598</v>
      </c>
      <c r="C83" s="107">
        <v>2</v>
      </c>
      <c r="D83" s="105">
        <v>353065</v>
      </c>
      <c r="E83" s="106">
        <v>44231.714814814812</v>
      </c>
      <c r="F83" s="104">
        <v>1895</v>
      </c>
    </row>
    <row r="84" spans="1:6" x14ac:dyDescent="0.25">
      <c r="A84" s="105" t="str">
        <f>"3945038"</f>
        <v>3945038</v>
      </c>
      <c r="B84" s="105" t="s">
        <v>600</v>
      </c>
      <c r="C84" s="107">
        <v>15.3</v>
      </c>
      <c r="D84" s="105">
        <v>352980</v>
      </c>
      <c r="E84" s="106">
        <v>44231.714814814812</v>
      </c>
      <c r="F84" s="104">
        <v>1896</v>
      </c>
    </row>
    <row r="85" spans="1:6" x14ac:dyDescent="0.25">
      <c r="A85" s="105" t="str">
        <f>"3900344"</f>
        <v>3900344</v>
      </c>
      <c r="B85" s="105" t="s">
        <v>599</v>
      </c>
      <c r="C85" s="107">
        <v>15.3</v>
      </c>
      <c r="D85" s="105">
        <v>352977</v>
      </c>
      <c r="E85" s="106">
        <v>44231.714814814812</v>
      </c>
      <c r="F85" s="104">
        <v>1897</v>
      </c>
    </row>
    <row r="86" spans="1:6" x14ac:dyDescent="0.25">
      <c r="A86" s="105" t="str">
        <f>"3900340"</f>
        <v>3900340</v>
      </c>
      <c r="B86" s="105" t="s">
        <v>599</v>
      </c>
      <c r="C86" s="107">
        <v>15.3</v>
      </c>
      <c r="D86" s="105">
        <v>352976</v>
      </c>
      <c r="E86" s="106">
        <v>44231.714814814812</v>
      </c>
      <c r="F86" s="104">
        <v>1898</v>
      </c>
    </row>
    <row r="87" spans="1:6" x14ac:dyDescent="0.25">
      <c r="A87" s="105" t="str">
        <f>"3900657"</f>
        <v>3900657</v>
      </c>
      <c r="B87" s="105" t="s">
        <v>599</v>
      </c>
      <c r="C87" s="107">
        <v>15.3</v>
      </c>
      <c r="D87" s="105">
        <v>352975</v>
      </c>
      <c r="E87" s="106">
        <v>44231.714814814812</v>
      </c>
      <c r="F87" s="104">
        <v>1899</v>
      </c>
    </row>
    <row r="88" spans="1:6" x14ac:dyDescent="0.25">
      <c r="A88" s="105" t="str">
        <f>"3901033"</f>
        <v>3901033</v>
      </c>
      <c r="B88" s="105" t="s">
        <v>601</v>
      </c>
      <c r="C88" s="107">
        <v>30.6</v>
      </c>
      <c r="D88" s="105">
        <v>352986</v>
      </c>
      <c r="E88" s="106">
        <v>44231.714814814812</v>
      </c>
      <c r="F88" s="104">
        <v>1900</v>
      </c>
    </row>
    <row r="89" spans="1:6" x14ac:dyDescent="0.25">
      <c r="A89" s="105" t="str">
        <f>"3908716"</f>
        <v>3908716</v>
      </c>
      <c r="B89" s="105" t="s">
        <v>597</v>
      </c>
      <c r="C89" s="107">
        <v>2.76</v>
      </c>
      <c r="D89" s="105">
        <v>353073</v>
      </c>
      <c r="E89" s="106">
        <v>44231.714814814812</v>
      </c>
      <c r="F89" s="104">
        <v>1901</v>
      </c>
    </row>
    <row r="90" spans="1:6" x14ac:dyDescent="0.25">
      <c r="A90" s="105" t="str">
        <f>"3906796"</f>
        <v>3906796</v>
      </c>
      <c r="B90" s="105" t="s">
        <v>596</v>
      </c>
      <c r="C90" s="107">
        <v>4.0599999999999996</v>
      </c>
      <c r="D90" s="105">
        <v>353159</v>
      </c>
      <c r="E90" s="106">
        <v>44231.714814814812</v>
      </c>
      <c r="F90" s="104">
        <v>1902</v>
      </c>
    </row>
    <row r="91" spans="1:6" x14ac:dyDescent="0.25">
      <c r="A91" s="105"/>
      <c r="B91" s="104">
        <v>4</v>
      </c>
      <c r="C91" s="108">
        <f>SUM(C46:C90)</f>
        <v>301.38000000000011</v>
      </c>
      <c r="D91" s="105"/>
      <c r="E91" s="106"/>
      <c r="F91" s="104"/>
    </row>
    <row r="92" spans="1:6" x14ac:dyDescent="0.25">
      <c r="A92" s="105"/>
      <c r="B92" s="105"/>
      <c r="C92" s="107"/>
      <c r="D92" s="105"/>
      <c r="E92" s="106"/>
      <c r="F92" s="104"/>
    </row>
    <row r="93" spans="1:6" x14ac:dyDescent="0.25">
      <c r="A93" s="105" t="str">
        <f>"3901940"</f>
        <v>3901940</v>
      </c>
      <c r="B93" s="105" t="s">
        <v>547</v>
      </c>
      <c r="C93" s="107">
        <v>3.12</v>
      </c>
      <c r="D93" s="105">
        <v>351384</v>
      </c>
      <c r="E93" s="106">
        <v>44232.376527777778</v>
      </c>
      <c r="F93" s="104">
        <v>2033</v>
      </c>
    </row>
    <row r="94" spans="1:6" x14ac:dyDescent="0.25">
      <c r="A94" s="105" t="str">
        <f>"3907330"</f>
        <v>3907330</v>
      </c>
      <c r="B94" s="105" t="s">
        <v>3777</v>
      </c>
      <c r="C94" s="107">
        <v>30.6</v>
      </c>
      <c r="D94" s="105">
        <v>351262</v>
      </c>
      <c r="E94" s="106">
        <v>44232.37940972222</v>
      </c>
      <c r="F94" s="104">
        <v>2034</v>
      </c>
    </row>
    <row r="95" spans="1:6" x14ac:dyDescent="0.25">
      <c r="A95" s="105" t="str">
        <f>"3902041"</f>
        <v>3902041</v>
      </c>
      <c r="B95" s="105" t="s">
        <v>3776</v>
      </c>
      <c r="C95" s="107">
        <v>16.760000000000002</v>
      </c>
      <c r="D95" s="105">
        <v>351184</v>
      </c>
      <c r="E95" s="106">
        <v>44232.380254629628</v>
      </c>
      <c r="F95" s="104">
        <v>2035</v>
      </c>
    </row>
    <row r="96" spans="1:6" x14ac:dyDescent="0.25">
      <c r="A96" s="105" t="str">
        <f>"3903866"</f>
        <v>3903866</v>
      </c>
      <c r="B96" s="105" t="s">
        <v>3775</v>
      </c>
      <c r="C96" s="107">
        <v>3.57</v>
      </c>
      <c r="D96" s="105">
        <v>352468</v>
      </c>
      <c r="E96" s="106">
        <v>44232.419166666667</v>
      </c>
      <c r="F96" s="104">
        <v>2036</v>
      </c>
    </row>
    <row r="97" spans="1:6" x14ac:dyDescent="0.25">
      <c r="A97" s="105" t="str">
        <f>"3901995"</f>
        <v>3901995</v>
      </c>
      <c r="B97" s="105" t="s">
        <v>1107</v>
      </c>
      <c r="C97" s="107">
        <v>1.8</v>
      </c>
      <c r="D97" s="105">
        <v>352128</v>
      </c>
      <c r="E97" s="106">
        <v>44232.592673611114</v>
      </c>
      <c r="F97" s="104">
        <v>2037</v>
      </c>
    </row>
    <row r="98" spans="1:6" x14ac:dyDescent="0.25">
      <c r="A98" s="105" t="str">
        <f>"3903217"</f>
        <v>3903217</v>
      </c>
      <c r="B98" s="105" t="s">
        <v>3743</v>
      </c>
      <c r="C98" s="107">
        <v>2.3199999999999998</v>
      </c>
      <c r="D98" s="105">
        <v>351461</v>
      </c>
      <c r="E98" s="106">
        <v>44232.605092592596</v>
      </c>
      <c r="F98" s="104">
        <v>2038</v>
      </c>
    </row>
    <row r="99" spans="1:6" x14ac:dyDescent="0.25">
      <c r="A99" s="105" t="str">
        <f>"3903841"</f>
        <v>3903841</v>
      </c>
      <c r="B99" s="105" t="s">
        <v>3743</v>
      </c>
      <c r="C99" s="107">
        <v>1.68</v>
      </c>
      <c r="D99" s="105">
        <v>352459</v>
      </c>
      <c r="E99" s="106">
        <v>44232.606631944444</v>
      </c>
      <c r="F99" s="104">
        <v>2039</v>
      </c>
    </row>
    <row r="100" spans="1:6" x14ac:dyDescent="0.25">
      <c r="A100" s="105" t="str">
        <f>"3960293"</f>
        <v>3960293</v>
      </c>
      <c r="B100" s="105" t="s">
        <v>3774</v>
      </c>
      <c r="C100" s="107">
        <v>7.82</v>
      </c>
      <c r="D100" s="105">
        <v>351080</v>
      </c>
      <c r="E100" s="106">
        <v>44232.819108796299</v>
      </c>
      <c r="F100" s="104">
        <v>2040</v>
      </c>
    </row>
    <row r="101" spans="1:6" x14ac:dyDescent="0.25">
      <c r="A101" s="105" t="str">
        <f>"3908534"</f>
        <v>3908534</v>
      </c>
      <c r="B101" s="105" t="s">
        <v>3773</v>
      </c>
      <c r="C101" s="107">
        <v>10.84</v>
      </c>
      <c r="D101" s="105">
        <v>352886</v>
      </c>
      <c r="E101" s="106">
        <v>44232.644074074073</v>
      </c>
      <c r="F101" s="104">
        <v>2041</v>
      </c>
    </row>
    <row r="102" spans="1:6" x14ac:dyDescent="0.25">
      <c r="A102" s="105"/>
      <c r="B102" s="104">
        <v>5</v>
      </c>
      <c r="C102" s="108">
        <f>SUM(C93:C101)</f>
        <v>78.510000000000005</v>
      </c>
      <c r="D102" s="105"/>
      <c r="E102" s="106"/>
      <c r="F102" s="104"/>
    </row>
    <row r="103" spans="1:6" x14ac:dyDescent="0.25">
      <c r="A103" s="105"/>
      <c r="B103" s="105"/>
      <c r="C103" s="107"/>
      <c r="D103" s="105"/>
      <c r="E103" s="106"/>
      <c r="F103" s="104"/>
    </row>
    <row r="104" spans="1:6" x14ac:dyDescent="0.25">
      <c r="A104" s="105" t="str">
        <f>"3903080"</f>
        <v>3903080</v>
      </c>
      <c r="B104" s="105" t="s">
        <v>3772</v>
      </c>
      <c r="C104" s="107">
        <v>1.68</v>
      </c>
      <c r="D104" s="105">
        <v>352440</v>
      </c>
      <c r="E104" s="106">
        <v>44235.463194444441</v>
      </c>
      <c r="F104" s="104">
        <v>2128</v>
      </c>
    </row>
    <row r="105" spans="1:6" x14ac:dyDescent="0.25">
      <c r="A105" s="105" t="str">
        <f>"3901650"</f>
        <v>3901650</v>
      </c>
      <c r="B105" s="105" t="s">
        <v>3771</v>
      </c>
      <c r="C105" s="107">
        <v>4.0999999999999996</v>
      </c>
      <c r="D105" s="105">
        <v>352694</v>
      </c>
      <c r="E105" s="106">
        <v>44235.492974537039</v>
      </c>
      <c r="F105" s="104">
        <v>2129</v>
      </c>
    </row>
    <row r="106" spans="1:6" x14ac:dyDescent="0.25">
      <c r="A106" s="105" t="str">
        <f>"3901741"</f>
        <v>3901741</v>
      </c>
      <c r="B106" s="105" t="s">
        <v>3770</v>
      </c>
      <c r="C106" s="107">
        <v>2.73</v>
      </c>
      <c r="D106" s="105">
        <v>352671</v>
      </c>
      <c r="E106" s="106">
        <v>44235.835439814815</v>
      </c>
      <c r="F106" s="104">
        <v>2130</v>
      </c>
    </row>
    <row r="107" spans="1:6" x14ac:dyDescent="0.25">
      <c r="A107" s="105" t="str">
        <f>"3900258"</f>
        <v>3900258</v>
      </c>
      <c r="B107" s="105" t="s">
        <v>3769</v>
      </c>
      <c r="C107" s="107">
        <v>6.34</v>
      </c>
      <c r="D107" s="105">
        <v>352177</v>
      </c>
      <c r="E107" s="106">
        <v>44235.425162037034</v>
      </c>
      <c r="F107" s="104">
        <v>2131</v>
      </c>
    </row>
    <row r="108" spans="1:6" x14ac:dyDescent="0.25">
      <c r="A108" s="105" t="str">
        <f>"3945048"</f>
        <v>3945048</v>
      </c>
      <c r="B108" s="105" t="s">
        <v>3768</v>
      </c>
      <c r="C108" s="107">
        <v>16.760000000000002</v>
      </c>
      <c r="D108" s="105">
        <v>351099</v>
      </c>
      <c r="E108" s="106">
        <v>44235.641597222224</v>
      </c>
      <c r="F108" s="104">
        <v>2132</v>
      </c>
    </row>
    <row r="109" spans="1:6" x14ac:dyDescent="0.25">
      <c r="A109" s="105" t="str">
        <f>"3900593"</f>
        <v>3900593</v>
      </c>
      <c r="B109" s="105" t="s">
        <v>3767</v>
      </c>
      <c r="C109" s="107">
        <v>1.96</v>
      </c>
      <c r="D109" s="105">
        <v>352271</v>
      </c>
      <c r="E109" s="106">
        <v>44235.755381944444</v>
      </c>
      <c r="F109" s="104" t="s">
        <v>3766</v>
      </c>
    </row>
    <row r="110" spans="1:6" x14ac:dyDescent="0.25">
      <c r="A110" s="105" t="str">
        <f>"3945281"</f>
        <v>3945281</v>
      </c>
      <c r="B110" s="105" t="s">
        <v>1125</v>
      </c>
      <c r="C110" s="107">
        <v>4.1900000000000004</v>
      </c>
      <c r="D110" s="105">
        <v>351225</v>
      </c>
      <c r="E110" s="106">
        <v>44235.80940972222</v>
      </c>
      <c r="F110" s="104">
        <v>2133</v>
      </c>
    </row>
    <row r="111" spans="1:6" x14ac:dyDescent="0.25">
      <c r="A111" s="105"/>
      <c r="B111" s="104">
        <v>6</v>
      </c>
      <c r="C111" s="108">
        <f>SUM(C104:C110)</f>
        <v>37.76</v>
      </c>
      <c r="D111" s="105"/>
      <c r="E111" s="106"/>
      <c r="F111" s="104"/>
    </row>
    <row r="112" spans="1:6" x14ac:dyDescent="0.25">
      <c r="A112" s="105"/>
      <c r="B112" s="105"/>
      <c r="C112" s="107"/>
      <c r="D112" s="105"/>
      <c r="E112" s="106"/>
      <c r="F112" s="104"/>
    </row>
    <row r="113" spans="1:6" x14ac:dyDescent="0.25">
      <c r="A113" s="105" t="str">
        <f>"3908384"</f>
        <v>3908384</v>
      </c>
      <c r="B113" s="105" t="s">
        <v>3765</v>
      </c>
      <c r="C113" s="107">
        <v>9.2799999999999994</v>
      </c>
      <c r="D113" s="105">
        <v>351005</v>
      </c>
      <c r="E113" s="106">
        <v>44236.387326388889</v>
      </c>
      <c r="F113" s="104">
        <v>2165</v>
      </c>
    </row>
    <row r="114" spans="1:6" x14ac:dyDescent="0.25">
      <c r="A114" s="105" t="str">
        <f>"3902744"</f>
        <v>3902744</v>
      </c>
      <c r="B114" s="105" t="s">
        <v>3764</v>
      </c>
      <c r="C114" s="107">
        <v>28.65</v>
      </c>
      <c r="D114" s="105">
        <v>352418</v>
      </c>
      <c r="E114" s="106">
        <v>44236.397129629629</v>
      </c>
      <c r="F114" s="104">
        <v>2166</v>
      </c>
    </row>
    <row r="115" spans="1:6" x14ac:dyDescent="0.25">
      <c r="A115" s="105" t="str">
        <f>"3900695"</f>
        <v>3900695</v>
      </c>
      <c r="B115" s="105" t="s">
        <v>3763</v>
      </c>
      <c r="C115" s="107">
        <v>5.88</v>
      </c>
      <c r="D115" s="105">
        <v>347572</v>
      </c>
      <c r="E115" s="106">
        <v>44236.430914351855</v>
      </c>
      <c r="F115" s="104">
        <v>2171</v>
      </c>
    </row>
    <row r="116" spans="1:6" x14ac:dyDescent="0.25">
      <c r="A116" s="105" t="str">
        <f>"3930391"</f>
        <v>3930391</v>
      </c>
      <c r="B116" s="105" t="s">
        <v>1100</v>
      </c>
      <c r="C116" s="107">
        <v>3.18</v>
      </c>
      <c r="D116" s="105">
        <v>351992</v>
      </c>
      <c r="E116" s="106">
        <v>44236.502175925925</v>
      </c>
      <c r="F116" s="104">
        <v>2167</v>
      </c>
    </row>
    <row r="117" spans="1:6" x14ac:dyDescent="0.25">
      <c r="A117" s="105" t="str">
        <f>"3908657"</f>
        <v>3908657</v>
      </c>
      <c r="B117" s="105" t="s">
        <v>1128</v>
      </c>
      <c r="C117" s="107">
        <v>5.51</v>
      </c>
      <c r="D117" s="105">
        <v>352094</v>
      </c>
      <c r="E117" s="106">
        <v>44236.520740740743</v>
      </c>
      <c r="F117" s="104">
        <v>2168</v>
      </c>
    </row>
    <row r="118" spans="1:6" x14ac:dyDescent="0.25">
      <c r="A118" s="105" t="str">
        <f>"23923029"</f>
        <v>23923029</v>
      </c>
      <c r="B118" s="105" t="s">
        <v>621</v>
      </c>
      <c r="C118" s="107">
        <v>6.82</v>
      </c>
      <c r="D118" s="105">
        <v>3631</v>
      </c>
      <c r="E118" s="106">
        <v>44236.562048611115</v>
      </c>
      <c r="F118" s="104">
        <v>2169</v>
      </c>
    </row>
    <row r="119" spans="1:6" x14ac:dyDescent="0.25">
      <c r="A119" s="105" t="str">
        <f>"3909239"</f>
        <v>3909239</v>
      </c>
      <c r="B119" s="105" t="s">
        <v>1087</v>
      </c>
      <c r="C119" s="107">
        <v>1.68</v>
      </c>
      <c r="D119" s="105">
        <v>352074</v>
      </c>
      <c r="E119" s="106">
        <v>44236.639062499999</v>
      </c>
      <c r="F119" s="104">
        <v>2170</v>
      </c>
    </row>
    <row r="120" spans="1:6" x14ac:dyDescent="0.25">
      <c r="A120" s="105"/>
      <c r="B120" s="104">
        <v>7</v>
      </c>
      <c r="C120" s="108">
        <f>SUM(C113:C119)</f>
        <v>61</v>
      </c>
      <c r="D120" s="105"/>
      <c r="E120" s="106"/>
      <c r="F120" s="104"/>
    </row>
    <row r="121" spans="1:6" x14ac:dyDescent="0.25">
      <c r="A121" s="105"/>
      <c r="B121" s="105"/>
      <c r="C121" s="107"/>
      <c r="D121" s="105"/>
      <c r="E121" s="106"/>
      <c r="F121" s="104"/>
    </row>
    <row r="122" spans="1:6" x14ac:dyDescent="0.25">
      <c r="A122" s="105" t="str">
        <f>"3907965"</f>
        <v>3907965</v>
      </c>
      <c r="B122" s="105" t="s">
        <v>1135</v>
      </c>
      <c r="C122" s="107">
        <v>6.72</v>
      </c>
      <c r="D122" s="105">
        <v>352624</v>
      </c>
      <c r="E122" s="106">
        <v>44237.526967592596</v>
      </c>
      <c r="F122" s="104">
        <v>2199</v>
      </c>
    </row>
    <row r="123" spans="1:6" x14ac:dyDescent="0.25">
      <c r="A123" s="105" t="str">
        <f>"3903952"</f>
        <v>3903952</v>
      </c>
      <c r="B123" s="105" t="s">
        <v>3762</v>
      </c>
      <c r="C123" s="107">
        <v>5.19</v>
      </c>
      <c r="D123" s="105">
        <v>352481</v>
      </c>
      <c r="E123" s="106">
        <v>44237.674386574072</v>
      </c>
      <c r="F123" s="104">
        <v>2200</v>
      </c>
    </row>
    <row r="124" spans="1:6" x14ac:dyDescent="0.25">
      <c r="A124" s="105"/>
      <c r="B124" s="104">
        <v>8</v>
      </c>
      <c r="C124" s="108">
        <f>SUM(C122:C123)</f>
        <v>11.91</v>
      </c>
      <c r="D124" s="105"/>
      <c r="E124" s="106"/>
      <c r="F124" s="104"/>
    </row>
    <row r="125" spans="1:6" x14ac:dyDescent="0.25">
      <c r="A125" s="105"/>
      <c r="B125" s="105"/>
      <c r="C125" s="107"/>
      <c r="D125" s="105"/>
      <c r="E125" s="106"/>
      <c r="F125" s="104"/>
    </row>
    <row r="126" spans="1:6" x14ac:dyDescent="0.25">
      <c r="A126" s="105" t="str">
        <f>"3900926"</f>
        <v>3900926</v>
      </c>
      <c r="B126" s="105" t="s">
        <v>3761</v>
      </c>
      <c r="C126" s="107">
        <v>2.0499999999999998</v>
      </c>
      <c r="D126" s="105">
        <v>352301</v>
      </c>
      <c r="E126" s="106">
        <v>44238.468275462961</v>
      </c>
      <c r="F126" s="104">
        <v>2231</v>
      </c>
    </row>
    <row r="127" spans="1:6" x14ac:dyDescent="0.25">
      <c r="A127" s="105" t="str">
        <f>"3902612"</f>
        <v>3902612</v>
      </c>
      <c r="B127" s="105" t="s">
        <v>3760</v>
      </c>
      <c r="C127" s="107">
        <v>3.57</v>
      </c>
      <c r="D127" s="105">
        <v>352716</v>
      </c>
      <c r="E127" s="106">
        <v>44238.488900462966</v>
      </c>
      <c r="F127" s="104">
        <v>2232</v>
      </c>
    </row>
    <row r="128" spans="1:6" x14ac:dyDescent="0.25">
      <c r="A128" s="105"/>
      <c r="B128" s="104">
        <v>9</v>
      </c>
      <c r="C128" s="108">
        <f>SUM(C126:C127)</f>
        <v>5.6199999999999992</v>
      </c>
      <c r="D128" s="105"/>
      <c r="E128" s="106"/>
      <c r="F128" s="104"/>
    </row>
    <row r="129" spans="1:6" x14ac:dyDescent="0.25">
      <c r="A129" s="105"/>
      <c r="B129" s="105"/>
      <c r="C129" s="107"/>
      <c r="D129" s="105"/>
      <c r="E129" s="106"/>
      <c r="F129" s="104"/>
    </row>
    <row r="130" spans="1:6" x14ac:dyDescent="0.25">
      <c r="A130" s="105" t="str">
        <f>"3909086"</f>
        <v>3909086</v>
      </c>
      <c r="B130" s="105" t="s">
        <v>3759</v>
      </c>
      <c r="C130" s="107">
        <v>2.4300000000000002</v>
      </c>
      <c r="D130" s="105">
        <v>351852</v>
      </c>
      <c r="E130" s="106">
        <v>44239.417893518519</v>
      </c>
      <c r="F130" s="104">
        <v>2279</v>
      </c>
    </row>
    <row r="131" spans="1:6" x14ac:dyDescent="0.25">
      <c r="A131" s="105" t="str">
        <f>"3960373"</f>
        <v>3960373</v>
      </c>
      <c r="B131" s="105" t="s">
        <v>626</v>
      </c>
      <c r="C131" s="107">
        <v>8.9</v>
      </c>
      <c r="D131" s="105">
        <v>351144</v>
      </c>
      <c r="E131" s="106">
        <v>44239.483877314815</v>
      </c>
      <c r="F131" s="104">
        <v>2280</v>
      </c>
    </row>
    <row r="132" spans="1:6" x14ac:dyDescent="0.25">
      <c r="A132" s="105" t="str">
        <f>"3900329"</f>
        <v>3900329</v>
      </c>
      <c r="B132" s="105" t="s">
        <v>1097</v>
      </c>
      <c r="C132" s="107">
        <v>2.99</v>
      </c>
      <c r="D132" s="105">
        <v>352192</v>
      </c>
      <c r="E132" s="106">
        <v>44239.657361111109</v>
      </c>
      <c r="F132" s="104">
        <v>2281</v>
      </c>
    </row>
    <row r="133" spans="1:6" x14ac:dyDescent="0.25">
      <c r="A133" s="105"/>
      <c r="B133" s="104">
        <v>10</v>
      </c>
      <c r="C133" s="108">
        <f>SUM(C130:C132)</f>
        <v>14.32</v>
      </c>
      <c r="D133" s="105"/>
      <c r="E133" s="106"/>
      <c r="F133" s="104"/>
    </row>
    <row r="134" spans="1:6" x14ac:dyDescent="0.25">
      <c r="A134" s="105"/>
      <c r="B134" s="105"/>
      <c r="C134" s="107"/>
      <c r="D134" s="105"/>
      <c r="E134" s="106"/>
      <c r="F134" s="104"/>
    </row>
    <row r="135" spans="1:6" x14ac:dyDescent="0.25">
      <c r="A135" s="105" t="str">
        <f>"3907960"</f>
        <v>3907960</v>
      </c>
      <c r="B135" s="105" t="s">
        <v>618</v>
      </c>
      <c r="C135" s="107">
        <v>3.34</v>
      </c>
      <c r="D135" s="105">
        <v>352009</v>
      </c>
      <c r="E135" s="106">
        <v>44244.438078703701</v>
      </c>
      <c r="F135" s="104" t="s">
        <v>3758</v>
      </c>
    </row>
    <row r="136" spans="1:6" x14ac:dyDescent="0.25">
      <c r="A136" s="105" t="str">
        <f>"3907618"</f>
        <v>3907618</v>
      </c>
      <c r="B136" s="105" t="s">
        <v>550</v>
      </c>
      <c r="C136" s="107">
        <v>4.4800000000000004</v>
      </c>
      <c r="D136" s="105">
        <v>352606</v>
      </c>
      <c r="E136" s="106">
        <v>44244.473877314813</v>
      </c>
      <c r="F136" s="104">
        <v>2355</v>
      </c>
    </row>
    <row r="137" spans="1:6" x14ac:dyDescent="0.25">
      <c r="A137" s="105" t="str">
        <f>"3908344"</f>
        <v>3908344</v>
      </c>
      <c r="B137" s="105" t="s">
        <v>1130</v>
      </c>
      <c r="C137" s="107">
        <v>3.76</v>
      </c>
      <c r="D137" s="105">
        <v>352768</v>
      </c>
      <c r="E137" s="106">
        <v>44244.474363425928</v>
      </c>
      <c r="F137" s="104">
        <v>2356</v>
      </c>
    </row>
    <row r="138" spans="1:6" x14ac:dyDescent="0.25">
      <c r="A138" s="105" t="str">
        <f>"3907489"</f>
        <v>3907489</v>
      </c>
      <c r="B138" s="105" t="s">
        <v>1092</v>
      </c>
      <c r="C138" s="107">
        <v>6.94</v>
      </c>
      <c r="D138" s="105">
        <v>351330</v>
      </c>
      <c r="E138" s="106">
        <v>44244.61277777778</v>
      </c>
      <c r="F138" s="104">
        <v>2357</v>
      </c>
    </row>
    <row r="139" spans="1:6" x14ac:dyDescent="0.25">
      <c r="A139" s="105"/>
      <c r="B139" s="104">
        <v>11</v>
      </c>
      <c r="C139" s="108">
        <f>SUM(C135:C138)</f>
        <v>18.52</v>
      </c>
      <c r="D139" s="105"/>
      <c r="E139" s="106"/>
      <c r="F139" s="104"/>
    </row>
    <row r="140" spans="1:6" x14ac:dyDescent="0.25">
      <c r="A140" s="105"/>
      <c r="B140" s="105"/>
      <c r="C140" s="107"/>
      <c r="D140" s="105"/>
      <c r="E140" s="106"/>
      <c r="F140" s="104"/>
    </row>
    <row r="141" spans="1:6" x14ac:dyDescent="0.25">
      <c r="A141" s="105" t="str">
        <f>"3900257"</f>
        <v>3900257</v>
      </c>
      <c r="B141" s="105" t="s">
        <v>3757</v>
      </c>
      <c r="C141" s="107">
        <v>2.68</v>
      </c>
      <c r="D141" s="105">
        <v>352176</v>
      </c>
      <c r="E141" s="106">
        <v>44245.684930555559</v>
      </c>
      <c r="F141" s="104">
        <v>2399</v>
      </c>
    </row>
    <row r="142" spans="1:6" x14ac:dyDescent="0.25">
      <c r="A142" s="105" t="str">
        <f>"3904232"</f>
        <v>3904232</v>
      </c>
      <c r="B142" s="105" t="s">
        <v>1122</v>
      </c>
      <c r="C142" s="107">
        <v>12.34</v>
      </c>
      <c r="D142" s="105">
        <v>352996</v>
      </c>
      <c r="E142" s="106">
        <v>44245.46603009259</v>
      </c>
      <c r="F142" s="104">
        <v>2400</v>
      </c>
    </row>
    <row r="143" spans="1:6" x14ac:dyDescent="0.25">
      <c r="A143" s="105"/>
      <c r="B143" s="104">
        <v>12</v>
      </c>
      <c r="C143" s="108">
        <f>SUM(C141:C142)</f>
        <v>15.02</v>
      </c>
      <c r="D143" s="105"/>
      <c r="E143" s="106"/>
      <c r="F143" s="104"/>
    </row>
    <row r="144" spans="1:6" x14ac:dyDescent="0.25">
      <c r="A144" s="105"/>
      <c r="B144" s="105"/>
      <c r="C144" s="107"/>
      <c r="D144" s="105"/>
      <c r="E144" s="106"/>
      <c r="F144" s="104"/>
    </row>
    <row r="145" spans="1:6" x14ac:dyDescent="0.25">
      <c r="A145" s="105" t="str">
        <f>"3906821"</f>
        <v>3906821</v>
      </c>
      <c r="B145" s="105" t="s">
        <v>629</v>
      </c>
      <c r="C145" s="107">
        <v>3</v>
      </c>
      <c r="D145" s="105">
        <v>351935</v>
      </c>
      <c r="E145" s="106">
        <v>44246.376099537039</v>
      </c>
      <c r="F145" s="104">
        <v>2420</v>
      </c>
    </row>
    <row r="146" spans="1:6" x14ac:dyDescent="0.25">
      <c r="A146" s="105" t="str">
        <f>"3906070"</f>
        <v>3906070</v>
      </c>
      <c r="B146" s="105" t="s">
        <v>1132</v>
      </c>
      <c r="C146" s="107">
        <v>18.100000000000001</v>
      </c>
      <c r="D146" s="105">
        <v>351259</v>
      </c>
      <c r="E146" s="106">
        <v>44246.494259259256</v>
      </c>
      <c r="F146" s="104">
        <v>2421</v>
      </c>
    </row>
    <row r="147" spans="1:6" x14ac:dyDescent="0.25">
      <c r="A147" s="105"/>
      <c r="B147" s="104">
        <v>13</v>
      </c>
      <c r="C147" s="108">
        <f>SUM(C145:C146)</f>
        <v>21.1</v>
      </c>
      <c r="D147" s="105"/>
      <c r="E147" s="106"/>
      <c r="F147" s="104"/>
    </row>
    <row r="148" spans="1:6" x14ac:dyDescent="0.25">
      <c r="A148" s="105"/>
      <c r="B148" s="105"/>
      <c r="C148" s="107"/>
      <c r="D148" s="105"/>
      <c r="E148" s="106"/>
      <c r="F148" s="104"/>
    </row>
    <row r="149" spans="1:6" x14ac:dyDescent="0.25">
      <c r="A149" s="105" t="str">
        <f>"3920203"</f>
        <v>3920203</v>
      </c>
      <c r="B149" s="105" t="s">
        <v>1088</v>
      </c>
      <c r="C149" s="107">
        <v>17.899999999999999</v>
      </c>
      <c r="D149" s="105">
        <v>351059</v>
      </c>
      <c r="E149" s="106">
        <v>44249.551145833335</v>
      </c>
      <c r="F149" s="104">
        <v>2488</v>
      </c>
    </row>
    <row r="150" spans="1:6" x14ac:dyDescent="0.25">
      <c r="A150" s="105" t="str">
        <f>"3907238"</f>
        <v>3907238</v>
      </c>
      <c r="B150" s="105" t="s">
        <v>3756</v>
      </c>
      <c r="C150" s="107">
        <v>20.82</v>
      </c>
      <c r="D150" s="105">
        <v>351304</v>
      </c>
      <c r="E150" s="106">
        <v>44249.460925925923</v>
      </c>
      <c r="F150" s="104">
        <v>2494</v>
      </c>
    </row>
    <row r="151" spans="1:6" x14ac:dyDescent="0.25">
      <c r="A151" s="105" t="str">
        <f>"3960252"</f>
        <v>3960252</v>
      </c>
      <c r="B151" s="105" t="s">
        <v>1106</v>
      </c>
      <c r="C151" s="107">
        <v>8.3800000000000008</v>
      </c>
      <c r="D151" s="105">
        <v>351113</v>
      </c>
      <c r="E151" s="106">
        <v>44249.478252314817</v>
      </c>
      <c r="F151" s="104">
        <v>2489</v>
      </c>
    </row>
    <row r="152" spans="1:6" x14ac:dyDescent="0.25">
      <c r="A152" s="105" t="str">
        <f>"3903951"</f>
        <v>3903951</v>
      </c>
      <c r="B152" s="105" t="s">
        <v>1565</v>
      </c>
      <c r="C152" s="107">
        <v>4.1900000000000004</v>
      </c>
      <c r="D152" s="105">
        <v>351231</v>
      </c>
      <c r="E152" s="106">
        <v>44249.481840277775</v>
      </c>
      <c r="F152" s="104">
        <v>2490</v>
      </c>
    </row>
    <row r="153" spans="1:6" x14ac:dyDescent="0.25">
      <c r="A153" s="105" t="str">
        <f>"3907531"</f>
        <v>3907531</v>
      </c>
      <c r="B153" s="105" t="s">
        <v>3755</v>
      </c>
      <c r="C153" s="107">
        <v>11.75</v>
      </c>
      <c r="D153" s="105">
        <v>351339</v>
      </c>
      <c r="E153" s="106">
        <v>44249.445787037039</v>
      </c>
      <c r="F153" s="104">
        <v>2491</v>
      </c>
    </row>
    <row r="154" spans="1:6" x14ac:dyDescent="0.25">
      <c r="A154" s="105" t="str">
        <f>"3908182"</f>
        <v>3908182</v>
      </c>
      <c r="B154" s="105" t="s">
        <v>3754</v>
      </c>
      <c r="C154" s="107">
        <v>6.24</v>
      </c>
      <c r="D154" s="105">
        <v>352665</v>
      </c>
      <c r="E154" s="106">
        <v>44249.468564814815</v>
      </c>
      <c r="F154" s="104">
        <v>2495</v>
      </c>
    </row>
    <row r="155" spans="1:6" x14ac:dyDescent="0.25">
      <c r="A155" s="105" t="str">
        <f>"3950310"</f>
        <v>3950310</v>
      </c>
      <c r="B155" s="105" t="s">
        <v>3753</v>
      </c>
      <c r="C155" s="107">
        <v>8.3800000000000008</v>
      </c>
      <c r="D155" s="105">
        <v>351170</v>
      </c>
      <c r="E155" s="106">
        <v>44249.604837962965</v>
      </c>
      <c r="F155" s="104" t="s">
        <v>3752</v>
      </c>
    </row>
    <row r="156" spans="1:6" x14ac:dyDescent="0.25">
      <c r="A156" s="105" t="str">
        <f>"3902021"</f>
        <v>3902021</v>
      </c>
      <c r="B156" s="105" t="s">
        <v>3751</v>
      </c>
      <c r="C156" s="107">
        <v>8.9600000000000009</v>
      </c>
      <c r="D156" s="105">
        <v>350816</v>
      </c>
      <c r="E156" s="106">
        <v>44249.658819444441</v>
      </c>
      <c r="F156" s="104">
        <v>2492</v>
      </c>
    </row>
    <row r="157" spans="1:6" x14ac:dyDescent="0.25">
      <c r="A157" s="105" t="str">
        <f>"3902159"</f>
        <v>3902159</v>
      </c>
      <c r="B157" s="105" t="s">
        <v>3751</v>
      </c>
      <c r="C157" s="107">
        <v>13.68</v>
      </c>
      <c r="D157" s="105">
        <v>350863</v>
      </c>
      <c r="E157" s="106">
        <v>44249.658958333333</v>
      </c>
      <c r="F157" s="104">
        <v>2493</v>
      </c>
    </row>
    <row r="158" spans="1:6" x14ac:dyDescent="0.25">
      <c r="A158" s="105"/>
      <c r="B158" s="104">
        <v>14</v>
      </c>
      <c r="C158" s="108">
        <f>SUM(C149:C157)</f>
        <v>100.30000000000001</v>
      </c>
      <c r="D158" s="105"/>
      <c r="E158" s="106"/>
      <c r="F158" s="104"/>
    </row>
    <row r="159" spans="1:6" x14ac:dyDescent="0.25">
      <c r="A159" s="105"/>
      <c r="B159" s="105"/>
      <c r="C159" s="107"/>
      <c r="D159" s="105"/>
      <c r="E159" s="106"/>
      <c r="F159" s="104"/>
    </row>
    <row r="160" spans="1:6" x14ac:dyDescent="0.25">
      <c r="A160" s="105" t="str">
        <f>"3908129"</f>
        <v>3908129</v>
      </c>
      <c r="B160" s="105" t="s">
        <v>1105</v>
      </c>
      <c r="C160" s="107">
        <v>2.0699999999999998</v>
      </c>
      <c r="D160" s="105">
        <v>354988</v>
      </c>
      <c r="E160" s="106">
        <v>44251.298333333332</v>
      </c>
      <c r="F160" s="104">
        <v>2594</v>
      </c>
    </row>
    <row r="161" spans="1:6" x14ac:dyDescent="0.25">
      <c r="A161" s="105" t="str">
        <f>"3960276"</f>
        <v>3960276</v>
      </c>
      <c r="B161" s="105" t="s">
        <v>3750</v>
      </c>
      <c r="C161" s="107">
        <v>24.6</v>
      </c>
      <c r="D161" s="105">
        <v>353415</v>
      </c>
      <c r="E161" s="106">
        <v>44251.347974537035</v>
      </c>
      <c r="F161" s="104">
        <v>2595</v>
      </c>
    </row>
    <row r="162" spans="1:6" x14ac:dyDescent="0.25">
      <c r="A162" s="105" t="str">
        <f>"3960360"</f>
        <v>3960360</v>
      </c>
      <c r="B162" s="105" t="s">
        <v>3749</v>
      </c>
      <c r="C162" s="107">
        <v>25.14</v>
      </c>
      <c r="D162" s="105">
        <v>351131</v>
      </c>
      <c r="E162" s="106">
        <v>44251.366956018515</v>
      </c>
      <c r="F162" s="104">
        <v>2604</v>
      </c>
    </row>
    <row r="163" spans="1:6" x14ac:dyDescent="0.25">
      <c r="A163" s="105" t="str">
        <f>"3903204"</f>
        <v>3903204</v>
      </c>
      <c r="B163" s="105" t="s">
        <v>1101</v>
      </c>
      <c r="C163" s="107">
        <v>12.08</v>
      </c>
      <c r="D163" s="105">
        <v>353776</v>
      </c>
      <c r="E163" s="106">
        <v>44251.515740740739</v>
      </c>
      <c r="F163" s="104">
        <v>2596</v>
      </c>
    </row>
    <row r="164" spans="1:6" x14ac:dyDescent="0.25">
      <c r="A164" s="105" t="str">
        <f>"3901111"</f>
        <v>3901111</v>
      </c>
      <c r="B164" s="105" t="s">
        <v>636</v>
      </c>
      <c r="C164" s="107">
        <v>9.6199999999999992</v>
      </c>
      <c r="D164" s="105">
        <v>353117</v>
      </c>
      <c r="E164" s="106">
        <v>44251.537743055553</v>
      </c>
      <c r="F164" s="104">
        <v>2597</v>
      </c>
    </row>
    <row r="165" spans="1:6" x14ac:dyDescent="0.25">
      <c r="A165" s="105" t="str">
        <f>"3920083"</f>
        <v>3920083</v>
      </c>
      <c r="B165" s="105" t="s">
        <v>630</v>
      </c>
      <c r="C165" s="107">
        <v>9.67</v>
      </c>
      <c r="D165" s="105">
        <v>353422</v>
      </c>
      <c r="E165" s="106">
        <v>44251.554409722223</v>
      </c>
      <c r="F165" s="104">
        <v>2598</v>
      </c>
    </row>
    <row r="166" spans="1:6" x14ac:dyDescent="0.25">
      <c r="A166" s="105" t="str">
        <f>"3908292"</f>
        <v>3908292</v>
      </c>
      <c r="B166" s="105" t="s">
        <v>1567</v>
      </c>
      <c r="C166" s="107">
        <v>3.81</v>
      </c>
      <c r="D166" s="105">
        <v>355072</v>
      </c>
      <c r="E166" s="106">
        <v>44251.568541666667</v>
      </c>
      <c r="F166" s="104">
        <v>2599</v>
      </c>
    </row>
    <row r="167" spans="1:6" x14ac:dyDescent="0.25">
      <c r="A167" s="105" t="str">
        <f>"3960257"</f>
        <v>3960257</v>
      </c>
      <c r="B167" s="105" t="s">
        <v>605</v>
      </c>
      <c r="C167" s="107">
        <v>15.3</v>
      </c>
      <c r="D167" s="105">
        <v>352972</v>
      </c>
      <c r="E167" s="106">
        <v>44251.609849537039</v>
      </c>
      <c r="F167" s="104">
        <v>2600</v>
      </c>
    </row>
    <row r="168" spans="1:6" x14ac:dyDescent="0.25">
      <c r="A168" s="105" t="str">
        <f>"3960275"</f>
        <v>3960275</v>
      </c>
      <c r="B168" s="105" t="s">
        <v>605</v>
      </c>
      <c r="C168" s="107">
        <v>17.28</v>
      </c>
      <c r="D168" s="105">
        <v>352979</v>
      </c>
      <c r="E168" s="106">
        <v>44251.610277777778</v>
      </c>
      <c r="F168" s="104">
        <v>2601</v>
      </c>
    </row>
    <row r="169" spans="1:6" x14ac:dyDescent="0.25">
      <c r="A169" s="105" t="str">
        <f>"3908939"</f>
        <v>3908939</v>
      </c>
      <c r="B169" s="105" t="s">
        <v>1119</v>
      </c>
      <c r="C169" s="107">
        <v>6.16</v>
      </c>
      <c r="D169" s="105">
        <v>353107</v>
      </c>
      <c r="E169" s="106">
        <v>44251.662349537037</v>
      </c>
      <c r="F169" s="104">
        <v>2602</v>
      </c>
    </row>
    <row r="170" spans="1:6" x14ac:dyDescent="0.25">
      <c r="A170" s="105" t="str">
        <f>"3907139"</f>
        <v>3907139</v>
      </c>
      <c r="B170" s="105" t="s">
        <v>3748</v>
      </c>
      <c r="C170" s="107">
        <v>11.8</v>
      </c>
      <c r="D170" s="105">
        <v>353611</v>
      </c>
      <c r="E170" s="106">
        <v>44251.664131944446</v>
      </c>
      <c r="F170" s="104">
        <v>2603</v>
      </c>
    </row>
    <row r="171" spans="1:6" x14ac:dyDescent="0.25">
      <c r="A171" s="105"/>
      <c r="B171" s="104">
        <v>15</v>
      </c>
      <c r="C171" s="108">
        <f>SUM(C160:C170)</f>
        <v>137.53</v>
      </c>
      <c r="D171" s="105"/>
      <c r="E171" s="106"/>
      <c r="F171" s="104"/>
    </row>
    <row r="172" spans="1:6" x14ac:dyDescent="0.25">
      <c r="A172" s="105"/>
      <c r="B172" s="105"/>
      <c r="C172" s="107"/>
      <c r="D172" s="105"/>
      <c r="E172" s="106"/>
      <c r="F172" s="104"/>
    </row>
    <row r="173" spans="1:6" x14ac:dyDescent="0.25">
      <c r="A173" s="105" t="str">
        <f>"3945401"</f>
        <v>3945401</v>
      </c>
      <c r="B173" s="105" t="s">
        <v>633</v>
      </c>
      <c r="C173" s="107">
        <v>16.760000000000002</v>
      </c>
      <c r="D173" s="105">
        <v>353477</v>
      </c>
      <c r="E173" s="106">
        <v>44252.402071759258</v>
      </c>
      <c r="F173" s="104">
        <v>2646</v>
      </c>
    </row>
    <row r="174" spans="1:6" x14ac:dyDescent="0.25">
      <c r="A174" s="105" t="str">
        <f>"3960344"</f>
        <v>3960344</v>
      </c>
      <c r="B174" s="105" t="s">
        <v>3747</v>
      </c>
      <c r="C174" s="107">
        <v>8.3800000000000008</v>
      </c>
      <c r="D174" s="105">
        <v>353455</v>
      </c>
      <c r="E174" s="106">
        <v>44252.459861111114</v>
      </c>
      <c r="F174" s="104">
        <v>2647</v>
      </c>
    </row>
    <row r="175" spans="1:6" x14ac:dyDescent="0.25">
      <c r="A175" s="105" t="str">
        <f>"3920348"</f>
        <v>3920348</v>
      </c>
      <c r="B175" s="105" t="s">
        <v>3746</v>
      </c>
      <c r="C175" s="107">
        <v>16.760000000000002</v>
      </c>
      <c r="D175" s="105">
        <v>353424</v>
      </c>
      <c r="E175" s="106">
        <v>44252.603935185187</v>
      </c>
      <c r="F175" s="104">
        <v>2648</v>
      </c>
    </row>
    <row r="176" spans="1:6" x14ac:dyDescent="0.25">
      <c r="A176" s="105" t="str">
        <f>"3908293"</f>
        <v>3908293</v>
      </c>
      <c r="B176" s="105" t="s">
        <v>1564</v>
      </c>
      <c r="C176" s="107">
        <v>1.68</v>
      </c>
      <c r="D176" s="105">
        <v>355073</v>
      </c>
      <c r="E176" s="106">
        <v>44252.628645833334</v>
      </c>
      <c r="F176" s="104">
        <v>2649</v>
      </c>
    </row>
    <row r="177" spans="1:6" x14ac:dyDescent="0.25">
      <c r="A177" s="105" t="str">
        <f>"3900176"</f>
        <v>3900176</v>
      </c>
      <c r="B177" s="105" t="s">
        <v>1114</v>
      </c>
      <c r="C177" s="107">
        <v>1.98</v>
      </c>
      <c r="D177" s="105">
        <v>353306</v>
      </c>
      <c r="E177" s="106">
        <v>44252.639513888891</v>
      </c>
      <c r="F177" s="104">
        <v>2650</v>
      </c>
    </row>
    <row r="178" spans="1:6" x14ac:dyDescent="0.25">
      <c r="A178" s="105" t="str">
        <f>"3930021"</f>
        <v>3930021</v>
      </c>
      <c r="B178" s="105" t="s">
        <v>1120</v>
      </c>
      <c r="C178" s="107">
        <v>1.68</v>
      </c>
      <c r="D178" s="105">
        <v>353900</v>
      </c>
      <c r="E178" s="106">
        <v>44252.64234953704</v>
      </c>
      <c r="F178" s="104">
        <v>2651</v>
      </c>
    </row>
    <row r="179" spans="1:6" x14ac:dyDescent="0.25">
      <c r="A179" s="105" t="str">
        <f>"3903105"</f>
        <v>3903105</v>
      </c>
      <c r="B179" s="105" t="s">
        <v>611</v>
      </c>
      <c r="C179" s="107">
        <v>1.94</v>
      </c>
      <c r="D179" s="105">
        <v>353210</v>
      </c>
      <c r="E179" s="106">
        <v>44252.724675925929</v>
      </c>
      <c r="F179" s="104">
        <v>2652</v>
      </c>
    </row>
    <row r="180" spans="1:6" x14ac:dyDescent="0.25">
      <c r="A180" s="105"/>
      <c r="B180" s="144">
        <v>16</v>
      </c>
      <c r="C180" s="171">
        <f>SUM(C173:C179)</f>
        <v>49.18</v>
      </c>
      <c r="D180" s="105"/>
      <c r="E180" s="106"/>
      <c r="F180" s="144"/>
    </row>
    <row r="181" spans="1:6" x14ac:dyDescent="0.25">
      <c r="A181" s="105"/>
      <c r="B181" s="105"/>
      <c r="C181" s="107"/>
      <c r="D181" s="105"/>
      <c r="E181" s="106"/>
      <c r="F181" s="144"/>
    </row>
    <row r="182" spans="1:6" x14ac:dyDescent="0.25">
      <c r="A182" s="105" t="str">
        <f>"3930030"</f>
        <v>3930030</v>
      </c>
      <c r="B182" s="105" t="s">
        <v>1111</v>
      </c>
      <c r="C182" s="107">
        <v>2.2400000000000002</v>
      </c>
      <c r="D182" s="105">
        <v>353903</v>
      </c>
      <c r="E182" s="106">
        <v>44253.330405092594</v>
      </c>
      <c r="F182" s="104">
        <v>2775</v>
      </c>
    </row>
    <row r="183" spans="1:6" x14ac:dyDescent="0.25">
      <c r="A183" s="23" t="str">
        <f>"3902710"</f>
        <v>3902710</v>
      </c>
      <c r="B183" s="23" t="s">
        <v>632</v>
      </c>
      <c r="C183" s="23">
        <v>2.09</v>
      </c>
      <c r="D183" s="23">
        <v>354744</v>
      </c>
      <c r="E183" s="24">
        <v>44253.331458333334</v>
      </c>
      <c r="F183" s="85">
        <v>2776</v>
      </c>
    </row>
    <row r="184" spans="1:6" x14ac:dyDescent="0.25">
      <c r="A184" s="23" t="str">
        <f>"3930280"</f>
        <v>3930280</v>
      </c>
      <c r="B184" s="23" t="s">
        <v>637</v>
      </c>
      <c r="C184" s="23">
        <v>1.68</v>
      </c>
      <c r="D184" s="23">
        <v>354207</v>
      </c>
      <c r="E184" s="24">
        <v>44253.362754629627</v>
      </c>
      <c r="F184" s="85">
        <v>2777</v>
      </c>
    </row>
    <row r="185" spans="1:6" x14ac:dyDescent="0.25">
      <c r="A185" s="23" t="str">
        <f>"3930201"</f>
        <v>3930201</v>
      </c>
      <c r="B185" s="23" t="s">
        <v>3566</v>
      </c>
      <c r="C185" s="23">
        <v>1.98</v>
      </c>
      <c r="D185" s="23">
        <v>353130</v>
      </c>
      <c r="E185" s="24">
        <v>44253.389398148145</v>
      </c>
      <c r="F185" s="85">
        <v>2778</v>
      </c>
    </row>
    <row r="186" spans="1:6" x14ac:dyDescent="0.25">
      <c r="A186" s="23" t="str">
        <f>"3901913"</f>
        <v>3901913</v>
      </c>
      <c r="B186" s="23" t="s">
        <v>612</v>
      </c>
      <c r="C186" s="23">
        <v>4.1900000000000004</v>
      </c>
      <c r="D186" s="23">
        <v>353216</v>
      </c>
      <c r="E186" s="24">
        <v>44253.410405092596</v>
      </c>
      <c r="F186" s="85">
        <v>2779</v>
      </c>
    </row>
    <row r="187" spans="1:6" x14ac:dyDescent="0.25">
      <c r="A187" s="23" t="str">
        <f>"3902951"</f>
        <v>3902951</v>
      </c>
      <c r="B187" s="23" t="s">
        <v>612</v>
      </c>
      <c r="C187" s="23">
        <v>2.15</v>
      </c>
      <c r="D187" s="23">
        <v>353221</v>
      </c>
      <c r="E187" s="24">
        <v>44253.410543981481</v>
      </c>
      <c r="F187" s="85">
        <v>2780</v>
      </c>
    </row>
    <row r="188" spans="1:6" x14ac:dyDescent="0.25">
      <c r="A188" s="23" t="str">
        <f>"3960265"</f>
        <v>3960265</v>
      </c>
      <c r="B188" s="23" t="s">
        <v>638</v>
      </c>
      <c r="C188" s="23">
        <v>12.3</v>
      </c>
      <c r="D188" s="23">
        <v>353395</v>
      </c>
      <c r="E188" s="24">
        <v>44253.436689814815</v>
      </c>
      <c r="F188" s="85">
        <v>2781</v>
      </c>
    </row>
    <row r="189" spans="1:6" x14ac:dyDescent="0.25">
      <c r="A189" s="23" t="str">
        <f>"3908209"</f>
        <v>3908209</v>
      </c>
      <c r="B189" s="23" t="s">
        <v>1129</v>
      </c>
      <c r="C189" s="23">
        <v>2.4500000000000002</v>
      </c>
      <c r="D189" s="23">
        <v>355024</v>
      </c>
      <c r="E189" s="24">
        <v>44253.462824074071</v>
      </c>
      <c r="F189" s="85">
        <v>2782</v>
      </c>
    </row>
    <row r="190" spans="1:6" x14ac:dyDescent="0.25">
      <c r="A190" s="23" t="str">
        <f>"3920065"</f>
        <v>3920065</v>
      </c>
      <c r="B190" s="23" t="s">
        <v>610</v>
      </c>
      <c r="C190" s="23">
        <v>15.3</v>
      </c>
      <c r="D190" s="23">
        <v>352971</v>
      </c>
      <c r="E190" s="24">
        <v>44253.499062499999</v>
      </c>
      <c r="F190" s="85">
        <v>2783</v>
      </c>
    </row>
    <row r="191" spans="1:6" x14ac:dyDescent="0.25">
      <c r="A191" s="23" t="str">
        <f>"3960269"</f>
        <v>3960269</v>
      </c>
      <c r="B191" s="23" t="s">
        <v>3745</v>
      </c>
      <c r="C191" s="23">
        <v>24.6</v>
      </c>
      <c r="D191" s="23">
        <v>353398</v>
      </c>
      <c r="E191" s="24">
        <v>44253.603206018517</v>
      </c>
      <c r="F191" s="85">
        <v>2784</v>
      </c>
    </row>
    <row r="192" spans="1:6" x14ac:dyDescent="0.25">
      <c r="A192" s="23" t="str">
        <f>"3903497"</f>
        <v>3903497</v>
      </c>
      <c r="B192" s="23" t="s">
        <v>1117</v>
      </c>
      <c r="C192" s="23">
        <v>5.99</v>
      </c>
      <c r="D192" s="23">
        <v>353313</v>
      </c>
      <c r="E192" s="24">
        <v>44253.605787037035</v>
      </c>
      <c r="F192" s="85">
        <v>2785</v>
      </c>
    </row>
    <row r="193" spans="1:6" x14ac:dyDescent="0.25">
      <c r="A193" s="23" t="str">
        <f>"3960313"</f>
        <v>3960313</v>
      </c>
      <c r="B193" s="23" t="s">
        <v>3744</v>
      </c>
      <c r="C193" s="23">
        <v>23.46</v>
      </c>
      <c r="D193" s="23">
        <v>353503</v>
      </c>
      <c r="E193" s="24">
        <v>44253.641504629632</v>
      </c>
      <c r="F193" s="85">
        <v>2786</v>
      </c>
    </row>
    <row r="194" spans="1:6" x14ac:dyDescent="0.25">
      <c r="A194" s="23" t="str">
        <f>"3909154"</f>
        <v>3909154</v>
      </c>
      <c r="B194" s="23" t="s">
        <v>1113</v>
      </c>
      <c r="C194" s="23">
        <v>14.85</v>
      </c>
      <c r="D194" s="23">
        <v>353176</v>
      </c>
      <c r="E194" s="24">
        <v>44253.651886574073</v>
      </c>
      <c r="F194" s="85">
        <v>2788</v>
      </c>
    </row>
    <row r="195" spans="1:6" x14ac:dyDescent="0.25">
      <c r="A195" s="23" t="str">
        <f>"3930394"</f>
        <v>3930394</v>
      </c>
      <c r="B195" s="23" t="s">
        <v>558</v>
      </c>
      <c r="C195" s="23">
        <v>2.81</v>
      </c>
      <c r="D195" s="23">
        <v>354336</v>
      </c>
      <c r="E195" s="24">
        <v>44253.69258101852</v>
      </c>
      <c r="F195" s="85">
        <v>2789</v>
      </c>
    </row>
    <row r="196" spans="1:6" x14ac:dyDescent="0.25">
      <c r="A196" s="23" t="str">
        <f>"3903841"</f>
        <v>3903841</v>
      </c>
      <c r="B196" s="23" t="s">
        <v>3743</v>
      </c>
      <c r="C196" s="23">
        <v>1.68</v>
      </c>
      <c r="D196" s="23">
        <v>354803</v>
      </c>
      <c r="E196" s="24">
        <v>44253.757847222223</v>
      </c>
      <c r="F196" s="85">
        <v>2790</v>
      </c>
    </row>
    <row r="197" spans="1:6" x14ac:dyDescent="0.25">
      <c r="A197" s="23" t="str">
        <f>"3900563"</f>
        <v>3900563</v>
      </c>
      <c r="B197" s="23" t="s">
        <v>3567</v>
      </c>
      <c r="C197" s="23">
        <v>7.76</v>
      </c>
      <c r="D197" s="23">
        <v>354595</v>
      </c>
      <c r="E197" s="24">
        <v>44253.76829861111</v>
      </c>
      <c r="F197" s="85">
        <v>2791</v>
      </c>
    </row>
    <row r="198" spans="1:6" x14ac:dyDescent="0.25">
      <c r="A198" s="23"/>
      <c r="B198" s="145">
        <v>17</v>
      </c>
      <c r="C198" s="172">
        <f>SUM(C182:C197)</f>
        <v>125.53000000000002</v>
      </c>
      <c r="D198" s="23"/>
      <c r="E198" s="24"/>
      <c r="F198" s="85"/>
    </row>
    <row r="199" spans="1:6" x14ac:dyDescent="0.25">
      <c r="A199" s="23"/>
      <c r="B199" s="23"/>
      <c r="C199" s="23"/>
      <c r="D199" s="23"/>
      <c r="E199" s="24"/>
      <c r="F199" s="85"/>
    </row>
    <row r="200" spans="1:6" x14ac:dyDescent="0.25">
      <c r="A200" s="23"/>
      <c r="B200" s="23"/>
      <c r="C200" s="23"/>
      <c r="D200" s="23"/>
      <c r="E200" s="24"/>
      <c r="F200" s="85"/>
    </row>
    <row r="201" spans="1:6" x14ac:dyDescent="0.25">
      <c r="A201" s="23"/>
      <c r="B201" s="23"/>
      <c r="C201" s="23"/>
      <c r="D201" s="23"/>
      <c r="E201" s="24"/>
      <c r="F201" s="85"/>
    </row>
    <row r="202" spans="1:6" x14ac:dyDescent="0.25">
      <c r="A202" s="23"/>
      <c r="B202" s="23"/>
      <c r="C202" s="23"/>
      <c r="D202" s="23"/>
      <c r="E202" s="24"/>
      <c r="F202" s="85"/>
    </row>
    <row r="203" spans="1:6" x14ac:dyDescent="0.25">
      <c r="A203" s="23"/>
      <c r="B203" s="23"/>
      <c r="C203" s="23"/>
      <c r="D203" s="23"/>
      <c r="E203" s="24"/>
      <c r="F203" s="85"/>
    </row>
    <row r="204" spans="1:6" x14ac:dyDescent="0.25">
      <c r="A204" s="23"/>
      <c r="B204" s="23"/>
      <c r="C204" s="23"/>
      <c r="D204" s="23"/>
      <c r="E204" s="24"/>
      <c r="F204" s="85"/>
    </row>
    <row r="205" spans="1:6" x14ac:dyDescent="0.25">
      <c r="A205" s="23"/>
      <c r="B205" s="23"/>
      <c r="C205" s="23"/>
      <c r="D205" s="23"/>
      <c r="E205" s="24"/>
      <c r="F205" s="85"/>
    </row>
    <row r="206" spans="1:6" x14ac:dyDescent="0.25">
      <c r="A206" s="23"/>
      <c r="B206" s="23"/>
      <c r="C206" s="23"/>
      <c r="D206" s="23"/>
      <c r="E206" s="24"/>
      <c r="F206" s="85"/>
    </row>
    <row r="207" spans="1:6" x14ac:dyDescent="0.25">
      <c r="A207" s="23"/>
      <c r="B207" s="23"/>
      <c r="C207" s="23"/>
      <c r="D207" s="23"/>
      <c r="E207" s="24"/>
      <c r="F207" s="85"/>
    </row>
    <row r="208" spans="1:6" x14ac:dyDescent="0.25">
      <c r="A208" s="23"/>
      <c r="B208" s="23"/>
      <c r="C208" s="23"/>
      <c r="D208" s="23"/>
      <c r="E208" s="24"/>
      <c r="F208" s="85"/>
    </row>
    <row r="209" spans="1:6" x14ac:dyDescent="0.25">
      <c r="A209" s="23"/>
      <c r="B209" s="23"/>
      <c r="C209" s="23"/>
      <c r="D209" s="23"/>
      <c r="E209" s="24"/>
      <c r="F209" s="85"/>
    </row>
    <row r="210" spans="1:6" x14ac:dyDescent="0.25">
      <c r="A210" s="23"/>
      <c r="B210" s="23"/>
      <c r="C210" s="23"/>
      <c r="D210" s="23"/>
      <c r="E210" s="24"/>
      <c r="F210" s="85"/>
    </row>
  </sheetData>
  <mergeCells count="1">
    <mergeCell ref="A1:F1"/>
  </mergeCells>
  <pageMargins left="0.70866141732283472" right="0.70866141732283472" top="0.74803149606299213" bottom="0.74803149606299213" header="0.31496062992125984" footer="0.31496062992125984"/>
  <pageSetup paperSize="9" scale="85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8A64-9DD3-43A8-9652-2923AC21DF40}">
  <sheetPr>
    <pageSetUpPr fitToPage="1"/>
  </sheetPr>
  <dimension ref="A1:O744"/>
  <sheetViews>
    <sheetView topLeftCell="A389" workbookViewId="0">
      <selection activeCell="H404" sqref="H404"/>
    </sheetView>
  </sheetViews>
  <sheetFormatPr baseColWidth="10" defaultRowHeight="15" x14ac:dyDescent="0.25"/>
  <cols>
    <col min="3" max="3" width="25.140625" customWidth="1"/>
    <col min="4" max="4" width="12.42578125" customWidth="1"/>
    <col min="6" max="6" width="15.42578125" customWidth="1"/>
    <col min="260" max="260" width="12.42578125" customWidth="1"/>
    <col min="516" max="516" width="12.42578125" customWidth="1"/>
    <col min="772" max="772" width="12.42578125" customWidth="1"/>
    <col min="1028" max="1028" width="12.42578125" customWidth="1"/>
    <col min="1284" max="1284" width="12.42578125" customWidth="1"/>
    <col min="1540" max="1540" width="12.42578125" customWidth="1"/>
    <col min="1796" max="1796" width="12.42578125" customWidth="1"/>
    <col min="2052" max="2052" width="12.42578125" customWidth="1"/>
    <col min="2308" max="2308" width="12.42578125" customWidth="1"/>
    <col min="2564" max="2564" width="12.42578125" customWidth="1"/>
    <col min="2820" max="2820" width="12.42578125" customWidth="1"/>
    <col min="3076" max="3076" width="12.42578125" customWidth="1"/>
    <col min="3332" max="3332" width="12.42578125" customWidth="1"/>
    <col min="3588" max="3588" width="12.42578125" customWidth="1"/>
    <col min="3844" max="3844" width="12.42578125" customWidth="1"/>
    <col min="4100" max="4100" width="12.42578125" customWidth="1"/>
    <col min="4356" max="4356" width="12.42578125" customWidth="1"/>
    <col min="4612" max="4612" width="12.42578125" customWidth="1"/>
    <col min="4868" max="4868" width="12.42578125" customWidth="1"/>
    <col min="5124" max="5124" width="12.42578125" customWidth="1"/>
    <col min="5380" max="5380" width="12.42578125" customWidth="1"/>
    <col min="5636" max="5636" width="12.42578125" customWidth="1"/>
    <col min="5892" max="5892" width="12.42578125" customWidth="1"/>
    <col min="6148" max="6148" width="12.42578125" customWidth="1"/>
    <col min="6404" max="6404" width="12.42578125" customWidth="1"/>
    <col min="6660" max="6660" width="12.42578125" customWidth="1"/>
    <col min="6916" max="6916" width="12.42578125" customWidth="1"/>
    <col min="7172" max="7172" width="12.42578125" customWidth="1"/>
    <col min="7428" max="7428" width="12.42578125" customWidth="1"/>
    <col min="7684" max="7684" width="12.42578125" customWidth="1"/>
    <col min="7940" max="7940" width="12.42578125" customWidth="1"/>
    <col min="8196" max="8196" width="12.42578125" customWidth="1"/>
    <col min="8452" max="8452" width="12.42578125" customWidth="1"/>
    <col min="8708" max="8708" width="12.42578125" customWidth="1"/>
    <col min="8964" max="8964" width="12.42578125" customWidth="1"/>
    <col min="9220" max="9220" width="12.42578125" customWidth="1"/>
    <col min="9476" max="9476" width="12.42578125" customWidth="1"/>
    <col min="9732" max="9732" width="12.42578125" customWidth="1"/>
    <col min="9988" max="9988" width="12.42578125" customWidth="1"/>
    <col min="10244" max="10244" width="12.42578125" customWidth="1"/>
    <col min="10500" max="10500" width="12.42578125" customWidth="1"/>
    <col min="10756" max="10756" width="12.42578125" customWidth="1"/>
    <col min="11012" max="11012" width="12.42578125" customWidth="1"/>
    <col min="11268" max="11268" width="12.42578125" customWidth="1"/>
    <col min="11524" max="11524" width="12.42578125" customWidth="1"/>
    <col min="11780" max="11780" width="12.42578125" customWidth="1"/>
    <col min="12036" max="12036" width="12.42578125" customWidth="1"/>
    <col min="12292" max="12292" width="12.42578125" customWidth="1"/>
    <col min="12548" max="12548" width="12.42578125" customWidth="1"/>
    <col min="12804" max="12804" width="12.42578125" customWidth="1"/>
    <col min="13060" max="13060" width="12.42578125" customWidth="1"/>
    <col min="13316" max="13316" width="12.42578125" customWidth="1"/>
    <col min="13572" max="13572" width="12.42578125" customWidth="1"/>
    <col min="13828" max="13828" width="12.42578125" customWidth="1"/>
    <col min="14084" max="14084" width="12.42578125" customWidth="1"/>
    <col min="14340" max="14340" width="12.42578125" customWidth="1"/>
    <col min="14596" max="14596" width="12.42578125" customWidth="1"/>
    <col min="14852" max="14852" width="12.42578125" customWidth="1"/>
    <col min="15108" max="15108" width="12.42578125" customWidth="1"/>
    <col min="15364" max="15364" width="12.42578125" customWidth="1"/>
    <col min="15620" max="15620" width="12.42578125" customWidth="1"/>
    <col min="15876" max="15876" width="12.42578125" customWidth="1"/>
    <col min="16132" max="16132" width="12.42578125" customWidth="1"/>
  </cols>
  <sheetData>
    <row r="1" spans="1:8" x14ac:dyDescent="0.25">
      <c r="A1" s="292" t="s">
        <v>6124</v>
      </c>
      <c r="B1" s="292"/>
      <c r="C1" s="292"/>
      <c r="D1" s="292"/>
      <c r="E1" s="292"/>
      <c r="F1" s="292"/>
      <c r="G1" s="105"/>
      <c r="H1" s="105"/>
    </row>
    <row r="2" spans="1:8" x14ac:dyDescent="0.25">
      <c r="A2" s="114" t="s">
        <v>1080</v>
      </c>
      <c r="B2" s="114" t="s">
        <v>1079</v>
      </c>
      <c r="C2" s="114" t="s">
        <v>1078</v>
      </c>
      <c r="D2" s="114" t="s">
        <v>525</v>
      </c>
      <c r="E2" s="114" t="s">
        <v>1077</v>
      </c>
      <c r="F2" s="114" t="s">
        <v>1076</v>
      </c>
      <c r="G2" s="114" t="s">
        <v>1075</v>
      </c>
      <c r="H2" s="114" t="s">
        <v>545</v>
      </c>
    </row>
    <row r="3" spans="1:8" s="100" customFormat="1" ht="18.75" customHeight="1" x14ac:dyDescent="0.25">
      <c r="A3" s="115" t="s">
        <v>3488</v>
      </c>
      <c r="B3" s="115" t="s">
        <v>3489</v>
      </c>
      <c r="C3" s="115" t="s">
        <v>3490</v>
      </c>
      <c r="D3" s="115" t="s">
        <v>1570</v>
      </c>
      <c r="E3" s="116">
        <v>7.64</v>
      </c>
      <c r="F3" s="115" t="s">
        <v>1569</v>
      </c>
      <c r="G3" s="115" t="s">
        <v>640</v>
      </c>
      <c r="H3" s="104">
        <v>1415</v>
      </c>
    </row>
    <row r="4" spans="1:8" s="100" customFormat="1" x14ac:dyDescent="0.25">
      <c r="A4" s="115" t="s">
        <v>3488</v>
      </c>
      <c r="B4" s="115" t="s">
        <v>690</v>
      </c>
      <c r="C4" s="115" t="s">
        <v>3491</v>
      </c>
      <c r="D4" s="115" t="s">
        <v>1343</v>
      </c>
      <c r="E4" s="116">
        <v>4.91</v>
      </c>
      <c r="F4" s="115" t="s">
        <v>1342</v>
      </c>
      <c r="G4" s="115" t="s">
        <v>640</v>
      </c>
      <c r="H4" s="104">
        <v>1416</v>
      </c>
    </row>
    <row r="5" spans="1:8" s="100" customFormat="1" ht="18.75" customHeight="1" x14ac:dyDescent="0.25">
      <c r="A5" s="115" t="s">
        <v>3488</v>
      </c>
      <c r="B5" s="115" t="s">
        <v>3492</v>
      </c>
      <c r="C5" s="115" t="s">
        <v>3493</v>
      </c>
      <c r="D5" s="115" t="s">
        <v>1156</v>
      </c>
      <c r="E5" s="116">
        <v>9.64</v>
      </c>
      <c r="F5" s="115" t="s">
        <v>1155</v>
      </c>
      <c r="G5" s="115" t="s">
        <v>640</v>
      </c>
      <c r="H5" s="104">
        <v>1417</v>
      </c>
    </row>
    <row r="6" spans="1:8" s="100" customFormat="1" ht="23.25" customHeight="1" x14ac:dyDescent="0.25">
      <c r="A6" s="115" t="s">
        <v>3488</v>
      </c>
      <c r="B6" s="115" t="s">
        <v>3494</v>
      </c>
      <c r="C6" s="115" t="s">
        <v>3495</v>
      </c>
      <c r="D6" s="115" t="s">
        <v>723</v>
      </c>
      <c r="E6" s="116">
        <v>8.77</v>
      </c>
      <c r="F6" s="115" t="s">
        <v>721</v>
      </c>
      <c r="G6" s="115" t="s">
        <v>640</v>
      </c>
      <c r="H6" s="104">
        <v>1418</v>
      </c>
    </row>
    <row r="7" spans="1:8" s="100" customFormat="1" ht="19.5" customHeight="1" x14ac:dyDescent="0.25">
      <c r="A7" s="115" t="s">
        <v>3488</v>
      </c>
      <c r="B7" s="115" t="s">
        <v>3496</v>
      </c>
      <c r="C7" s="115" t="s">
        <v>3497</v>
      </c>
      <c r="D7" s="115" t="s">
        <v>722</v>
      </c>
      <c r="E7" s="116">
        <v>1.68</v>
      </c>
      <c r="F7" s="115" t="s">
        <v>721</v>
      </c>
      <c r="G7" s="115" t="s">
        <v>640</v>
      </c>
      <c r="H7" s="104">
        <v>1419</v>
      </c>
    </row>
    <row r="8" spans="1:8" s="100" customFormat="1" ht="18" customHeight="1" x14ac:dyDescent="0.25">
      <c r="A8" s="115" t="s">
        <v>3488</v>
      </c>
      <c r="B8" s="115" t="s">
        <v>3498</v>
      </c>
      <c r="C8" s="115" t="s">
        <v>3499</v>
      </c>
      <c r="D8" s="115" t="s">
        <v>1390</v>
      </c>
      <c r="E8" s="116">
        <v>5.04</v>
      </c>
      <c r="F8" s="115" t="s">
        <v>1389</v>
      </c>
      <c r="G8" s="115" t="s">
        <v>640</v>
      </c>
      <c r="H8" s="104">
        <v>1420</v>
      </c>
    </row>
    <row r="9" spans="1:8" s="100" customFormat="1" ht="18.75" customHeight="1" x14ac:dyDescent="0.25">
      <c r="A9" s="115" t="s">
        <v>3488</v>
      </c>
      <c r="B9" s="115" t="s">
        <v>3500</v>
      </c>
      <c r="C9" s="115" t="s">
        <v>3501</v>
      </c>
      <c r="D9" s="115" t="s">
        <v>1022</v>
      </c>
      <c r="E9" s="116">
        <v>4.59</v>
      </c>
      <c r="F9" s="115" t="s">
        <v>1021</v>
      </c>
      <c r="G9" s="115" t="s">
        <v>640</v>
      </c>
      <c r="H9" s="104">
        <v>1421</v>
      </c>
    </row>
    <row r="10" spans="1:8" s="100" customFormat="1" ht="14.25" customHeight="1" x14ac:dyDescent="0.25">
      <c r="A10" s="115" t="s">
        <v>3488</v>
      </c>
      <c r="B10" s="115" t="s">
        <v>1465</v>
      </c>
      <c r="C10" s="115" t="s">
        <v>3502</v>
      </c>
      <c r="D10" s="115" t="s">
        <v>3503</v>
      </c>
      <c r="E10" s="116">
        <v>0.91</v>
      </c>
      <c r="F10" s="115" t="s">
        <v>3504</v>
      </c>
      <c r="G10" s="115" t="s">
        <v>640</v>
      </c>
      <c r="H10" s="104">
        <v>1422</v>
      </c>
    </row>
    <row r="11" spans="1:8" s="100" customFormat="1" ht="19.5" customHeight="1" x14ac:dyDescent="0.25">
      <c r="A11" s="115" t="s">
        <v>3488</v>
      </c>
      <c r="B11" s="115" t="s">
        <v>3505</v>
      </c>
      <c r="C11" s="115" t="s">
        <v>3506</v>
      </c>
      <c r="D11" s="115" t="s">
        <v>877</v>
      </c>
      <c r="E11" s="116">
        <v>7.19</v>
      </c>
      <c r="F11" s="115" t="s">
        <v>876</v>
      </c>
      <c r="G11" s="115" t="s">
        <v>640</v>
      </c>
      <c r="H11" s="104">
        <v>1423</v>
      </c>
    </row>
    <row r="12" spans="1:8" s="100" customFormat="1" ht="18.75" customHeight="1" x14ac:dyDescent="0.25">
      <c r="A12" s="115" t="s">
        <v>3488</v>
      </c>
      <c r="B12" s="115" t="s">
        <v>3507</v>
      </c>
      <c r="C12" s="115" t="s">
        <v>3508</v>
      </c>
      <c r="D12" s="115" t="s">
        <v>741</v>
      </c>
      <c r="E12" s="116">
        <v>2.71</v>
      </c>
      <c r="F12" s="115" t="s">
        <v>740</v>
      </c>
      <c r="G12" s="115" t="s">
        <v>640</v>
      </c>
      <c r="H12" s="104">
        <v>1424</v>
      </c>
    </row>
    <row r="13" spans="1:8" s="100" customFormat="1" ht="17.25" customHeight="1" x14ac:dyDescent="0.25">
      <c r="A13" s="115" t="s">
        <v>3488</v>
      </c>
      <c r="B13" s="115" t="s">
        <v>3509</v>
      </c>
      <c r="C13" s="115" t="s">
        <v>3510</v>
      </c>
      <c r="D13" s="115" t="s">
        <v>1371</v>
      </c>
      <c r="E13" s="116">
        <v>1.94</v>
      </c>
      <c r="F13" s="115" t="s">
        <v>1370</v>
      </c>
      <c r="G13" s="115" t="s">
        <v>640</v>
      </c>
      <c r="H13" s="104">
        <v>1425</v>
      </c>
    </row>
    <row r="14" spans="1:8" s="100" customFormat="1" ht="19.5" customHeight="1" x14ac:dyDescent="0.25">
      <c r="A14" s="115" t="s">
        <v>3488</v>
      </c>
      <c r="B14" s="115" t="s">
        <v>918</v>
      </c>
      <c r="C14" s="115" t="s">
        <v>3511</v>
      </c>
      <c r="D14" s="115" t="s">
        <v>1339</v>
      </c>
      <c r="E14" s="116">
        <v>28.72</v>
      </c>
      <c r="F14" s="115" t="s">
        <v>1338</v>
      </c>
      <c r="G14" s="115" t="s">
        <v>640</v>
      </c>
      <c r="H14" s="104">
        <v>1426</v>
      </c>
    </row>
    <row r="15" spans="1:8" s="100" customFormat="1" ht="18" customHeight="1" x14ac:dyDescent="0.25">
      <c r="A15" s="115" t="s">
        <v>3488</v>
      </c>
      <c r="B15" s="115" t="s">
        <v>1388</v>
      </c>
      <c r="C15" s="115" t="s">
        <v>3512</v>
      </c>
      <c r="D15" s="115" t="s">
        <v>1152</v>
      </c>
      <c r="E15" s="116">
        <v>2.52</v>
      </c>
      <c r="F15" s="115" t="s">
        <v>1151</v>
      </c>
      <c r="G15" s="115" t="s">
        <v>640</v>
      </c>
      <c r="H15" s="104">
        <v>1427</v>
      </c>
    </row>
    <row r="16" spans="1:8" s="100" customFormat="1" ht="18" customHeight="1" x14ac:dyDescent="0.25">
      <c r="A16" s="115" t="s">
        <v>3488</v>
      </c>
      <c r="B16" s="115" t="s">
        <v>1585</v>
      </c>
      <c r="C16" s="115" t="s">
        <v>3513</v>
      </c>
      <c r="D16" s="115" t="s">
        <v>1060</v>
      </c>
      <c r="E16" s="116">
        <v>2.8</v>
      </c>
      <c r="F16" s="115" t="s">
        <v>1059</v>
      </c>
      <c r="G16" s="115" t="s">
        <v>640</v>
      </c>
      <c r="H16" s="104">
        <v>1428</v>
      </c>
    </row>
    <row r="17" spans="1:8" s="100" customFormat="1" ht="22.5" customHeight="1" x14ac:dyDescent="0.25">
      <c r="A17" s="115" t="s">
        <v>3488</v>
      </c>
      <c r="B17" s="115" t="s">
        <v>3514</v>
      </c>
      <c r="C17" s="115" t="s">
        <v>3515</v>
      </c>
      <c r="D17" s="115" t="s">
        <v>1057</v>
      </c>
      <c r="E17" s="116">
        <v>2.88</v>
      </c>
      <c r="F17" s="115" t="s">
        <v>1056</v>
      </c>
      <c r="G17" s="115" t="s">
        <v>640</v>
      </c>
      <c r="H17" s="104">
        <v>1429</v>
      </c>
    </row>
    <row r="18" spans="1:8" s="100" customFormat="1" x14ac:dyDescent="0.25">
      <c r="A18" s="115" t="s">
        <v>3488</v>
      </c>
      <c r="B18" s="115" t="s">
        <v>3516</v>
      </c>
      <c r="C18" s="115" t="s">
        <v>3517</v>
      </c>
      <c r="D18" s="115" t="s">
        <v>670</v>
      </c>
      <c r="E18" s="116">
        <v>5.54</v>
      </c>
      <c r="F18" s="115" t="s">
        <v>669</v>
      </c>
      <c r="G18" s="115" t="s">
        <v>640</v>
      </c>
      <c r="H18" s="104">
        <v>1430</v>
      </c>
    </row>
    <row r="19" spans="1:8" s="100" customFormat="1" x14ac:dyDescent="0.25">
      <c r="A19" s="115" t="s">
        <v>3488</v>
      </c>
      <c r="B19" s="115" t="s">
        <v>3518</v>
      </c>
      <c r="C19" s="115" t="s">
        <v>3519</v>
      </c>
      <c r="D19" s="115" t="s">
        <v>836</v>
      </c>
      <c r="E19" s="116">
        <v>14.64</v>
      </c>
      <c r="F19" s="115" t="s">
        <v>835</v>
      </c>
      <c r="G19" s="115" t="s">
        <v>640</v>
      </c>
      <c r="H19" s="104">
        <v>1431</v>
      </c>
    </row>
    <row r="20" spans="1:8" s="100" customFormat="1" x14ac:dyDescent="0.25">
      <c r="A20" s="115" t="s">
        <v>3488</v>
      </c>
      <c r="B20" s="115" t="s">
        <v>3520</v>
      </c>
      <c r="C20" s="115" t="s">
        <v>3521</v>
      </c>
      <c r="D20" s="115" t="s">
        <v>946</v>
      </c>
      <c r="E20" s="116">
        <v>27.03</v>
      </c>
      <c r="F20" s="115" t="s">
        <v>945</v>
      </c>
      <c r="G20" s="115" t="s">
        <v>640</v>
      </c>
      <c r="H20" s="104">
        <v>1432</v>
      </c>
    </row>
    <row r="21" spans="1:8" s="100" customFormat="1" x14ac:dyDescent="0.25">
      <c r="A21" s="115" t="s">
        <v>3488</v>
      </c>
      <c r="B21" s="115" t="s">
        <v>3522</v>
      </c>
      <c r="C21" s="115" t="s">
        <v>3523</v>
      </c>
      <c r="D21" s="115" t="s">
        <v>823</v>
      </c>
      <c r="E21" s="116">
        <v>17.899999999999999</v>
      </c>
      <c r="F21" s="115" t="s">
        <v>822</v>
      </c>
      <c r="G21" s="115" t="s">
        <v>640</v>
      </c>
      <c r="H21" s="104">
        <v>1433</v>
      </c>
    </row>
    <row r="22" spans="1:8" s="100" customFormat="1" x14ac:dyDescent="0.25">
      <c r="A22" s="115" t="s">
        <v>3488</v>
      </c>
      <c r="B22" s="115" t="s">
        <v>3524</v>
      </c>
      <c r="C22" s="115" t="s">
        <v>3525</v>
      </c>
      <c r="D22" s="115" t="s">
        <v>1032</v>
      </c>
      <c r="E22" s="116">
        <v>4.43</v>
      </c>
      <c r="F22" s="115" t="s">
        <v>1031</v>
      </c>
      <c r="G22" s="115" t="s">
        <v>640</v>
      </c>
      <c r="H22" s="104">
        <v>1446</v>
      </c>
    </row>
    <row r="23" spans="1:8" s="100" customFormat="1" x14ac:dyDescent="0.25">
      <c r="A23" s="115" t="s">
        <v>3526</v>
      </c>
      <c r="B23" s="115" t="s">
        <v>3527</v>
      </c>
      <c r="C23" s="115" t="s">
        <v>3528</v>
      </c>
      <c r="D23" s="115" t="s">
        <v>1318</v>
      </c>
      <c r="E23" s="116">
        <v>4.07</v>
      </c>
      <c r="F23" s="115" t="s">
        <v>1317</v>
      </c>
      <c r="G23" s="115" t="s">
        <v>640</v>
      </c>
      <c r="H23" s="104">
        <v>1447</v>
      </c>
    </row>
    <row r="24" spans="1:8" s="100" customFormat="1" x14ac:dyDescent="0.25">
      <c r="A24" s="115" t="s">
        <v>3526</v>
      </c>
      <c r="B24" s="115" t="s">
        <v>3529</v>
      </c>
      <c r="C24" s="115" t="s">
        <v>3530</v>
      </c>
      <c r="D24" s="115" t="s">
        <v>1394</v>
      </c>
      <c r="E24" s="116">
        <v>3.23</v>
      </c>
      <c r="F24" s="115" t="s">
        <v>1393</v>
      </c>
      <c r="G24" s="115" t="s">
        <v>640</v>
      </c>
      <c r="H24" s="104">
        <v>1448</v>
      </c>
    </row>
    <row r="25" spans="1:8" s="100" customFormat="1" x14ac:dyDescent="0.25">
      <c r="A25" s="115" t="s">
        <v>3526</v>
      </c>
      <c r="B25" s="115" t="s">
        <v>1351</v>
      </c>
      <c r="C25" s="115" t="s">
        <v>3531</v>
      </c>
      <c r="D25" s="115" t="s">
        <v>1307</v>
      </c>
      <c r="E25" s="116">
        <v>4.57</v>
      </c>
      <c r="F25" s="115" t="s">
        <v>1306</v>
      </c>
      <c r="G25" s="115" t="s">
        <v>640</v>
      </c>
      <c r="H25" s="104">
        <v>1449</v>
      </c>
    </row>
    <row r="26" spans="1:8" s="100" customFormat="1" x14ac:dyDescent="0.25">
      <c r="A26" s="115" t="s">
        <v>3526</v>
      </c>
      <c r="B26" s="115" t="s">
        <v>3532</v>
      </c>
      <c r="C26" s="115" t="s">
        <v>3533</v>
      </c>
      <c r="D26" s="115" t="s">
        <v>1365</v>
      </c>
      <c r="E26" s="116">
        <v>8.41</v>
      </c>
      <c r="F26" s="115" t="s">
        <v>1364</v>
      </c>
      <c r="G26" s="115" t="s">
        <v>640</v>
      </c>
      <c r="H26" s="104">
        <v>1450</v>
      </c>
    </row>
    <row r="27" spans="1:8" s="100" customFormat="1" x14ac:dyDescent="0.25">
      <c r="A27" s="115" t="s">
        <v>3526</v>
      </c>
      <c r="B27" s="115" t="s">
        <v>3534</v>
      </c>
      <c r="C27" s="115" t="s">
        <v>3535</v>
      </c>
      <c r="D27" s="115" t="s">
        <v>892</v>
      </c>
      <c r="E27" s="116">
        <v>2.0699999999999998</v>
      </c>
      <c r="F27" s="115" t="s">
        <v>1302</v>
      </c>
      <c r="G27" s="115" t="s">
        <v>640</v>
      </c>
      <c r="H27" s="104">
        <v>1451</v>
      </c>
    </row>
    <row r="28" spans="1:8" s="100" customFormat="1" x14ac:dyDescent="0.25">
      <c r="A28" s="115" t="s">
        <v>3526</v>
      </c>
      <c r="B28" s="115" t="s">
        <v>3536</v>
      </c>
      <c r="C28" s="115" t="s">
        <v>3537</v>
      </c>
      <c r="D28" s="115" t="s">
        <v>1195</v>
      </c>
      <c r="E28" s="116">
        <v>6.29</v>
      </c>
      <c r="F28" s="115" t="s">
        <v>1194</v>
      </c>
      <c r="G28" s="115" t="s">
        <v>640</v>
      </c>
      <c r="H28" s="104">
        <v>1452</v>
      </c>
    </row>
    <row r="29" spans="1:8" s="100" customFormat="1" x14ac:dyDescent="0.25">
      <c r="A29" s="115" t="s">
        <v>3526</v>
      </c>
      <c r="B29" s="115" t="s">
        <v>1196</v>
      </c>
      <c r="C29" s="115" t="s">
        <v>3538</v>
      </c>
      <c r="D29" s="115" t="s">
        <v>798</v>
      </c>
      <c r="E29" s="116">
        <v>6.55</v>
      </c>
      <c r="F29" s="115" t="s">
        <v>797</v>
      </c>
      <c r="G29" s="115" t="s">
        <v>640</v>
      </c>
      <c r="H29" s="104">
        <v>1453</v>
      </c>
    </row>
    <row r="30" spans="1:8" s="100" customFormat="1" x14ac:dyDescent="0.25">
      <c r="A30" s="115" t="s">
        <v>3526</v>
      </c>
      <c r="B30" s="115" t="s">
        <v>1214</v>
      </c>
      <c r="C30" s="115" t="s">
        <v>3539</v>
      </c>
      <c r="D30" s="115" t="s">
        <v>962</v>
      </c>
      <c r="E30" s="116">
        <v>16.97</v>
      </c>
      <c r="F30" s="115" t="s">
        <v>961</v>
      </c>
      <c r="G30" s="115" t="s">
        <v>640</v>
      </c>
      <c r="H30" s="104">
        <v>1454</v>
      </c>
    </row>
    <row r="31" spans="1:8" s="100" customFormat="1" x14ac:dyDescent="0.25">
      <c r="A31" s="115" t="s">
        <v>3526</v>
      </c>
      <c r="B31" s="115" t="s">
        <v>1422</v>
      </c>
      <c r="C31" s="115" t="s">
        <v>3540</v>
      </c>
      <c r="D31" s="115" t="s">
        <v>896</v>
      </c>
      <c r="E31" s="116">
        <v>7.17</v>
      </c>
      <c r="F31" s="115" t="s">
        <v>895</v>
      </c>
      <c r="G31" s="115" t="s">
        <v>640</v>
      </c>
      <c r="H31" s="104">
        <v>1455</v>
      </c>
    </row>
    <row r="32" spans="1:8" s="100" customFormat="1" x14ac:dyDescent="0.25">
      <c r="A32" s="115" t="s">
        <v>3526</v>
      </c>
      <c r="B32" s="115" t="s">
        <v>3541</v>
      </c>
      <c r="C32" s="115" t="s">
        <v>3542</v>
      </c>
      <c r="D32" s="115" t="s">
        <v>1411</v>
      </c>
      <c r="E32" s="116">
        <v>1.69</v>
      </c>
      <c r="F32" s="115" t="s">
        <v>1410</v>
      </c>
      <c r="G32" s="115" t="s">
        <v>640</v>
      </c>
      <c r="H32" s="104">
        <v>1456</v>
      </c>
    </row>
    <row r="33" spans="1:8" s="100" customFormat="1" x14ac:dyDescent="0.25">
      <c r="A33" s="115" t="s">
        <v>3526</v>
      </c>
      <c r="B33" s="115" t="s">
        <v>3543</v>
      </c>
      <c r="C33" s="115" t="s">
        <v>3544</v>
      </c>
      <c r="D33" s="115" t="s">
        <v>928</v>
      </c>
      <c r="E33" s="116">
        <v>1.68</v>
      </c>
      <c r="F33" s="115" t="s">
        <v>927</v>
      </c>
      <c r="G33" s="115" t="s">
        <v>640</v>
      </c>
      <c r="H33" s="104">
        <v>1457</v>
      </c>
    </row>
    <row r="34" spans="1:8" s="100" customFormat="1" x14ac:dyDescent="0.25">
      <c r="A34" s="115" t="s">
        <v>3526</v>
      </c>
      <c r="B34" s="115" t="s">
        <v>3545</v>
      </c>
      <c r="C34" s="115" t="s">
        <v>3546</v>
      </c>
      <c r="D34" s="115" t="s">
        <v>1446</v>
      </c>
      <c r="E34" s="116">
        <v>6.94</v>
      </c>
      <c r="F34" s="115" t="s">
        <v>1445</v>
      </c>
      <c r="G34" s="115" t="s">
        <v>640</v>
      </c>
      <c r="H34" s="104">
        <v>1458</v>
      </c>
    </row>
    <row r="35" spans="1:8" s="100" customFormat="1" x14ac:dyDescent="0.25">
      <c r="A35" s="115" t="s">
        <v>3526</v>
      </c>
      <c r="B35" s="115" t="s">
        <v>1530</v>
      </c>
      <c r="C35" s="115" t="s">
        <v>3547</v>
      </c>
      <c r="D35" s="115" t="s">
        <v>1040</v>
      </c>
      <c r="E35" s="116">
        <v>6.68</v>
      </c>
      <c r="F35" s="115" t="s">
        <v>1039</v>
      </c>
      <c r="G35" s="115" t="s">
        <v>640</v>
      </c>
      <c r="H35" s="104">
        <v>1459</v>
      </c>
    </row>
    <row r="36" spans="1:8" s="100" customFormat="1" x14ac:dyDescent="0.25">
      <c r="A36" s="115" t="s">
        <v>3526</v>
      </c>
      <c r="B36" s="115" t="s">
        <v>3548</v>
      </c>
      <c r="C36" s="115" t="s">
        <v>3549</v>
      </c>
      <c r="D36" s="115" t="s">
        <v>1137</v>
      </c>
      <c r="E36" s="116">
        <v>2.21</v>
      </c>
      <c r="F36" s="115" t="s">
        <v>1136</v>
      </c>
      <c r="G36" s="115" t="s">
        <v>640</v>
      </c>
      <c r="H36" s="104">
        <v>1460</v>
      </c>
    </row>
    <row r="37" spans="1:8" s="100" customFormat="1" x14ac:dyDescent="0.25">
      <c r="A37" s="115" t="s">
        <v>3526</v>
      </c>
      <c r="B37" s="115" t="s">
        <v>3550</v>
      </c>
      <c r="C37" s="115" t="s">
        <v>3551</v>
      </c>
      <c r="D37" s="115" t="s">
        <v>720</v>
      </c>
      <c r="E37" s="116">
        <v>1.88</v>
      </c>
      <c r="F37" s="115" t="s">
        <v>719</v>
      </c>
      <c r="G37" s="115" t="s">
        <v>640</v>
      </c>
      <c r="H37" s="104">
        <v>1461</v>
      </c>
    </row>
    <row r="38" spans="1:8" s="100" customFormat="1" x14ac:dyDescent="0.25">
      <c r="A38" s="115" t="s">
        <v>3552</v>
      </c>
      <c r="B38" s="115" t="s">
        <v>3553</v>
      </c>
      <c r="C38" s="115" t="s">
        <v>3554</v>
      </c>
      <c r="D38" s="115" t="s">
        <v>652</v>
      </c>
      <c r="E38" s="116">
        <v>5.29</v>
      </c>
      <c r="F38" s="115" t="s">
        <v>651</v>
      </c>
      <c r="G38" s="115" t="s">
        <v>640</v>
      </c>
      <c r="H38" s="104">
        <v>1462</v>
      </c>
    </row>
    <row r="39" spans="1:8" s="100" customFormat="1" x14ac:dyDescent="0.25">
      <c r="A39" s="115" t="s">
        <v>3552</v>
      </c>
      <c r="B39" s="115" t="s">
        <v>3555</v>
      </c>
      <c r="C39" s="115" t="s">
        <v>3556</v>
      </c>
      <c r="D39" s="115" t="s">
        <v>834</v>
      </c>
      <c r="E39" s="116">
        <v>2.17</v>
      </c>
      <c r="F39" s="115" t="s">
        <v>833</v>
      </c>
      <c r="G39" s="115" t="s">
        <v>640</v>
      </c>
      <c r="H39" s="104">
        <v>1463</v>
      </c>
    </row>
    <row r="40" spans="1:8" s="100" customFormat="1" x14ac:dyDescent="0.25">
      <c r="A40" s="115" t="s">
        <v>3552</v>
      </c>
      <c r="B40" s="115" t="s">
        <v>3557</v>
      </c>
      <c r="C40" s="115" t="s">
        <v>3558</v>
      </c>
      <c r="D40" s="115" t="s">
        <v>1139</v>
      </c>
      <c r="E40" s="116">
        <v>2.2000000000000002</v>
      </c>
      <c r="F40" s="115" t="s">
        <v>1138</v>
      </c>
      <c r="G40" s="115" t="s">
        <v>640</v>
      </c>
      <c r="H40" s="104">
        <v>1464</v>
      </c>
    </row>
    <row r="41" spans="1:8" s="100" customFormat="1" x14ac:dyDescent="0.25">
      <c r="A41" s="115" t="s">
        <v>3552</v>
      </c>
      <c r="B41" s="115" t="s">
        <v>3559</v>
      </c>
      <c r="C41" s="115" t="s">
        <v>3560</v>
      </c>
      <c r="D41" s="115" t="s">
        <v>1201</v>
      </c>
      <c r="E41" s="116">
        <v>1.68</v>
      </c>
      <c r="F41" s="115" t="s">
        <v>1200</v>
      </c>
      <c r="G41" s="115" t="s">
        <v>640</v>
      </c>
      <c r="H41" s="104">
        <v>1465</v>
      </c>
    </row>
    <row r="42" spans="1:8" s="100" customFormat="1" x14ac:dyDescent="0.25">
      <c r="A42" s="115" t="s">
        <v>3552</v>
      </c>
      <c r="B42" s="115" t="s">
        <v>3561</v>
      </c>
      <c r="C42" s="115" t="s">
        <v>3562</v>
      </c>
      <c r="D42" s="115" t="s">
        <v>1014</v>
      </c>
      <c r="E42" s="116">
        <v>9.9700000000000006</v>
      </c>
      <c r="F42" s="115" t="s">
        <v>1013</v>
      </c>
      <c r="G42" s="115" t="s">
        <v>640</v>
      </c>
      <c r="H42" s="104">
        <v>1466</v>
      </c>
    </row>
    <row r="43" spans="1:8" s="100" customFormat="1" x14ac:dyDescent="0.25">
      <c r="A43" s="115" t="s">
        <v>3552</v>
      </c>
      <c r="B43" s="115" t="s">
        <v>847</v>
      </c>
      <c r="C43" s="115" t="s">
        <v>3563</v>
      </c>
      <c r="D43" s="115" t="s">
        <v>1180</v>
      </c>
      <c r="E43" s="116">
        <v>6.6</v>
      </c>
      <c r="F43" s="115" t="s">
        <v>1179</v>
      </c>
      <c r="G43" s="115" t="s">
        <v>640</v>
      </c>
      <c r="H43" s="104">
        <v>1467</v>
      </c>
    </row>
    <row r="44" spans="1:8" s="100" customFormat="1" x14ac:dyDescent="0.25">
      <c r="A44" s="115" t="s">
        <v>3552</v>
      </c>
      <c r="B44" s="115" t="s">
        <v>1406</v>
      </c>
      <c r="C44" s="115" t="s">
        <v>3564</v>
      </c>
      <c r="D44" s="115" t="s">
        <v>1301</v>
      </c>
      <c r="E44" s="116">
        <v>4.33</v>
      </c>
      <c r="F44" s="115" t="s">
        <v>1300</v>
      </c>
      <c r="G44" s="115" t="s">
        <v>640</v>
      </c>
      <c r="H44" s="104">
        <v>1468</v>
      </c>
    </row>
    <row r="45" spans="1:8" s="100" customFormat="1" x14ac:dyDescent="0.25">
      <c r="A45" s="117"/>
      <c r="B45" s="117"/>
      <c r="C45" s="117"/>
      <c r="D45" s="118" t="s">
        <v>3577</v>
      </c>
      <c r="E45" s="119">
        <f>SUM(E3:E44)</f>
        <v>274.12999999999994</v>
      </c>
      <c r="F45" s="117"/>
      <c r="G45" s="117"/>
      <c r="H45" s="117"/>
    </row>
    <row r="46" spans="1:8" s="100" customFormat="1" x14ac:dyDescent="0.25">
      <c r="A46" s="117"/>
      <c r="B46" s="117"/>
      <c r="C46" s="117"/>
      <c r="D46" s="117"/>
      <c r="E46" s="117"/>
      <c r="F46" s="117"/>
      <c r="G46" s="117"/>
      <c r="H46" s="117"/>
    </row>
    <row r="47" spans="1:8" x14ac:dyDescent="0.25">
      <c r="A47" s="115" t="s">
        <v>3805</v>
      </c>
      <c r="B47" s="115" t="s">
        <v>3806</v>
      </c>
      <c r="C47" s="115" t="s">
        <v>3807</v>
      </c>
      <c r="D47" s="115" t="s">
        <v>3633</v>
      </c>
      <c r="E47" s="116">
        <v>2.54</v>
      </c>
      <c r="F47" s="115" t="s">
        <v>3634</v>
      </c>
      <c r="G47" s="115" t="s">
        <v>640</v>
      </c>
      <c r="H47" s="104">
        <v>1476</v>
      </c>
    </row>
    <row r="48" spans="1:8" x14ac:dyDescent="0.25">
      <c r="A48" s="115" t="s">
        <v>3805</v>
      </c>
      <c r="B48" s="115" t="s">
        <v>3808</v>
      </c>
      <c r="C48" s="115" t="s">
        <v>3809</v>
      </c>
      <c r="D48" s="115" t="s">
        <v>3810</v>
      </c>
      <c r="E48" s="116">
        <v>5.26</v>
      </c>
      <c r="F48" s="115" t="s">
        <v>3811</v>
      </c>
      <c r="G48" s="115" t="s">
        <v>640</v>
      </c>
      <c r="H48" s="104">
        <v>1477</v>
      </c>
    </row>
    <row r="49" spans="1:8" x14ac:dyDescent="0.25">
      <c r="A49" s="115" t="s">
        <v>3805</v>
      </c>
      <c r="B49" s="115" t="s">
        <v>3812</v>
      </c>
      <c r="C49" s="115" t="s">
        <v>3813</v>
      </c>
      <c r="D49" s="115" t="s">
        <v>3716</v>
      </c>
      <c r="E49" s="116">
        <v>5.56</v>
      </c>
      <c r="F49" s="115" t="s">
        <v>3717</v>
      </c>
      <c r="G49" s="115" t="s">
        <v>640</v>
      </c>
      <c r="H49" s="104">
        <v>1478</v>
      </c>
    </row>
    <row r="50" spans="1:8" x14ac:dyDescent="0.25">
      <c r="A50" s="115" t="s">
        <v>3805</v>
      </c>
      <c r="B50" s="115" t="s">
        <v>3814</v>
      </c>
      <c r="C50" s="115" t="s">
        <v>3815</v>
      </c>
      <c r="D50" s="115" t="s">
        <v>993</v>
      </c>
      <c r="E50" s="116">
        <v>2.2200000000000002</v>
      </c>
      <c r="F50" s="115" t="s">
        <v>992</v>
      </c>
      <c r="G50" s="115" t="s">
        <v>640</v>
      </c>
      <c r="H50" s="104">
        <v>1479</v>
      </c>
    </row>
    <row r="51" spans="1:8" x14ac:dyDescent="0.25">
      <c r="A51" s="115" t="s">
        <v>3805</v>
      </c>
      <c r="B51" s="115" t="s">
        <v>1509</v>
      </c>
      <c r="C51" s="115" t="s">
        <v>3816</v>
      </c>
      <c r="D51" s="115" t="s">
        <v>3659</v>
      </c>
      <c r="E51" s="116">
        <v>3.48</v>
      </c>
      <c r="F51" s="115" t="s">
        <v>3660</v>
      </c>
      <c r="G51" s="115" t="s">
        <v>640</v>
      </c>
      <c r="H51" s="104">
        <v>1480</v>
      </c>
    </row>
    <row r="52" spans="1:8" x14ac:dyDescent="0.25">
      <c r="A52" s="115" t="s">
        <v>3805</v>
      </c>
      <c r="B52" s="115" t="s">
        <v>3817</v>
      </c>
      <c r="C52" s="115" t="s">
        <v>3818</v>
      </c>
      <c r="D52" s="115" t="s">
        <v>3819</v>
      </c>
      <c r="E52" s="116">
        <v>15.52</v>
      </c>
      <c r="F52" s="115" t="s">
        <v>3820</v>
      </c>
      <c r="G52" s="115" t="s">
        <v>640</v>
      </c>
      <c r="H52" s="104">
        <v>1481</v>
      </c>
    </row>
    <row r="53" spans="1:8" x14ac:dyDescent="0.25">
      <c r="A53" s="115" t="s">
        <v>3805</v>
      </c>
      <c r="B53" s="115" t="s">
        <v>3821</v>
      </c>
      <c r="C53" s="115" t="s">
        <v>3822</v>
      </c>
      <c r="D53" s="115" t="s">
        <v>648</v>
      </c>
      <c r="E53" s="116">
        <v>2.4500000000000002</v>
      </c>
      <c r="F53" s="115" t="s">
        <v>647</v>
      </c>
      <c r="G53" s="115" t="s">
        <v>640</v>
      </c>
      <c r="H53" s="104">
        <v>1482</v>
      </c>
    </row>
    <row r="54" spans="1:8" x14ac:dyDescent="0.25">
      <c r="A54" s="115" t="s">
        <v>3805</v>
      </c>
      <c r="B54" s="115" t="s">
        <v>3823</v>
      </c>
      <c r="C54" s="115" t="s">
        <v>3824</v>
      </c>
      <c r="D54" s="115" t="s">
        <v>3825</v>
      </c>
      <c r="E54" s="116">
        <v>5.39</v>
      </c>
      <c r="F54" s="115" t="s">
        <v>3826</v>
      </c>
      <c r="G54" s="115" t="s">
        <v>640</v>
      </c>
      <c r="H54" s="104">
        <v>1483</v>
      </c>
    </row>
    <row r="55" spans="1:8" x14ac:dyDescent="0.25">
      <c r="A55" s="115" t="s">
        <v>3805</v>
      </c>
      <c r="B55" s="115" t="s">
        <v>3827</v>
      </c>
      <c r="C55" s="115" t="s">
        <v>3828</v>
      </c>
      <c r="D55" s="115" t="s">
        <v>3829</v>
      </c>
      <c r="E55" s="116">
        <v>109.82</v>
      </c>
      <c r="F55" s="115" t="s">
        <v>3830</v>
      </c>
      <c r="G55" s="115" t="s">
        <v>640</v>
      </c>
      <c r="H55" s="104">
        <v>1484</v>
      </c>
    </row>
    <row r="56" spans="1:8" x14ac:dyDescent="0.25">
      <c r="A56" s="115" t="s">
        <v>3805</v>
      </c>
      <c r="B56" s="115" t="s">
        <v>3831</v>
      </c>
      <c r="C56" s="115" t="s">
        <v>3832</v>
      </c>
      <c r="D56" s="115" t="s">
        <v>1066</v>
      </c>
      <c r="E56" s="116">
        <v>2.42</v>
      </c>
      <c r="F56" s="115" t="s">
        <v>1065</v>
      </c>
      <c r="G56" s="115" t="s">
        <v>640</v>
      </c>
      <c r="H56" s="104">
        <v>1485</v>
      </c>
    </row>
    <row r="57" spans="1:8" x14ac:dyDescent="0.25">
      <c r="A57" s="115" t="s">
        <v>3805</v>
      </c>
      <c r="B57" s="115" t="s">
        <v>3833</v>
      </c>
      <c r="C57" s="115" t="s">
        <v>3834</v>
      </c>
      <c r="D57" s="115" t="s">
        <v>3835</v>
      </c>
      <c r="E57" s="116">
        <v>8.23</v>
      </c>
      <c r="F57" s="115" t="s">
        <v>3836</v>
      </c>
      <c r="G57" s="115" t="s">
        <v>640</v>
      </c>
      <c r="H57" s="104">
        <v>1486</v>
      </c>
    </row>
    <row r="58" spans="1:8" x14ac:dyDescent="0.25">
      <c r="A58" s="115" t="s">
        <v>3805</v>
      </c>
      <c r="B58" s="115" t="s">
        <v>3837</v>
      </c>
      <c r="C58" s="115" t="s">
        <v>3838</v>
      </c>
      <c r="D58" s="115" t="s">
        <v>1493</v>
      </c>
      <c r="E58" s="116">
        <v>1.89</v>
      </c>
      <c r="F58" s="115" t="s">
        <v>1492</v>
      </c>
      <c r="G58" s="115" t="s">
        <v>640</v>
      </c>
      <c r="H58" s="104">
        <v>1487</v>
      </c>
    </row>
    <row r="59" spans="1:8" x14ac:dyDescent="0.25">
      <c r="A59" s="115" t="s">
        <v>3805</v>
      </c>
      <c r="B59" s="115" t="s">
        <v>3545</v>
      </c>
      <c r="C59" s="115" t="s">
        <v>3839</v>
      </c>
      <c r="D59" s="115" t="s">
        <v>1267</v>
      </c>
      <c r="E59" s="116">
        <v>1.68</v>
      </c>
      <c r="F59" s="115" t="s">
        <v>1266</v>
      </c>
      <c r="G59" s="115" t="s">
        <v>640</v>
      </c>
      <c r="H59" s="104">
        <v>1488</v>
      </c>
    </row>
    <row r="60" spans="1:8" x14ac:dyDescent="0.25">
      <c r="A60" s="115" t="s">
        <v>3805</v>
      </c>
      <c r="B60" s="115" t="s">
        <v>3840</v>
      </c>
      <c r="C60" s="115" t="s">
        <v>3841</v>
      </c>
      <c r="D60" s="115" t="s">
        <v>1064</v>
      </c>
      <c r="E60" s="116">
        <v>1.68</v>
      </c>
      <c r="F60" s="115" t="s">
        <v>1063</v>
      </c>
      <c r="G60" s="115" t="s">
        <v>640</v>
      </c>
      <c r="H60" s="104">
        <v>1489</v>
      </c>
    </row>
    <row r="61" spans="1:8" x14ac:dyDescent="0.25">
      <c r="A61" s="115" t="s">
        <v>3805</v>
      </c>
      <c r="B61" s="115" t="s">
        <v>3842</v>
      </c>
      <c r="C61" s="115" t="s">
        <v>3843</v>
      </c>
      <c r="D61" s="115" t="s">
        <v>3844</v>
      </c>
      <c r="E61" s="116">
        <v>3.96</v>
      </c>
      <c r="F61" s="115" t="s">
        <v>3845</v>
      </c>
      <c r="G61" s="115" t="s">
        <v>640</v>
      </c>
      <c r="H61" s="104">
        <v>1490</v>
      </c>
    </row>
    <row r="62" spans="1:8" x14ac:dyDescent="0.25">
      <c r="A62" s="115" t="s">
        <v>3805</v>
      </c>
      <c r="B62" s="115" t="s">
        <v>3846</v>
      </c>
      <c r="C62" s="115" t="s">
        <v>3847</v>
      </c>
      <c r="D62" s="115" t="s">
        <v>3848</v>
      </c>
      <c r="E62" s="116">
        <v>5.04</v>
      </c>
      <c r="F62" s="115" t="s">
        <v>3849</v>
      </c>
      <c r="G62" s="115" t="s">
        <v>640</v>
      </c>
      <c r="H62" s="104">
        <v>1491</v>
      </c>
    </row>
    <row r="63" spans="1:8" x14ac:dyDescent="0.25">
      <c r="A63" s="115" t="s">
        <v>3805</v>
      </c>
      <c r="B63" s="115" t="s">
        <v>3850</v>
      </c>
      <c r="C63" s="115" t="s">
        <v>3851</v>
      </c>
      <c r="D63" s="115" t="s">
        <v>3852</v>
      </c>
      <c r="E63" s="116">
        <v>1.96</v>
      </c>
      <c r="F63" s="115" t="s">
        <v>3853</v>
      </c>
      <c r="G63" s="115" t="s">
        <v>640</v>
      </c>
      <c r="H63" s="104">
        <v>1492</v>
      </c>
    </row>
    <row r="64" spans="1:8" x14ac:dyDescent="0.25">
      <c r="A64" s="115" t="s">
        <v>3805</v>
      </c>
      <c r="B64" s="115" t="s">
        <v>3854</v>
      </c>
      <c r="C64" s="115" t="s">
        <v>3855</v>
      </c>
      <c r="D64" s="115" t="s">
        <v>2902</v>
      </c>
      <c r="E64" s="116">
        <v>1.68</v>
      </c>
      <c r="F64" s="115" t="s">
        <v>2903</v>
      </c>
      <c r="G64" s="115" t="s">
        <v>640</v>
      </c>
      <c r="H64" s="104">
        <v>1493</v>
      </c>
    </row>
    <row r="65" spans="1:8" x14ac:dyDescent="0.25">
      <c r="A65" s="115" t="s">
        <v>3805</v>
      </c>
      <c r="B65" s="115" t="s">
        <v>3856</v>
      </c>
      <c r="C65" s="115" t="s">
        <v>3857</v>
      </c>
      <c r="D65" s="115" t="s">
        <v>3858</v>
      </c>
      <c r="E65" s="116">
        <v>1.68</v>
      </c>
      <c r="F65" s="115" t="s">
        <v>3859</v>
      </c>
      <c r="G65" s="115" t="s">
        <v>640</v>
      </c>
      <c r="H65" s="104">
        <v>1494</v>
      </c>
    </row>
    <row r="66" spans="1:8" x14ac:dyDescent="0.25">
      <c r="A66" s="115" t="s">
        <v>3805</v>
      </c>
      <c r="B66" s="115" t="s">
        <v>3860</v>
      </c>
      <c r="C66" s="115" t="s">
        <v>3861</v>
      </c>
      <c r="D66" s="115" t="s">
        <v>1387</v>
      </c>
      <c r="E66" s="116">
        <v>4.3499999999999996</v>
      </c>
      <c r="F66" s="115" t="s">
        <v>1386</v>
      </c>
      <c r="G66" s="115" t="s">
        <v>640</v>
      </c>
      <c r="H66" s="104">
        <v>1495</v>
      </c>
    </row>
    <row r="67" spans="1:8" x14ac:dyDescent="0.25">
      <c r="A67" s="115" t="s">
        <v>3805</v>
      </c>
      <c r="B67" s="115" t="s">
        <v>3862</v>
      </c>
      <c r="C67" s="115" t="s">
        <v>3863</v>
      </c>
      <c r="D67" s="115" t="s">
        <v>796</v>
      </c>
      <c r="E67" s="116">
        <v>3.24</v>
      </c>
      <c r="F67" s="115" t="s">
        <v>795</v>
      </c>
      <c r="G67" s="115" t="s">
        <v>640</v>
      </c>
      <c r="H67" s="104">
        <v>1496</v>
      </c>
    </row>
    <row r="68" spans="1:8" x14ac:dyDescent="0.25">
      <c r="A68" s="115" t="s">
        <v>3805</v>
      </c>
      <c r="B68" s="115" t="s">
        <v>3864</v>
      </c>
      <c r="C68" s="115" t="s">
        <v>3865</v>
      </c>
      <c r="D68" s="115" t="s">
        <v>3866</v>
      </c>
      <c r="E68" s="116">
        <v>44.61</v>
      </c>
      <c r="F68" s="115" t="s">
        <v>3867</v>
      </c>
      <c r="G68" s="115" t="s">
        <v>640</v>
      </c>
      <c r="H68" s="104">
        <v>1497</v>
      </c>
    </row>
    <row r="69" spans="1:8" x14ac:dyDescent="0.25">
      <c r="A69" s="115" t="s">
        <v>3805</v>
      </c>
      <c r="B69" s="115" t="s">
        <v>3868</v>
      </c>
      <c r="C69" s="115" t="s">
        <v>3869</v>
      </c>
      <c r="D69" s="115" t="s">
        <v>3679</v>
      </c>
      <c r="E69" s="116">
        <v>24.75</v>
      </c>
      <c r="F69" s="115" t="s">
        <v>3680</v>
      </c>
      <c r="G69" s="115" t="s">
        <v>640</v>
      </c>
      <c r="H69" s="104">
        <v>1498</v>
      </c>
    </row>
    <row r="70" spans="1:8" x14ac:dyDescent="0.25">
      <c r="A70" s="115" t="s">
        <v>3870</v>
      </c>
      <c r="B70" s="115" t="s">
        <v>3871</v>
      </c>
      <c r="C70" s="115" t="s">
        <v>3872</v>
      </c>
      <c r="D70" s="115" t="s">
        <v>3873</v>
      </c>
      <c r="E70" s="116">
        <v>10.57</v>
      </c>
      <c r="F70" s="115" t="s">
        <v>3874</v>
      </c>
      <c r="G70" s="115" t="s">
        <v>640</v>
      </c>
      <c r="H70" s="104">
        <v>1598</v>
      </c>
    </row>
    <row r="71" spans="1:8" x14ac:dyDescent="0.25">
      <c r="A71" s="115" t="s">
        <v>3870</v>
      </c>
      <c r="B71" s="115" t="s">
        <v>3875</v>
      </c>
      <c r="C71" s="115" t="s">
        <v>3876</v>
      </c>
      <c r="D71" s="115" t="s">
        <v>3877</v>
      </c>
      <c r="E71" s="116">
        <v>6.63</v>
      </c>
      <c r="F71" s="115" t="s">
        <v>3878</v>
      </c>
      <c r="G71" s="115" t="s">
        <v>640</v>
      </c>
      <c r="H71" s="104">
        <v>1599</v>
      </c>
    </row>
    <row r="72" spans="1:8" x14ac:dyDescent="0.25">
      <c r="A72" s="115" t="s">
        <v>3870</v>
      </c>
      <c r="B72" s="115" t="s">
        <v>3879</v>
      </c>
      <c r="C72" s="115" t="s">
        <v>3880</v>
      </c>
      <c r="D72" s="115" t="s">
        <v>3881</v>
      </c>
      <c r="E72" s="116">
        <v>5.04</v>
      </c>
      <c r="F72" s="115" t="s">
        <v>3882</v>
      </c>
      <c r="G72" s="115" t="s">
        <v>640</v>
      </c>
      <c r="H72" s="104">
        <v>1600</v>
      </c>
    </row>
    <row r="73" spans="1:8" x14ac:dyDescent="0.25">
      <c r="A73" s="115" t="s">
        <v>3870</v>
      </c>
      <c r="B73" s="115" t="s">
        <v>3883</v>
      </c>
      <c r="C73" s="115" t="s">
        <v>3884</v>
      </c>
      <c r="D73" s="115" t="s">
        <v>3885</v>
      </c>
      <c r="E73" s="116">
        <v>10.67</v>
      </c>
      <c r="F73" s="115" t="s">
        <v>3886</v>
      </c>
      <c r="G73" s="115" t="s">
        <v>640</v>
      </c>
      <c r="H73" s="104">
        <v>1601</v>
      </c>
    </row>
    <row r="74" spans="1:8" x14ac:dyDescent="0.25">
      <c r="A74" s="115" t="s">
        <v>3870</v>
      </c>
      <c r="B74" s="115" t="s">
        <v>3887</v>
      </c>
      <c r="C74" s="115" t="s">
        <v>3888</v>
      </c>
      <c r="D74" s="115" t="s">
        <v>3889</v>
      </c>
      <c r="E74" s="116">
        <v>2.2999999999999998</v>
      </c>
      <c r="F74" s="115" t="s">
        <v>3890</v>
      </c>
      <c r="G74" s="115" t="s">
        <v>640</v>
      </c>
      <c r="H74" s="104">
        <v>1602</v>
      </c>
    </row>
    <row r="75" spans="1:8" x14ac:dyDescent="0.25">
      <c r="A75" s="115" t="s">
        <v>3870</v>
      </c>
      <c r="B75" s="115" t="s">
        <v>3891</v>
      </c>
      <c r="C75" s="115" t="s">
        <v>3892</v>
      </c>
      <c r="D75" s="115" t="s">
        <v>3893</v>
      </c>
      <c r="E75" s="116">
        <v>2.7</v>
      </c>
      <c r="F75" s="115" t="s">
        <v>3894</v>
      </c>
      <c r="G75" s="115" t="s">
        <v>640</v>
      </c>
      <c r="H75" s="104">
        <v>1603</v>
      </c>
    </row>
    <row r="76" spans="1:8" x14ac:dyDescent="0.25">
      <c r="A76" s="115" t="s">
        <v>3870</v>
      </c>
      <c r="B76" s="115" t="s">
        <v>3895</v>
      </c>
      <c r="C76" s="115" t="s">
        <v>3896</v>
      </c>
      <c r="D76" s="115" t="s">
        <v>995</v>
      </c>
      <c r="E76" s="116">
        <v>1.81</v>
      </c>
      <c r="F76" s="115" t="s">
        <v>994</v>
      </c>
      <c r="G76" s="115" t="s">
        <v>640</v>
      </c>
      <c r="H76" s="104">
        <v>1604</v>
      </c>
    </row>
    <row r="77" spans="1:8" x14ac:dyDescent="0.25">
      <c r="A77" s="115" t="s">
        <v>3870</v>
      </c>
      <c r="B77" s="115" t="s">
        <v>3897</v>
      </c>
      <c r="C77" s="115" t="s">
        <v>3898</v>
      </c>
      <c r="D77" s="115" t="s">
        <v>3899</v>
      </c>
      <c r="E77" s="116">
        <v>16.829999999999998</v>
      </c>
      <c r="F77" s="115" t="s">
        <v>3900</v>
      </c>
      <c r="G77" s="115" t="s">
        <v>640</v>
      </c>
      <c r="H77" s="104">
        <v>1605</v>
      </c>
    </row>
    <row r="78" spans="1:8" x14ac:dyDescent="0.25">
      <c r="A78" s="115" t="s">
        <v>3870</v>
      </c>
      <c r="B78" s="115" t="s">
        <v>3901</v>
      </c>
      <c r="C78" s="115" t="s">
        <v>3902</v>
      </c>
      <c r="D78" s="115" t="s">
        <v>3903</v>
      </c>
      <c r="E78" s="116">
        <v>4.63</v>
      </c>
      <c r="F78" s="115" t="s">
        <v>3904</v>
      </c>
      <c r="G78" s="115" t="s">
        <v>640</v>
      </c>
      <c r="H78" s="104">
        <v>1606</v>
      </c>
    </row>
    <row r="79" spans="1:8" x14ac:dyDescent="0.25">
      <c r="A79" s="115" t="s">
        <v>3870</v>
      </c>
      <c r="B79" s="115" t="s">
        <v>3905</v>
      </c>
      <c r="C79" s="115" t="s">
        <v>3906</v>
      </c>
      <c r="D79" s="115" t="s">
        <v>3907</v>
      </c>
      <c r="E79" s="116">
        <v>7.72</v>
      </c>
      <c r="F79" s="115" t="s">
        <v>3908</v>
      </c>
      <c r="G79" s="115" t="s">
        <v>640</v>
      </c>
      <c r="H79" s="104">
        <v>1607</v>
      </c>
    </row>
    <row r="80" spans="1:8" x14ac:dyDescent="0.25">
      <c r="A80" s="115" t="s">
        <v>3870</v>
      </c>
      <c r="B80" s="115" t="s">
        <v>3909</v>
      </c>
      <c r="C80" s="115" t="s">
        <v>3910</v>
      </c>
      <c r="D80" s="115" t="s">
        <v>3911</v>
      </c>
      <c r="E80" s="116">
        <v>37.21</v>
      </c>
      <c r="F80" s="115" t="s">
        <v>3912</v>
      </c>
      <c r="G80" s="115" t="s">
        <v>640</v>
      </c>
      <c r="H80" s="104">
        <v>1608</v>
      </c>
    </row>
    <row r="81" spans="1:11" x14ac:dyDescent="0.25">
      <c r="A81" s="115" t="s">
        <v>3870</v>
      </c>
      <c r="B81" s="115" t="s">
        <v>3913</v>
      </c>
      <c r="C81" s="115" t="s">
        <v>3914</v>
      </c>
      <c r="D81" s="115" t="s">
        <v>3915</v>
      </c>
      <c r="E81" s="116">
        <v>4.78</v>
      </c>
      <c r="F81" s="115" t="s">
        <v>3916</v>
      </c>
      <c r="G81" s="115" t="s">
        <v>640</v>
      </c>
      <c r="H81" s="104">
        <v>1609</v>
      </c>
    </row>
    <row r="82" spans="1:11" x14ac:dyDescent="0.25">
      <c r="A82" s="115" t="s">
        <v>3870</v>
      </c>
      <c r="B82" s="115" t="s">
        <v>3917</v>
      </c>
      <c r="C82" s="115" t="s">
        <v>3918</v>
      </c>
      <c r="D82" s="115" t="s">
        <v>3919</v>
      </c>
      <c r="E82" s="116">
        <v>13.72</v>
      </c>
      <c r="F82" s="115" t="s">
        <v>3920</v>
      </c>
      <c r="G82" s="115" t="s">
        <v>640</v>
      </c>
      <c r="H82" s="104">
        <v>1610</v>
      </c>
    </row>
    <row r="83" spans="1:11" x14ac:dyDescent="0.25">
      <c r="A83" s="115" t="s">
        <v>3870</v>
      </c>
      <c r="B83" s="115" t="s">
        <v>3921</v>
      </c>
      <c r="C83" s="115" t="s">
        <v>3922</v>
      </c>
      <c r="D83" s="115" t="s">
        <v>3923</v>
      </c>
      <c r="E83" s="116">
        <v>8.66</v>
      </c>
      <c r="F83" s="115" t="s">
        <v>3924</v>
      </c>
      <c r="G83" s="115" t="s">
        <v>640</v>
      </c>
      <c r="H83" s="104">
        <v>1611</v>
      </c>
    </row>
    <row r="84" spans="1:11" x14ac:dyDescent="0.25">
      <c r="A84" s="115" t="s">
        <v>3870</v>
      </c>
      <c r="B84" s="115" t="s">
        <v>3925</v>
      </c>
      <c r="C84" s="115" t="s">
        <v>3926</v>
      </c>
      <c r="D84" s="115" t="s">
        <v>3927</v>
      </c>
      <c r="E84" s="116">
        <v>6.59</v>
      </c>
      <c r="F84" s="115" t="s">
        <v>3928</v>
      </c>
      <c r="G84" s="115" t="s">
        <v>640</v>
      </c>
      <c r="H84" s="104">
        <v>1612</v>
      </c>
    </row>
    <row r="85" spans="1:11" x14ac:dyDescent="0.25">
      <c r="A85" s="115" t="s">
        <v>3870</v>
      </c>
      <c r="B85" s="115" t="s">
        <v>3929</v>
      </c>
      <c r="C85" s="115" t="s">
        <v>3930</v>
      </c>
      <c r="D85" s="115" t="s">
        <v>3597</v>
      </c>
      <c r="E85" s="116">
        <v>1.79</v>
      </c>
      <c r="F85" s="115" t="s">
        <v>3598</v>
      </c>
      <c r="G85" s="115" t="s">
        <v>640</v>
      </c>
      <c r="H85" s="104">
        <v>1613</v>
      </c>
    </row>
    <row r="86" spans="1:11" x14ac:dyDescent="0.25">
      <c r="A86" s="115" t="s">
        <v>3870</v>
      </c>
      <c r="B86" s="115" t="s">
        <v>3931</v>
      </c>
      <c r="C86" s="115" t="s">
        <v>3932</v>
      </c>
      <c r="D86" s="115" t="s">
        <v>3933</v>
      </c>
      <c r="E86" s="116">
        <v>3.92</v>
      </c>
      <c r="F86" s="115" t="s">
        <v>3934</v>
      </c>
      <c r="G86" s="115" t="s">
        <v>640</v>
      </c>
      <c r="H86" s="104">
        <v>1614</v>
      </c>
    </row>
    <row r="87" spans="1:11" x14ac:dyDescent="0.25">
      <c r="A87" s="115" t="s">
        <v>3870</v>
      </c>
      <c r="B87" s="115" t="s">
        <v>3935</v>
      </c>
      <c r="C87" s="115" t="s">
        <v>3936</v>
      </c>
      <c r="D87" s="115" t="s">
        <v>3937</v>
      </c>
      <c r="E87" s="116">
        <v>13.88</v>
      </c>
      <c r="F87" s="115" t="s">
        <v>3938</v>
      </c>
      <c r="G87" s="115" t="s">
        <v>640</v>
      </c>
      <c r="H87" s="104">
        <v>1615</v>
      </c>
    </row>
    <row r="88" spans="1:11" x14ac:dyDescent="0.25">
      <c r="A88" s="115" t="s">
        <v>3870</v>
      </c>
      <c r="B88" s="115" t="s">
        <v>3939</v>
      </c>
      <c r="C88" s="115" t="s">
        <v>3940</v>
      </c>
      <c r="D88" s="115" t="s">
        <v>3941</v>
      </c>
      <c r="E88" s="116">
        <v>4.0999999999999996</v>
      </c>
      <c r="F88" s="115" t="s">
        <v>3942</v>
      </c>
      <c r="G88" s="115" t="s">
        <v>640</v>
      </c>
      <c r="H88" s="104">
        <v>1616</v>
      </c>
    </row>
    <row r="89" spans="1:11" x14ac:dyDescent="0.25">
      <c r="A89" s="115" t="s">
        <v>3870</v>
      </c>
      <c r="B89" s="115" t="s">
        <v>3943</v>
      </c>
      <c r="C89" s="115" t="s">
        <v>3944</v>
      </c>
      <c r="D89" s="115" t="s">
        <v>3945</v>
      </c>
      <c r="E89" s="116">
        <v>11.36</v>
      </c>
      <c r="F89" s="115" t="s">
        <v>3946</v>
      </c>
      <c r="G89" s="115" t="s">
        <v>640</v>
      </c>
      <c r="H89" s="104">
        <v>1617</v>
      </c>
    </row>
    <row r="90" spans="1:11" x14ac:dyDescent="0.25">
      <c r="A90" s="115" t="s">
        <v>3870</v>
      </c>
      <c r="B90" s="115" t="s">
        <v>3947</v>
      </c>
      <c r="C90" s="115" t="s">
        <v>3948</v>
      </c>
      <c r="D90" s="115" t="s">
        <v>3949</v>
      </c>
      <c r="E90" s="116">
        <v>11.03</v>
      </c>
      <c r="F90" s="115" t="s">
        <v>3950</v>
      </c>
      <c r="G90" s="115" t="s">
        <v>640</v>
      </c>
      <c r="H90" s="104">
        <v>1618</v>
      </c>
      <c r="K90" t="s">
        <v>1053</v>
      </c>
    </row>
    <row r="91" spans="1:11" x14ac:dyDescent="0.25">
      <c r="A91" s="115" t="s">
        <v>3870</v>
      </c>
      <c r="B91" s="115" t="s">
        <v>3951</v>
      </c>
      <c r="C91" s="115" t="s">
        <v>3952</v>
      </c>
      <c r="D91" s="115" t="s">
        <v>3601</v>
      </c>
      <c r="E91" s="116">
        <v>1.68</v>
      </c>
      <c r="F91" s="115" t="s">
        <v>3602</v>
      </c>
      <c r="G91" s="115" t="s">
        <v>640</v>
      </c>
      <c r="H91" s="104">
        <v>1619</v>
      </c>
    </row>
    <row r="92" spans="1:11" x14ac:dyDescent="0.25">
      <c r="A92" s="115" t="s">
        <v>3870</v>
      </c>
      <c r="B92" s="115" t="s">
        <v>3953</v>
      </c>
      <c r="C92" s="115" t="s">
        <v>3954</v>
      </c>
      <c r="D92" s="115" t="s">
        <v>3955</v>
      </c>
      <c r="E92" s="116">
        <v>3.99</v>
      </c>
      <c r="F92" s="115" t="s">
        <v>3956</v>
      </c>
      <c r="G92" s="115" t="s">
        <v>640</v>
      </c>
      <c r="H92" s="104">
        <v>1620</v>
      </c>
    </row>
    <row r="93" spans="1:11" x14ac:dyDescent="0.25">
      <c r="A93" s="115" t="s">
        <v>3870</v>
      </c>
      <c r="B93" s="115" t="s">
        <v>3957</v>
      </c>
      <c r="C93" s="115" t="s">
        <v>3958</v>
      </c>
      <c r="D93" s="115" t="s">
        <v>3959</v>
      </c>
      <c r="E93" s="116">
        <v>4.17</v>
      </c>
      <c r="F93" s="115" t="s">
        <v>3960</v>
      </c>
      <c r="G93" s="115" t="s">
        <v>640</v>
      </c>
      <c r="H93" s="104">
        <v>1621</v>
      </c>
    </row>
    <row r="94" spans="1:11" x14ac:dyDescent="0.25">
      <c r="A94" s="115" t="s">
        <v>3870</v>
      </c>
      <c r="B94" s="115" t="s">
        <v>3111</v>
      </c>
      <c r="C94" s="115" t="s">
        <v>3961</v>
      </c>
      <c r="D94" s="115" t="s">
        <v>3962</v>
      </c>
      <c r="E94" s="116">
        <v>32.18</v>
      </c>
      <c r="F94" s="115" t="s">
        <v>3963</v>
      </c>
      <c r="G94" s="115" t="s">
        <v>640</v>
      </c>
      <c r="H94" s="104">
        <v>1622</v>
      </c>
    </row>
    <row r="95" spans="1:11" x14ac:dyDescent="0.25">
      <c r="A95" s="115" t="s">
        <v>3870</v>
      </c>
      <c r="B95" s="115" t="s">
        <v>3964</v>
      </c>
      <c r="C95" s="115" t="s">
        <v>3965</v>
      </c>
      <c r="D95" s="115" t="s">
        <v>3966</v>
      </c>
      <c r="E95" s="116">
        <v>13.38</v>
      </c>
      <c r="F95" s="115" t="s">
        <v>3967</v>
      </c>
      <c r="G95" s="115" t="s">
        <v>640</v>
      </c>
      <c r="H95" s="104">
        <v>1623</v>
      </c>
    </row>
    <row r="96" spans="1:11" x14ac:dyDescent="0.25">
      <c r="A96" s="115" t="s">
        <v>3968</v>
      </c>
      <c r="B96" s="115" t="s">
        <v>3969</v>
      </c>
      <c r="C96" s="115" t="s">
        <v>3970</v>
      </c>
      <c r="D96" s="115" t="s">
        <v>3589</v>
      </c>
      <c r="E96" s="116">
        <v>4.13</v>
      </c>
      <c r="F96" s="115" t="s">
        <v>3590</v>
      </c>
      <c r="G96" s="115" t="s">
        <v>640</v>
      </c>
      <c r="H96" s="104">
        <v>1659</v>
      </c>
    </row>
    <row r="97" spans="1:15" x14ac:dyDescent="0.25">
      <c r="A97" s="115" t="s">
        <v>3968</v>
      </c>
      <c r="B97" s="115" t="s">
        <v>3971</v>
      </c>
      <c r="C97" s="115" t="s">
        <v>3972</v>
      </c>
      <c r="D97" s="115" t="s">
        <v>3973</v>
      </c>
      <c r="E97" s="116">
        <v>7.41</v>
      </c>
      <c r="F97" s="115" t="s">
        <v>3974</v>
      </c>
      <c r="G97" s="115" t="s">
        <v>640</v>
      </c>
      <c r="H97" s="104">
        <v>1660</v>
      </c>
    </row>
    <row r="98" spans="1:15" x14ac:dyDescent="0.25">
      <c r="A98" s="115" t="s">
        <v>3968</v>
      </c>
      <c r="B98" s="115" t="s">
        <v>3975</v>
      </c>
      <c r="C98" s="115" t="s">
        <v>3976</v>
      </c>
      <c r="D98" s="115" t="s">
        <v>1357</v>
      </c>
      <c r="E98" s="116">
        <v>2.4900000000000002</v>
      </c>
      <c r="F98" s="115" t="s">
        <v>1356</v>
      </c>
      <c r="G98" s="115" t="s">
        <v>640</v>
      </c>
      <c r="H98" s="104">
        <v>1661</v>
      </c>
      <c r="J98" t="s">
        <v>1529</v>
      </c>
      <c r="M98" t="s">
        <v>1528</v>
      </c>
    </row>
    <row r="99" spans="1:15" x14ac:dyDescent="0.25">
      <c r="A99" s="115" t="s">
        <v>3968</v>
      </c>
      <c r="B99" s="115" t="s">
        <v>3977</v>
      </c>
      <c r="C99" s="115" t="s">
        <v>3978</v>
      </c>
      <c r="D99" s="115" t="s">
        <v>1331</v>
      </c>
      <c r="E99" s="116">
        <v>3.68</v>
      </c>
      <c r="F99" s="115" t="s">
        <v>1330</v>
      </c>
      <c r="G99" s="115" t="s">
        <v>640</v>
      </c>
      <c r="H99" s="104">
        <v>1662</v>
      </c>
    </row>
    <row r="100" spans="1:15" x14ac:dyDescent="0.25">
      <c r="A100" s="115" t="s">
        <v>3968</v>
      </c>
      <c r="B100" s="115" t="s">
        <v>3979</v>
      </c>
      <c r="C100" s="115" t="s">
        <v>3980</v>
      </c>
      <c r="D100" s="115" t="s">
        <v>3981</v>
      </c>
      <c r="E100" s="116">
        <v>18.16</v>
      </c>
      <c r="F100" s="115" t="s">
        <v>3982</v>
      </c>
      <c r="G100" s="115" t="s">
        <v>640</v>
      </c>
      <c r="H100" s="104">
        <v>1663</v>
      </c>
    </row>
    <row r="101" spans="1:15" x14ac:dyDescent="0.25">
      <c r="A101" s="115" t="s">
        <v>3968</v>
      </c>
      <c r="B101" s="115" t="s">
        <v>3983</v>
      </c>
      <c r="C101" s="115" t="s">
        <v>3984</v>
      </c>
      <c r="D101" s="115" t="s">
        <v>3985</v>
      </c>
      <c r="E101" s="116">
        <v>31.85</v>
      </c>
      <c r="F101" s="115" t="s">
        <v>3986</v>
      </c>
      <c r="G101" s="115" t="s">
        <v>640</v>
      </c>
      <c r="H101" s="104">
        <v>1664</v>
      </c>
    </row>
    <row r="102" spans="1:15" x14ac:dyDescent="0.25">
      <c r="A102" s="115" t="s">
        <v>3968</v>
      </c>
      <c r="B102" s="115" t="s">
        <v>3987</v>
      </c>
      <c r="C102" s="115" t="s">
        <v>3988</v>
      </c>
      <c r="D102" s="115" t="s">
        <v>3989</v>
      </c>
      <c r="E102" s="116">
        <v>4.2</v>
      </c>
      <c r="F102" s="115" t="s">
        <v>3990</v>
      </c>
      <c r="G102" s="115" t="s">
        <v>640</v>
      </c>
      <c r="H102" s="104">
        <v>1665</v>
      </c>
    </row>
    <row r="103" spans="1:15" x14ac:dyDescent="0.25">
      <c r="A103" s="115" t="s">
        <v>3968</v>
      </c>
      <c r="B103" s="115" t="s">
        <v>3991</v>
      </c>
      <c r="C103" s="115" t="s">
        <v>3992</v>
      </c>
      <c r="D103" s="115" t="s">
        <v>3993</v>
      </c>
      <c r="E103" s="116">
        <v>3.49</v>
      </c>
      <c r="F103" s="115" t="s">
        <v>3994</v>
      </c>
      <c r="G103" s="115" t="s">
        <v>640</v>
      </c>
      <c r="H103" s="104">
        <v>1666</v>
      </c>
      <c r="L103" t="s">
        <v>1527</v>
      </c>
      <c r="O103" t="s">
        <v>1526</v>
      </c>
    </row>
    <row r="104" spans="1:15" x14ac:dyDescent="0.25">
      <c r="A104" s="115" t="s">
        <v>3968</v>
      </c>
      <c r="B104" s="115" t="s">
        <v>3995</v>
      </c>
      <c r="C104" s="115" t="s">
        <v>3996</v>
      </c>
      <c r="D104" s="115" t="s">
        <v>3997</v>
      </c>
      <c r="E104" s="116">
        <v>4.04</v>
      </c>
      <c r="F104" s="115" t="s">
        <v>3998</v>
      </c>
      <c r="G104" s="115" t="s">
        <v>640</v>
      </c>
      <c r="H104" s="104">
        <v>1667</v>
      </c>
    </row>
    <row r="105" spans="1:15" x14ac:dyDescent="0.25">
      <c r="A105" s="115" t="s">
        <v>3968</v>
      </c>
      <c r="B105" s="115" t="s">
        <v>3999</v>
      </c>
      <c r="C105" s="115" t="s">
        <v>4000</v>
      </c>
      <c r="D105" s="115" t="s">
        <v>4001</v>
      </c>
      <c r="E105" s="116">
        <v>5.16</v>
      </c>
      <c r="F105" s="115" t="s">
        <v>4002</v>
      </c>
      <c r="G105" s="115" t="s">
        <v>640</v>
      </c>
      <c r="H105" s="104">
        <v>1668</v>
      </c>
    </row>
    <row r="106" spans="1:15" x14ac:dyDescent="0.25">
      <c r="A106" s="115" t="s">
        <v>3968</v>
      </c>
      <c r="B106" s="115" t="s">
        <v>4003</v>
      </c>
      <c r="C106" s="115" t="s">
        <v>4004</v>
      </c>
      <c r="D106" s="115" t="s">
        <v>4005</v>
      </c>
      <c r="E106" s="116">
        <v>19.22</v>
      </c>
      <c r="F106" s="115" t="s">
        <v>4006</v>
      </c>
      <c r="G106" s="115" t="s">
        <v>640</v>
      </c>
      <c r="H106" s="104">
        <v>1669</v>
      </c>
    </row>
    <row r="107" spans="1:15" x14ac:dyDescent="0.25">
      <c r="A107" s="115" t="s">
        <v>3968</v>
      </c>
      <c r="B107" s="115" t="s">
        <v>4007</v>
      </c>
      <c r="C107" s="115" t="s">
        <v>4008</v>
      </c>
      <c r="D107" s="115" t="s">
        <v>1405</v>
      </c>
      <c r="E107" s="116">
        <v>3.32</v>
      </c>
      <c r="F107" s="115" t="s">
        <v>1404</v>
      </c>
      <c r="G107" s="115" t="s">
        <v>640</v>
      </c>
      <c r="H107" s="104">
        <v>1670</v>
      </c>
    </row>
    <row r="108" spans="1:15" x14ac:dyDescent="0.25">
      <c r="A108" s="115" t="s">
        <v>3968</v>
      </c>
      <c r="B108" s="115" t="s">
        <v>4009</v>
      </c>
      <c r="C108" s="115" t="s">
        <v>4010</v>
      </c>
      <c r="D108" s="115" t="s">
        <v>4011</v>
      </c>
      <c r="E108" s="116">
        <v>8.73</v>
      </c>
      <c r="F108" s="115" t="s">
        <v>4012</v>
      </c>
      <c r="G108" s="115" t="s">
        <v>640</v>
      </c>
      <c r="H108" s="104">
        <v>1671</v>
      </c>
    </row>
    <row r="109" spans="1:15" x14ac:dyDescent="0.25">
      <c r="A109" s="115" t="s">
        <v>3968</v>
      </c>
      <c r="B109" s="115" t="s">
        <v>4013</v>
      </c>
      <c r="C109" s="115" t="s">
        <v>4014</v>
      </c>
      <c r="D109" s="115" t="s">
        <v>4015</v>
      </c>
      <c r="E109" s="116">
        <v>4.9000000000000004</v>
      </c>
      <c r="F109" s="115" t="s">
        <v>4016</v>
      </c>
      <c r="G109" s="115" t="s">
        <v>640</v>
      </c>
      <c r="H109" s="104">
        <v>1672</v>
      </c>
    </row>
    <row r="110" spans="1:15" x14ac:dyDescent="0.25">
      <c r="A110" s="115" t="s">
        <v>3968</v>
      </c>
      <c r="B110" s="115" t="s">
        <v>4017</v>
      </c>
      <c r="C110" s="115" t="s">
        <v>4018</v>
      </c>
      <c r="D110" s="115" t="s">
        <v>4019</v>
      </c>
      <c r="E110" s="116">
        <v>0.27</v>
      </c>
      <c r="F110" s="115" t="s">
        <v>4020</v>
      </c>
      <c r="G110" s="115" t="s">
        <v>640</v>
      </c>
      <c r="H110" s="104">
        <v>1673</v>
      </c>
    </row>
    <row r="111" spans="1:15" x14ac:dyDescent="0.25">
      <c r="A111" s="115" t="s">
        <v>3968</v>
      </c>
      <c r="B111" s="115" t="s">
        <v>4021</v>
      </c>
      <c r="C111" s="115" t="s">
        <v>4022</v>
      </c>
      <c r="D111" s="115" t="s">
        <v>4023</v>
      </c>
      <c r="E111" s="116">
        <v>0.17</v>
      </c>
      <c r="F111" s="115" t="s">
        <v>4020</v>
      </c>
      <c r="G111" s="115" t="s">
        <v>640</v>
      </c>
      <c r="H111" s="104">
        <v>1674</v>
      </c>
    </row>
    <row r="112" spans="1:15" x14ac:dyDescent="0.25">
      <c r="A112" s="115" t="s">
        <v>3968</v>
      </c>
      <c r="B112" s="115" t="s">
        <v>4024</v>
      </c>
      <c r="C112" s="115" t="s">
        <v>4025</v>
      </c>
      <c r="D112" s="115" t="s">
        <v>4026</v>
      </c>
      <c r="E112" s="116">
        <v>8.2200000000000006</v>
      </c>
      <c r="F112" s="115" t="s">
        <v>4027</v>
      </c>
      <c r="G112" s="115" t="s">
        <v>640</v>
      </c>
      <c r="H112" s="104">
        <v>1675</v>
      </c>
    </row>
    <row r="113" spans="1:8" x14ac:dyDescent="0.25">
      <c r="A113" s="115" t="s">
        <v>3968</v>
      </c>
      <c r="B113" s="115" t="s">
        <v>4028</v>
      </c>
      <c r="C113" s="115" t="s">
        <v>4029</v>
      </c>
      <c r="D113" s="115" t="s">
        <v>4030</v>
      </c>
      <c r="E113" s="116">
        <v>1.86</v>
      </c>
      <c r="F113" s="115" t="s">
        <v>4031</v>
      </c>
      <c r="G113" s="115" t="s">
        <v>640</v>
      </c>
      <c r="H113" s="104" t="s">
        <v>4032</v>
      </c>
    </row>
    <row r="114" spans="1:8" x14ac:dyDescent="0.25">
      <c r="A114" s="115" t="s">
        <v>3968</v>
      </c>
      <c r="B114" s="115" t="s">
        <v>4033</v>
      </c>
      <c r="C114" s="115" t="s">
        <v>4034</v>
      </c>
      <c r="D114" s="115" t="s">
        <v>4035</v>
      </c>
      <c r="E114" s="116">
        <v>56.57</v>
      </c>
      <c r="F114" s="115" t="s">
        <v>4036</v>
      </c>
      <c r="G114" s="115" t="s">
        <v>640</v>
      </c>
      <c r="H114" s="104">
        <v>1676</v>
      </c>
    </row>
    <row r="115" spans="1:8" x14ac:dyDescent="0.25">
      <c r="A115" s="115" t="s">
        <v>3968</v>
      </c>
      <c r="B115" s="115" t="s">
        <v>4037</v>
      </c>
      <c r="C115" s="115" t="s">
        <v>4038</v>
      </c>
      <c r="D115" s="115" t="s">
        <v>4039</v>
      </c>
      <c r="E115" s="116">
        <v>6.06</v>
      </c>
      <c r="F115" s="115" t="s">
        <v>4040</v>
      </c>
      <c r="G115" s="115" t="s">
        <v>640</v>
      </c>
      <c r="H115" s="104">
        <v>1677</v>
      </c>
    </row>
    <row r="116" spans="1:8" x14ac:dyDescent="0.25">
      <c r="A116" s="115" t="s">
        <v>3968</v>
      </c>
      <c r="B116" s="115" t="s">
        <v>4041</v>
      </c>
      <c r="C116" s="115" t="s">
        <v>4042</v>
      </c>
      <c r="D116" s="115" t="s">
        <v>954</v>
      </c>
      <c r="E116" s="116">
        <v>2.15</v>
      </c>
      <c r="F116" s="115" t="s">
        <v>953</v>
      </c>
      <c r="G116" s="115" t="s">
        <v>640</v>
      </c>
      <c r="H116" s="104">
        <v>1678</v>
      </c>
    </row>
    <row r="117" spans="1:8" x14ac:dyDescent="0.25">
      <c r="A117" s="115" t="s">
        <v>3968</v>
      </c>
      <c r="B117" s="115" t="s">
        <v>4043</v>
      </c>
      <c r="C117" s="115" t="s">
        <v>4044</v>
      </c>
      <c r="D117" s="115" t="s">
        <v>4045</v>
      </c>
      <c r="E117" s="116">
        <v>3.88</v>
      </c>
      <c r="F117" s="115" t="s">
        <v>4046</v>
      </c>
      <c r="G117" s="115" t="s">
        <v>640</v>
      </c>
      <c r="H117" s="104">
        <v>1679</v>
      </c>
    </row>
    <row r="118" spans="1:8" x14ac:dyDescent="0.25">
      <c r="A118" s="115" t="s">
        <v>3968</v>
      </c>
      <c r="B118" s="115" t="s">
        <v>4047</v>
      </c>
      <c r="C118" s="115" t="s">
        <v>4048</v>
      </c>
      <c r="D118" s="115" t="s">
        <v>4049</v>
      </c>
      <c r="E118" s="116">
        <v>13.82</v>
      </c>
      <c r="F118" s="115" t="s">
        <v>4050</v>
      </c>
      <c r="G118" s="115" t="s">
        <v>640</v>
      </c>
      <c r="H118" s="104">
        <v>1680</v>
      </c>
    </row>
    <row r="119" spans="1:8" x14ac:dyDescent="0.25">
      <c r="A119" s="115" t="s">
        <v>3968</v>
      </c>
      <c r="B119" s="115" t="s">
        <v>1429</v>
      </c>
      <c r="C119" s="115" t="s">
        <v>4051</v>
      </c>
      <c r="D119" s="115" t="s">
        <v>1382</v>
      </c>
      <c r="E119" s="116">
        <v>3.91</v>
      </c>
      <c r="F119" s="115" t="s">
        <v>1381</v>
      </c>
      <c r="G119" s="115" t="s">
        <v>640</v>
      </c>
      <c r="H119" s="104">
        <v>1681</v>
      </c>
    </row>
    <row r="120" spans="1:8" x14ac:dyDescent="0.25">
      <c r="A120" s="115" t="s">
        <v>3968</v>
      </c>
      <c r="B120" s="115" t="s">
        <v>4052</v>
      </c>
      <c r="C120" s="115" t="s">
        <v>4053</v>
      </c>
      <c r="D120" s="115" t="s">
        <v>4054</v>
      </c>
      <c r="E120" s="116">
        <v>3.84</v>
      </c>
      <c r="F120" s="115" t="s">
        <v>4055</v>
      </c>
      <c r="G120" s="115" t="s">
        <v>640</v>
      </c>
      <c r="H120" s="104">
        <v>1682</v>
      </c>
    </row>
    <row r="121" spans="1:8" x14ac:dyDescent="0.25">
      <c r="A121" s="115" t="s">
        <v>3968</v>
      </c>
      <c r="B121" s="115" t="s">
        <v>4056</v>
      </c>
      <c r="C121" s="115" t="s">
        <v>4057</v>
      </c>
      <c r="D121" s="115" t="s">
        <v>4058</v>
      </c>
      <c r="E121" s="116">
        <v>4.96</v>
      </c>
      <c r="F121" s="115" t="s">
        <v>4059</v>
      </c>
      <c r="G121" s="115" t="s">
        <v>640</v>
      </c>
      <c r="H121" s="104">
        <v>1683</v>
      </c>
    </row>
    <row r="122" spans="1:8" x14ac:dyDescent="0.25">
      <c r="A122" s="115" t="s">
        <v>3968</v>
      </c>
      <c r="B122" s="115" t="s">
        <v>4060</v>
      </c>
      <c r="C122" s="115" t="s">
        <v>4061</v>
      </c>
      <c r="D122" s="115" t="s">
        <v>4062</v>
      </c>
      <c r="E122" s="116">
        <v>46.22</v>
      </c>
      <c r="F122" s="115" t="s">
        <v>4063</v>
      </c>
      <c r="G122" s="115" t="s">
        <v>640</v>
      </c>
      <c r="H122" s="104">
        <v>1684</v>
      </c>
    </row>
    <row r="123" spans="1:8" x14ac:dyDescent="0.25">
      <c r="A123" s="115" t="s">
        <v>3968</v>
      </c>
      <c r="B123" s="115" t="s">
        <v>4064</v>
      </c>
      <c r="C123" s="115" t="s">
        <v>4065</v>
      </c>
      <c r="D123" s="115" t="s">
        <v>4066</v>
      </c>
      <c r="E123" s="116">
        <v>108.26</v>
      </c>
      <c r="F123" s="115" t="s">
        <v>4067</v>
      </c>
      <c r="G123" s="115" t="s">
        <v>640</v>
      </c>
      <c r="H123" s="104">
        <v>1685</v>
      </c>
    </row>
    <row r="124" spans="1:8" x14ac:dyDescent="0.25">
      <c r="A124" s="115" t="s">
        <v>3968</v>
      </c>
      <c r="B124" s="115" t="s">
        <v>4068</v>
      </c>
      <c r="C124" s="115" t="s">
        <v>4069</v>
      </c>
      <c r="D124" s="115" t="s">
        <v>4070</v>
      </c>
      <c r="E124" s="116">
        <v>12.04</v>
      </c>
      <c r="F124" s="115" t="s">
        <v>4071</v>
      </c>
      <c r="G124" s="115" t="s">
        <v>640</v>
      </c>
      <c r="H124" s="104">
        <v>1686</v>
      </c>
    </row>
    <row r="125" spans="1:8" x14ac:dyDescent="0.25">
      <c r="A125" s="115" t="s">
        <v>4072</v>
      </c>
      <c r="B125" s="115" t="s">
        <v>4073</v>
      </c>
      <c r="C125" s="115" t="s">
        <v>4074</v>
      </c>
      <c r="D125" s="115" t="s">
        <v>950</v>
      </c>
      <c r="E125" s="116">
        <v>2.84</v>
      </c>
      <c r="F125" s="115" t="s">
        <v>949</v>
      </c>
      <c r="G125" s="115" t="s">
        <v>640</v>
      </c>
      <c r="H125" s="104">
        <v>1825</v>
      </c>
    </row>
    <row r="126" spans="1:8" x14ac:dyDescent="0.25">
      <c r="A126" s="115" t="s">
        <v>4072</v>
      </c>
      <c r="B126" s="115" t="s">
        <v>4075</v>
      </c>
      <c r="C126" s="115" t="s">
        <v>4076</v>
      </c>
      <c r="D126" s="115" t="s">
        <v>4077</v>
      </c>
      <c r="E126" s="116">
        <v>15.12</v>
      </c>
      <c r="F126" s="115" t="s">
        <v>4078</v>
      </c>
      <c r="G126" s="115" t="s">
        <v>640</v>
      </c>
      <c r="H126" s="104">
        <v>1826</v>
      </c>
    </row>
    <row r="127" spans="1:8" x14ac:dyDescent="0.25">
      <c r="A127" s="115" t="s">
        <v>4072</v>
      </c>
      <c r="B127" s="115" t="s">
        <v>4079</v>
      </c>
      <c r="C127" s="115" t="s">
        <v>4080</v>
      </c>
      <c r="D127" s="115" t="s">
        <v>1329</v>
      </c>
      <c r="E127" s="116">
        <v>7.69</v>
      </c>
      <c r="F127" s="115" t="s">
        <v>1328</v>
      </c>
      <c r="G127" s="115" t="s">
        <v>640</v>
      </c>
      <c r="H127" s="104">
        <v>1827</v>
      </c>
    </row>
    <row r="128" spans="1:8" x14ac:dyDescent="0.25">
      <c r="A128" s="115" t="s">
        <v>4072</v>
      </c>
      <c r="B128" s="115" t="s">
        <v>4081</v>
      </c>
      <c r="C128" s="115" t="s">
        <v>4082</v>
      </c>
      <c r="D128" s="115" t="s">
        <v>4083</v>
      </c>
      <c r="E128" s="116">
        <v>3.4</v>
      </c>
      <c r="F128" s="115" t="s">
        <v>4084</v>
      </c>
      <c r="G128" s="115" t="s">
        <v>640</v>
      </c>
      <c r="H128" s="104">
        <v>1828</v>
      </c>
    </row>
    <row r="129" spans="1:11" ht="15.75" x14ac:dyDescent="0.25">
      <c r="A129" s="115" t="s">
        <v>4072</v>
      </c>
      <c r="B129" s="115" t="s">
        <v>4085</v>
      </c>
      <c r="C129" s="115" t="s">
        <v>4086</v>
      </c>
      <c r="D129" s="115" t="s">
        <v>729</v>
      </c>
      <c r="E129" s="116">
        <v>1.79</v>
      </c>
      <c r="F129" s="115" t="s">
        <v>728</v>
      </c>
      <c r="G129" s="115" t="s">
        <v>640</v>
      </c>
      <c r="H129" s="104">
        <v>1829</v>
      </c>
      <c r="I129" s="109"/>
      <c r="K129" s="84"/>
    </row>
    <row r="130" spans="1:11" x14ac:dyDescent="0.25">
      <c r="A130" s="115" t="s">
        <v>4072</v>
      </c>
      <c r="B130" s="115" t="s">
        <v>4087</v>
      </c>
      <c r="C130" s="115" t="s">
        <v>4088</v>
      </c>
      <c r="D130" s="115" t="s">
        <v>4089</v>
      </c>
      <c r="E130" s="116">
        <v>12.39</v>
      </c>
      <c r="F130" s="115" t="s">
        <v>4090</v>
      </c>
      <c r="G130" s="115" t="s">
        <v>640</v>
      </c>
      <c r="H130" s="104">
        <v>1830</v>
      </c>
    </row>
    <row r="131" spans="1:11" x14ac:dyDescent="0.25">
      <c r="A131" s="115" t="s">
        <v>4072</v>
      </c>
      <c r="B131" s="115" t="s">
        <v>4091</v>
      </c>
      <c r="C131" s="115" t="s">
        <v>4092</v>
      </c>
      <c r="D131" s="115" t="s">
        <v>4093</v>
      </c>
      <c r="E131" s="116">
        <v>2.2000000000000002</v>
      </c>
      <c r="F131" s="115" t="s">
        <v>4094</v>
      </c>
      <c r="G131" s="115" t="s">
        <v>640</v>
      </c>
      <c r="H131" s="104">
        <v>1831</v>
      </c>
    </row>
    <row r="132" spans="1:11" x14ac:dyDescent="0.25">
      <c r="A132" s="115" t="s">
        <v>4072</v>
      </c>
      <c r="B132" s="115" t="s">
        <v>4095</v>
      </c>
      <c r="C132" s="115" t="s">
        <v>4096</v>
      </c>
      <c r="D132" s="115" t="s">
        <v>4097</v>
      </c>
      <c r="E132" s="116">
        <v>8.7100000000000009</v>
      </c>
      <c r="F132" s="115" t="s">
        <v>4098</v>
      </c>
      <c r="G132" s="115" t="s">
        <v>640</v>
      </c>
      <c r="H132" s="104">
        <v>1832</v>
      </c>
    </row>
    <row r="133" spans="1:11" x14ac:dyDescent="0.25">
      <c r="A133" s="115" t="s">
        <v>4072</v>
      </c>
      <c r="B133" s="115" t="s">
        <v>4099</v>
      </c>
      <c r="C133" s="115" t="s">
        <v>4100</v>
      </c>
      <c r="D133" s="115" t="s">
        <v>4101</v>
      </c>
      <c r="E133" s="116">
        <v>3.88</v>
      </c>
      <c r="F133" s="115" t="s">
        <v>4102</v>
      </c>
      <c r="G133" s="115" t="s">
        <v>640</v>
      </c>
      <c r="H133" s="104">
        <v>1833</v>
      </c>
    </row>
    <row r="134" spans="1:11" x14ac:dyDescent="0.25">
      <c r="A134" s="115" t="s">
        <v>4072</v>
      </c>
      <c r="B134" s="115" t="s">
        <v>4103</v>
      </c>
      <c r="C134" s="115" t="s">
        <v>4104</v>
      </c>
      <c r="D134" s="115" t="s">
        <v>4105</v>
      </c>
      <c r="E134" s="116">
        <v>6.13</v>
      </c>
      <c r="F134" s="115" t="s">
        <v>4106</v>
      </c>
      <c r="G134" s="115" t="s">
        <v>640</v>
      </c>
      <c r="H134" s="104">
        <v>1834</v>
      </c>
    </row>
    <row r="135" spans="1:11" x14ac:dyDescent="0.25">
      <c r="A135" s="115" t="s">
        <v>4072</v>
      </c>
      <c r="B135" s="115" t="s">
        <v>4107</v>
      </c>
      <c r="C135" s="115" t="s">
        <v>4108</v>
      </c>
      <c r="D135" s="115" t="s">
        <v>4109</v>
      </c>
      <c r="E135" s="116">
        <v>4.1100000000000003</v>
      </c>
      <c r="F135" s="115" t="s">
        <v>4110</v>
      </c>
      <c r="G135" s="115" t="s">
        <v>640</v>
      </c>
      <c r="H135" s="104">
        <v>1835</v>
      </c>
    </row>
    <row r="136" spans="1:11" x14ac:dyDescent="0.25">
      <c r="A136" s="115" t="s">
        <v>4072</v>
      </c>
      <c r="B136" s="115" t="s">
        <v>4111</v>
      </c>
      <c r="C136" s="115" t="s">
        <v>4112</v>
      </c>
      <c r="D136" s="115" t="s">
        <v>4113</v>
      </c>
      <c r="E136" s="116">
        <v>11.05</v>
      </c>
      <c r="F136" s="115" t="s">
        <v>4114</v>
      </c>
      <c r="G136" s="115" t="s">
        <v>640</v>
      </c>
      <c r="H136" s="104">
        <v>1836</v>
      </c>
    </row>
    <row r="137" spans="1:11" x14ac:dyDescent="0.25">
      <c r="A137" s="115" t="s">
        <v>4072</v>
      </c>
      <c r="B137" s="115" t="s">
        <v>4115</v>
      </c>
      <c r="C137" s="115" t="s">
        <v>4116</v>
      </c>
      <c r="D137" s="115" t="s">
        <v>4117</v>
      </c>
      <c r="E137" s="116">
        <v>5.9</v>
      </c>
      <c r="F137" s="115" t="s">
        <v>4118</v>
      </c>
      <c r="G137" s="115" t="s">
        <v>640</v>
      </c>
      <c r="H137" s="104">
        <v>1837</v>
      </c>
    </row>
    <row r="138" spans="1:11" x14ac:dyDescent="0.25">
      <c r="A138" s="115" t="s">
        <v>4072</v>
      </c>
      <c r="B138" s="115" t="s">
        <v>4119</v>
      </c>
      <c r="C138" s="115" t="s">
        <v>4120</v>
      </c>
      <c r="D138" s="115" t="s">
        <v>1016</v>
      </c>
      <c r="E138" s="116">
        <v>13.54</v>
      </c>
      <c r="F138" s="115" t="s">
        <v>1015</v>
      </c>
      <c r="G138" s="115" t="s">
        <v>640</v>
      </c>
      <c r="H138" s="104">
        <v>1838</v>
      </c>
    </row>
    <row r="139" spans="1:11" x14ac:dyDescent="0.25">
      <c r="A139" s="115" t="s">
        <v>4072</v>
      </c>
      <c r="B139" s="115" t="s">
        <v>4121</v>
      </c>
      <c r="C139" s="115" t="s">
        <v>4122</v>
      </c>
      <c r="D139" s="115" t="s">
        <v>3637</v>
      </c>
      <c r="E139" s="116">
        <v>2.04</v>
      </c>
      <c r="F139" s="115" t="s">
        <v>3638</v>
      </c>
      <c r="G139" s="115" t="s">
        <v>640</v>
      </c>
      <c r="H139" s="104">
        <v>1839</v>
      </c>
    </row>
    <row r="140" spans="1:11" x14ac:dyDescent="0.25">
      <c r="A140" s="115" t="s">
        <v>4072</v>
      </c>
      <c r="B140" s="115" t="s">
        <v>4123</v>
      </c>
      <c r="C140" s="115" t="s">
        <v>4124</v>
      </c>
      <c r="D140" s="115" t="s">
        <v>4125</v>
      </c>
      <c r="E140" s="116">
        <v>26.85</v>
      </c>
      <c r="F140" s="115" t="s">
        <v>4126</v>
      </c>
      <c r="G140" s="115" t="s">
        <v>640</v>
      </c>
      <c r="H140" s="104">
        <v>1840</v>
      </c>
    </row>
    <row r="141" spans="1:11" x14ac:dyDescent="0.25">
      <c r="A141" s="115" t="s">
        <v>4072</v>
      </c>
      <c r="B141" s="115" t="s">
        <v>4127</v>
      </c>
      <c r="C141" s="115" t="s">
        <v>4128</v>
      </c>
      <c r="D141" s="115" t="s">
        <v>4129</v>
      </c>
      <c r="E141" s="116">
        <v>4.59</v>
      </c>
      <c r="F141" s="115" t="s">
        <v>4130</v>
      </c>
      <c r="G141" s="115" t="s">
        <v>640</v>
      </c>
      <c r="H141" s="104">
        <v>1841</v>
      </c>
    </row>
    <row r="142" spans="1:11" x14ac:dyDescent="0.25">
      <c r="A142" s="115" t="s">
        <v>4072</v>
      </c>
      <c r="B142" s="115" t="s">
        <v>4131</v>
      </c>
      <c r="C142" s="115" t="s">
        <v>4132</v>
      </c>
      <c r="D142" s="115" t="s">
        <v>4133</v>
      </c>
      <c r="E142" s="116">
        <v>19.82</v>
      </c>
      <c r="F142" s="115" t="s">
        <v>4134</v>
      </c>
      <c r="G142" s="115" t="s">
        <v>640</v>
      </c>
      <c r="H142" s="104">
        <v>1842</v>
      </c>
    </row>
    <row r="143" spans="1:11" x14ac:dyDescent="0.25">
      <c r="A143" s="115" t="s">
        <v>4072</v>
      </c>
      <c r="B143" s="115" t="s">
        <v>4135</v>
      </c>
      <c r="C143" s="115" t="s">
        <v>4136</v>
      </c>
      <c r="D143" s="115" t="s">
        <v>851</v>
      </c>
      <c r="E143" s="116">
        <v>1.68</v>
      </c>
      <c r="F143" s="115" t="s">
        <v>850</v>
      </c>
      <c r="G143" s="115" t="s">
        <v>640</v>
      </c>
      <c r="H143" s="104">
        <v>1843</v>
      </c>
    </row>
    <row r="144" spans="1:11" x14ac:dyDescent="0.25">
      <c r="A144" s="115" t="s">
        <v>4072</v>
      </c>
      <c r="B144" s="115" t="s">
        <v>4137</v>
      </c>
      <c r="C144" s="115" t="s">
        <v>4138</v>
      </c>
      <c r="D144" s="115" t="s">
        <v>4139</v>
      </c>
      <c r="E144" s="116">
        <v>5.77</v>
      </c>
      <c r="F144" s="115" t="s">
        <v>4140</v>
      </c>
      <c r="G144" s="115" t="s">
        <v>640</v>
      </c>
      <c r="H144" s="104">
        <v>2063</v>
      </c>
    </row>
    <row r="145" spans="1:8" x14ac:dyDescent="0.25">
      <c r="A145" s="115" t="s">
        <v>4072</v>
      </c>
      <c r="B145" s="115" t="s">
        <v>4141</v>
      </c>
      <c r="C145" s="115" t="s">
        <v>4142</v>
      </c>
      <c r="D145" s="115" t="s">
        <v>4143</v>
      </c>
      <c r="E145" s="116">
        <v>3.69</v>
      </c>
      <c r="F145" s="115" t="s">
        <v>4140</v>
      </c>
      <c r="G145" s="115" t="s">
        <v>640</v>
      </c>
      <c r="H145" s="104">
        <v>2064</v>
      </c>
    </row>
    <row r="146" spans="1:8" x14ac:dyDescent="0.25">
      <c r="A146" s="115" t="s">
        <v>4072</v>
      </c>
      <c r="B146" s="115" t="s">
        <v>4144</v>
      </c>
      <c r="C146" s="115" t="s">
        <v>4145</v>
      </c>
      <c r="D146" s="115" t="s">
        <v>4146</v>
      </c>
      <c r="E146" s="116">
        <v>4.22</v>
      </c>
      <c r="F146" s="115" t="s">
        <v>4147</v>
      </c>
      <c r="G146" s="115" t="s">
        <v>640</v>
      </c>
      <c r="H146" s="104">
        <v>1846</v>
      </c>
    </row>
    <row r="147" spans="1:8" x14ac:dyDescent="0.25">
      <c r="A147" s="115" t="s">
        <v>4072</v>
      </c>
      <c r="B147" s="115" t="s">
        <v>4148</v>
      </c>
      <c r="C147" s="115" t="s">
        <v>4149</v>
      </c>
      <c r="D147" s="115" t="s">
        <v>4150</v>
      </c>
      <c r="E147" s="116">
        <v>4</v>
      </c>
      <c r="F147" s="115" t="s">
        <v>4151</v>
      </c>
      <c r="G147" s="115" t="s">
        <v>640</v>
      </c>
      <c r="H147" s="104">
        <v>1847</v>
      </c>
    </row>
    <row r="148" spans="1:8" x14ac:dyDescent="0.25">
      <c r="A148" s="115" t="s">
        <v>4072</v>
      </c>
      <c r="B148" s="115" t="s">
        <v>4152</v>
      </c>
      <c r="C148" s="115" t="s">
        <v>4153</v>
      </c>
      <c r="D148" s="115" t="s">
        <v>4154</v>
      </c>
      <c r="E148" s="116">
        <v>3.62</v>
      </c>
      <c r="F148" s="115" t="s">
        <v>4151</v>
      </c>
      <c r="G148" s="115" t="s">
        <v>640</v>
      </c>
      <c r="H148" s="104">
        <v>1848</v>
      </c>
    </row>
    <row r="149" spans="1:8" x14ac:dyDescent="0.25">
      <c r="A149" s="115" t="s">
        <v>4072</v>
      </c>
      <c r="B149" s="115" t="s">
        <v>4155</v>
      </c>
      <c r="C149" s="115" t="s">
        <v>4156</v>
      </c>
      <c r="D149" s="115" t="s">
        <v>1172</v>
      </c>
      <c r="E149" s="116">
        <v>1.94</v>
      </c>
      <c r="F149" s="115" t="s">
        <v>1171</v>
      </c>
      <c r="G149" s="115" t="s">
        <v>640</v>
      </c>
      <c r="H149" s="104">
        <v>1849</v>
      </c>
    </row>
    <row r="150" spans="1:8" x14ac:dyDescent="0.25">
      <c r="A150" s="115" t="s">
        <v>4072</v>
      </c>
      <c r="B150" s="115" t="s">
        <v>4157</v>
      </c>
      <c r="C150" s="115" t="s">
        <v>4158</v>
      </c>
      <c r="D150" s="115" t="s">
        <v>4159</v>
      </c>
      <c r="E150" s="116">
        <v>7.7</v>
      </c>
      <c r="F150" s="115" t="s">
        <v>4160</v>
      </c>
      <c r="G150" s="115" t="s">
        <v>640</v>
      </c>
      <c r="H150" s="104">
        <v>1851</v>
      </c>
    </row>
    <row r="151" spans="1:8" x14ac:dyDescent="0.25">
      <c r="A151" s="115" t="s">
        <v>4072</v>
      </c>
      <c r="B151" s="115" t="s">
        <v>4161</v>
      </c>
      <c r="C151" s="115" t="s">
        <v>4162</v>
      </c>
      <c r="D151" s="115" t="s">
        <v>4163</v>
      </c>
      <c r="E151" s="116">
        <v>5.42</v>
      </c>
      <c r="F151" s="115" t="s">
        <v>4164</v>
      </c>
      <c r="G151" s="115" t="s">
        <v>640</v>
      </c>
      <c r="H151" s="104">
        <v>1852</v>
      </c>
    </row>
    <row r="152" spans="1:8" x14ac:dyDescent="0.25">
      <c r="A152" s="115" t="s">
        <v>4072</v>
      </c>
      <c r="B152" s="115" t="s">
        <v>4165</v>
      </c>
      <c r="C152" s="115" t="s">
        <v>4166</v>
      </c>
      <c r="D152" s="115" t="s">
        <v>1034</v>
      </c>
      <c r="E152" s="116">
        <v>2.82</v>
      </c>
      <c r="F152" s="115" t="s">
        <v>1033</v>
      </c>
      <c r="G152" s="115" t="s">
        <v>640</v>
      </c>
      <c r="H152" s="104">
        <v>1853</v>
      </c>
    </row>
    <row r="153" spans="1:8" x14ac:dyDescent="0.25">
      <c r="A153" s="115" t="s">
        <v>4072</v>
      </c>
      <c r="B153" s="115" t="s">
        <v>4167</v>
      </c>
      <c r="C153" s="115" t="s">
        <v>4168</v>
      </c>
      <c r="D153" s="115" t="s">
        <v>4169</v>
      </c>
      <c r="E153" s="116">
        <v>2.78</v>
      </c>
      <c r="F153" s="115" t="s">
        <v>4170</v>
      </c>
      <c r="G153" s="115" t="s">
        <v>640</v>
      </c>
      <c r="H153" s="104">
        <v>1854</v>
      </c>
    </row>
    <row r="154" spans="1:8" x14ac:dyDescent="0.25">
      <c r="A154" s="115" t="s">
        <v>4072</v>
      </c>
      <c r="B154" s="115" t="s">
        <v>4171</v>
      </c>
      <c r="C154" s="115" t="s">
        <v>4172</v>
      </c>
      <c r="D154" s="115" t="s">
        <v>4173</v>
      </c>
      <c r="E154" s="116">
        <v>5.99</v>
      </c>
      <c r="F154" s="115" t="s">
        <v>4174</v>
      </c>
      <c r="G154" s="115" t="s">
        <v>640</v>
      </c>
      <c r="H154" s="104">
        <v>1855</v>
      </c>
    </row>
    <row r="155" spans="1:8" x14ac:dyDescent="0.25">
      <c r="A155" s="115" t="s">
        <v>4072</v>
      </c>
      <c r="B155" s="115" t="s">
        <v>4175</v>
      </c>
      <c r="C155" s="115" t="s">
        <v>4176</v>
      </c>
      <c r="D155" s="115" t="s">
        <v>660</v>
      </c>
      <c r="E155" s="116">
        <v>4.7</v>
      </c>
      <c r="F155" s="115" t="s">
        <v>659</v>
      </c>
      <c r="G155" s="115" t="s">
        <v>640</v>
      </c>
      <c r="H155" s="104">
        <v>1856</v>
      </c>
    </row>
    <row r="156" spans="1:8" x14ac:dyDescent="0.25">
      <c r="A156" s="115" t="s">
        <v>4072</v>
      </c>
      <c r="B156" s="115" t="s">
        <v>4177</v>
      </c>
      <c r="C156" s="115" t="s">
        <v>4178</v>
      </c>
      <c r="D156" s="115" t="s">
        <v>974</v>
      </c>
      <c r="E156" s="116">
        <v>12.44</v>
      </c>
      <c r="F156" s="115" t="s">
        <v>973</v>
      </c>
      <c r="G156" s="115" t="s">
        <v>640</v>
      </c>
      <c r="H156" s="104">
        <v>1857</v>
      </c>
    </row>
    <row r="157" spans="1:8" x14ac:dyDescent="0.25">
      <c r="A157" s="115"/>
      <c r="B157" s="115"/>
      <c r="C157" s="115"/>
      <c r="D157" s="118" t="s">
        <v>3738</v>
      </c>
      <c r="E157" s="119">
        <f>SUM(E47:E156)</f>
        <v>1112.5800000000002</v>
      </c>
      <c r="F157" s="115"/>
      <c r="G157" s="115"/>
      <c r="H157" s="104"/>
    </row>
    <row r="158" spans="1:8" x14ac:dyDescent="0.25">
      <c r="A158" s="115"/>
      <c r="B158" s="115"/>
      <c r="C158" s="115"/>
      <c r="D158" s="115"/>
      <c r="E158" s="116"/>
      <c r="F158" s="115"/>
      <c r="G158" s="115"/>
      <c r="H158" s="104"/>
    </row>
    <row r="159" spans="1:8" x14ac:dyDescent="0.25">
      <c r="A159" s="115" t="s">
        <v>4179</v>
      </c>
      <c r="B159" s="115" t="s">
        <v>4180</v>
      </c>
      <c r="C159" s="115" t="s">
        <v>4181</v>
      </c>
      <c r="D159" s="115" t="s">
        <v>668</v>
      </c>
      <c r="E159" s="116">
        <v>1.68</v>
      </c>
      <c r="F159" s="115" t="s">
        <v>667</v>
      </c>
      <c r="G159" s="115" t="s">
        <v>640</v>
      </c>
      <c r="H159" s="104">
        <v>1995</v>
      </c>
    </row>
    <row r="160" spans="1:8" x14ac:dyDescent="0.25">
      <c r="A160" s="115" t="s">
        <v>4179</v>
      </c>
      <c r="B160" s="115" t="s">
        <v>4182</v>
      </c>
      <c r="C160" s="115" t="s">
        <v>4183</v>
      </c>
      <c r="D160" s="115" t="s">
        <v>4184</v>
      </c>
      <c r="E160" s="116">
        <v>4.9800000000000004</v>
      </c>
      <c r="F160" s="115" t="s">
        <v>4185</v>
      </c>
      <c r="G160" s="115" t="s">
        <v>640</v>
      </c>
      <c r="H160" s="104">
        <v>1996</v>
      </c>
    </row>
    <row r="161" spans="1:8" x14ac:dyDescent="0.25">
      <c r="A161" s="115" t="s">
        <v>4179</v>
      </c>
      <c r="B161" s="115" t="s">
        <v>4186</v>
      </c>
      <c r="C161" s="115" t="s">
        <v>4187</v>
      </c>
      <c r="D161" s="115" t="s">
        <v>972</v>
      </c>
      <c r="E161" s="116">
        <v>1.88</v>
      </c>
      <c r="F161" s="115" t="s">
        <v>971</v>
      </c>
      <c r="G161" s="115" t="s">
        <v>640</v>
      </c>
      <c r="H161" s="104">
        <v>1997</v>
      </c>
    </row>
    <row r="162" spans="1:8" x14ac:dyDescent="0.25">
      <c r="A162" s="115" t="s">
        <v>4179</v>
      </c>
      <c r="B162" s="115" t="s">
        <v>4188</v>
      </c>
      <c r="C162" s="115" t="s">
        <v>4189</v>
      </c>
      <c r="D162" s="115" t="s">
        <v>4190</v>
      </c>
      <c r="E162" s="116">
        <v>6.24</v>
      </c>
      <c r="F162" s="115" t="s">
        <v>4191</v>
      </c>
      <c r="G162" s="115" t="s">
        <v>640</v>
      </c>
      <c r="H162" s="104">
        <v>1998</v>
      </c>
    </row>
    <row r="163" spans="1:8" x14ac:dyDescent="0.25">
      <c r="A163" s="115" t="s">
        <v>4179</v>
      </c>
      <c r="B163" s="115" t="s">
        <v>4192</v>
      </c>
      <c r="C163" s="115" t="s">
        <v>4193</v>
      </c>
      <c r="D163" s="115" t="s">
        <v>4194</v>
      </c>
      <c r="E163" s="116">
        <v>2.48</v>
      </c>
      <c r="F163" s="115" t="s">
        <v>4195</v>
      </c>
      <c r="G163" s="115" t="s">
        <v>640</v>
      </c>
      <c r="H163" s="104">
        <v>1999</v>
      </c>
    </row>
    <row r="164" spans="1:8" x14ac:dyDescent="0.25">
      <c r="A164" s="115" t="s">
        <v>4179</v>
      </c>
      <c r="B164" s="115" t="s">
        <v>4196</v>
      </c>
      <c r="C164" s="115" t="s">
        <v>4197</v>
      </c>
      <c r="D164" s="115" t="s">
        <v>806</v>
      </c>
      <c r="E164" s="116">
        <v>1.68</v>
      </c>
      <c r="F164" s="115" t="s">
        <v>805</v>
      </c>
      <c r="G164" s="115" t="s">
        <v>640</v>
      </c>
      <c r="H164" s="104">
        <v>2000</v>
      </c>
    </row>
    <row r="165" spans="1:8" x14ac:dyDescent="0.25">
      <c r="A165" s="115" t="s">
        <v>4179</v>
      </c>
      <c r="B165" s="115" t="s">
        <v>4198</v>
      </c>
      <c r="C165" s="115" t="s">
        <v>4199</v>
      </c>
      <c r="D165" s="115" t="s">
        <v>4200</v>
      </c>
      <c r="E165" s="116">
        <v>4.2699999999999996</v>
      </c>
      <c r="F165" s="115" t="s">
        <v>4201</v>
      </c>
      <c r="G165" s="115" t="s">
        <v>640</v>
      </c>
      <c r="H165" s="104">
        <v>2001</v>
      </c>
    </row>
    <row r="166" spans="1:8" x14ac:dyDescent="0.25">
      <c r="A166" s="115" t="s">
        <v>4179</v>
      </c>
      <c r="B166" s="115" t="s">
        <v>4202</v>
      </c>
      <c r="C166" s="115" t="s">
        <v>4203</v>
      </c>
      <c r="D166" s="115" t="s">
        <v>1375</v>
      </c>
      <c r="E166" s="116">
        <v>2.1800000000000002</v>
      </c>
      <c r="F166" s="115" t="s">
        <v>1374</v>
      </c>
      <c r="G166" s="115" t="s">
        <v>640</v>
      </c>
      <c r="H166" s="104">
        <v>2002</v>
      </c>
    </row>
    <row r="167" spans="1:8" x14ac:dyDescent="0.25">
      <c r="A167" s="115" t="s">
        <v>4179</v>
      </c>
      <c r="B167" s="115" t="s">
        <v>4204</v>
      </c>
      <c r="C167" s="115" t="s">
        <v>4205</v>
      </c>
      <c r="D167" s="115" t="s">
        <v>4206</v>
      </c>
      <c r="E167" s="116">
        <v>3.36</v>
      </c>
      <c r="F167" s="115" t="s">
        <v>4207</v>
      </c>
      <c r="G167" s="115" t="s">
        <v>640</v>
      </c>
      <c r="H167" s="104">
        <v>2003</v>
      </c>
    </row>
    <row r="168" spans="1:8" x14ac:dyDescent="0.25">
      <c r="A168" s="115" t="s">
        <v>4179</v>
      </c>
      <c r="B168" s="115" t="s">
        <v>4208</v>
      </c>
      <c r="C168" s="115" t="s">
        <v>4209</v>
      </c>
      <c r="D168" s="115" t="s">
        <v>4210</v>
      </c>
      <c r="E168" s="116">
        <v>8.1</v>
      </c>
      <c r="F168" s="115" t="s">
        <v>4211</v>
      </c>
      <c r="G168" s="115" t="s">
        <v>640</v>
      </c>
      <c r="H168" s="104">
        <v>2004</v>
      </c>
    </row>
    <row r="169" spans="1:8" x14ac:dyDescent="0.25">
      <c r="A169" s="115" t="s">
        <v>4179</v>
      </c>
      <c r="B169" s="115" t="s">
        <v>4212</v>
      </c>
      <c r="C169" s="115" t="s">
        <v>4213</v>
      </c>
      <c r="D169" s="115" t="s">
        <v>982</v>
      </c>
      <c r="E169" s="116">
        <v>5.51</v>
      </c>
      <c r="F169" s="115" t="s">
        <v>981</v>
      </c>
      <c r="G169" s="115" t="s">
        <v>640</v>
      </c>
      <c r="H169" s="104">
        <v>2005</v>
      </c>
    </row>
    <row r="170" spans="1:8" x14ac:dyDescent="0.25">
      <c r="A170" s="115" t="s">
        <v>4179</v>
      </c>
      <c r="B170" s="115" t="s">
        <v>4214</v>
      </c>
      <c r="C170" s="115" t="s">
        <v>4215</v>
      </c>
      <c r="D170" s="115" t="s">
        <v>4216</v>
      </c>
      <c r="E170" s="116">
        <v>10.029999999999999</v>
      </c>
      <c r="F170" s="115" t="s">
        <v>4217</v>
      </c>
      <c r="G170" s="115" t="s">
        <v>640</v>
      </c>
      <c r="H170" s="104">
        <v>2006</v>
      </c>
    </row>
    <row r="171" spans="1:8" x14ac:dyDescent="0.25">
      <c r="A171" s="115" t="s">
        <v>4179</v>
      </c>
      <c r="B171" s="115" t="s">
        <v>4218</v>
      </c>
      <c r="C171" s="115" t="s">
        <v>4219</v>
      </c>
      <c r="D171" s="115" t="s">
        <v>4220</v>
      </c>
      <c r="E171" s="116">
        <v>16.760000000000002</v>
      </c>
      <c r="F171" s="115" t="s">
        <v>4221</v>
      </c>
      <c r="G171" s="115" t="s">
        <v>640</v>
      </c>
      <c r="H171" s="104">
        <v>2007</v>
      </c>
    </row>
    <row r="172" spans="1:8" x14ac:dyDescent="0.25">
      <c r="A172" s="115" t="s">
        <v>4179</v>
      </c>
      <c r="B172" s="115" t="s">
        <v>4222</v>
      </c>
      <c r="C172" s="115" t="s">
        <v>4223</v>
      </c>
      <c r="D172" s="115" t="s">
        <v>859</v>
      </c>
      <c r="E172" s="116">
        <v>10.16</v>
      </c>
      <c r="F172" s="115" t="s">
        <v>858</v>
      </c>
      <c r="G172" s="115" t="s">
        <v>640</v>
      </c>
      <c r="H172" s="104">
        <v>2008</v>
      </c>
    </row>
    <row r="173" spans="1:8" x14ac:dyDescent="0.25">
      <c r="A173" s="115" t="s">
        <v>4179</v>
      </c>
      <c r="B173" s="115" t="s">
        <v>4224</v>
      </c>
      <c r="C173" s="115" t="s">
        <v>4225</v>
      </c>
      <c r="D173" s="115" t="s">
        <v>1265</v>
      </c>
      <c r="E173" s="116">
        <v>9.8699999999999992</v>
      </c>
      <c r="F173" s="115" t="s">
        <v>1264</v>
      </c>
      <c r="G173" s="115" t="s">
        <v>640</v>
      </c>
      <c r="H173" s="104">
        <v>2009</v>
      </c>
    </row>
    <row r="174" spans="1:8" x14ac:dyDescent="0.25">
      <c r="A174" s="115" t="s">
        <v>4179</v>
      </c>
      <c r="B174" s="115" t="s">
        <v>4226</v>
      </c>
      <c r="C174" s="115" t="s">
        <v>4227</v>
      </c>
      <c r="D174" s="115" t="s">
        <v>4228</v>
      </c>
      <c r="E174" s="116">
        <v>7.52</v>
      </c>
      <c r="F174" s="115" t="s">
        <v>4229</v>
      </c>
      <c r="G174" s="115" t="s">
        <v>640</v>
      </c>
      <c r="H174" s="104">
        <v>2010</v>
      </c>
    </row>
    <row r="175" spans="1:8" x14ac:dyDescent="0.25">
      <c r="A175" s="115" t="s">
        <v>4179</v>
      </c>
      <c r="B175" s="115" t="s">
        <v>4230</v>
      </c>
      <c r="C175" s="115" t="s">
        <v>4231</v>
      </c>
      <c r="D175" s="115" t="s">
        <v>1011</v>
      </c>
      <c r="E175" s="116">
        <v>3.11</v>
      </c>
      <c r="F175" s="115" t="s">
        <v>1010</v>
      </c>
      <c r="G175" s="115" t="s">
        <v>640</v>
      </c>
      <c r="H175" s="104">
        <v>2011</v>
      </c>
    </row>
    <row r="176" spans="1:8" x14ac:dyDescent="0.25">
      <c r="A176" s="115" t="s">
        <v>4179</v>
      </c>
      <c r="B176" s="115" t="s">
        <v>4232</v>
      </c>
      <c r="C176" s="115" t="s">
        <v>4233</v>
      </c>
      <c r="D176" s="115" t="s">
        <v>4234</v>
      </c>
      <c r="E176" s="116">
        <v>10.210000000000001</v>
      </c>
      <c r="F176" s="115" t="s">
        <v>4235</v>
      </c>
      <c r="G176" s="115" t="s">
        <v>640</v>
      </c>
      <c r="H176" s="104">
        <v>2012</v>
      </c>
    </row>
    <row r="177" spans="1:8" x14ac:dyDescent="0.25">
      <c r="A177" s="115" t="s">
        <v>4236</v>
      </c>
      <c r="B177" s="115" t="s">
        <v>4237</v>
      </c>
      <c r="C177" s="115" t="s">
        <v>4238</v>
      </c>
      <c r="D177" s="115" t="s">
        <v>1460</v>
      </c>
      <c r="E177" s="116">
        <v>2.42</v>
      </c>
      <c r="F177" s="115" t="s">
        <v>1459</v>
      </c>
      <c r="G177" s="115" t="s">
        <v>640</v>
      </c>
      <c r="H177" s="104">
        <v>2013</v>
      </c>
    </row>
    <row r="178" spans="1:8" x14ac:dyDescent="0.25">
      <c r="A178" s="115" t="s">
        <v>4236</v>
      </c>
      <c r="B178" s="115" t="s">
        <v>4239</v>
      </c>
      <c r="C178" s="115" t="s">
        <v>4240</v>
      </c>
      <c r="D178" s="115" t="s">
        <v>4241</v>
      </c>
      <c r="E178" s="116">
        <v>10.75</v>
      </c>
      <c r="F178" s="115" t="s">
        <v>4242</v>
      </c>
      <c r="G178" s="115" t="s">
        <v>640</v>
      </c>
      <c r="H178" s="104">
        <v>2014</v>
      </c>
    </row>
    <row r="179" spans="1:8" x14ac:dyDescent="0.25">
      <c r="A179" s="115" t="s">
        <v>4236</v>
      </c>
      <c r="B179" s="115" t="s">
        <v>4243</v>
      </c>
      <c r="C179" s="115" t="s">
        <v>4244</v>
      </c>
      <c r="D179" s="115" t="s">
        <v>4245</v>
      </c>
      <c r="E179" s="116">
        <v>11.08</v>
      </c>
      <c r="F179" s="115" t="s">
        <v>4246</v>
      </c>
      <c r="G179" s="115" t="s">
        <v>640</v>
      </c>
      <c r="H179" s="104">
        <v>2015</v>
      </c>
    </row>
    <row r="180" spans="1:8" x14ac:dyDescent="0.25">
      <c r="A180" s="115" t="s">
        <v>4236</v>
      </c>
      <c r="B180" s="115" t="s">
        <v>4247</v>
      </c>
      <c r="C180" s="115" t="s">
        <v>4248</v>
      </c>
      <c r="D180" s="115" t="s">
        <v>3966</v>
      </c>
      <c r="E180" s="116">
        <v>33.799999999999997</v>
      </c>
      <c r="F180" s="115" t="s">
        <v>3967</v>
      </c>
      <c r="G180" s="115" t="s">
        <v>640</v>
      </c>
      <c r="H180" s="104">
        <v>2016</v>
      </c>
    </row>
    <row r="181" spans="1:8" x14ac:dyDescent="0.25">
      <c r="A181" s="115" t="s">
        <v>4236</v>
      </c>
      <c r="B181" s="115" t="s">
        <v>4249</v>
      </c>
      <c r="C181" s="115" t="s">
        <v>4250</v>
      </c>
      <c r="D181" s="115" t="s">
        <v>2853</v>
      </c>
      <c r="E181" s="116">
        <v>8.23</v>
      </c>
      <c r="F181" s="115" t="s">
        <v>2854</v>
      </c>
      <c r="G181" s="115" t="s">
        <v>640</v>
      </c>
      <c r="H181" s="104">
        <v>2017</v>
      </c>
    </row>
    <row r="182" spans="1:8" x14ac:dyDescent="0.25">
      <c r="A182" s="115" t="s">
        <v>4236</v>
      </c>
      <c r="B182" s="115" t="s">
        <v>4251</v>
      </c>
      <c r="C182" s="115" t="s">
        <v>4252</v>
      </c>
      <c r="D182" s="115" t="s">
        <v>3211</v>
      </c>
      <c r="E182" s="116">
        <v>26.81</v>
      </c>
      <c r="F182" s="115" t="s">
        <v>3212</v>
      </c>
      <c r="G182" s="115" t="s">
        <v>640</v>
      </c>
      <c r="H182" s="104">
        <v>2018</v>
      </c>
    </row>
    <row r="183" spans="1:8" x14ac:dyDescent="0.25">
      <c r="A183" s="115" t="s">
        <v>4236</v>
      </c>
      <c r="B183" s="115" t="s">
        <v>4253</v>
      </c>
      <c r="C183" s="115" t="s">
        <v>4254</v>
      </c>
      <c r="D183" s="115" t="s">
        <v>4255</v>
      </c>
      <c r="E183" s="116">
        <v>4.12</v>
      </c>
      <c r="F183" s="115" t="s">
        <v>4256</v>
      </c>
      <c r="G183" s="115" t="s">
        <v>640</v>
      </c>
      <c r="H183" s="104">
        <v>2019</v>
      </c>
    </row>
    <row r="184" spans="1:8" x14ac:dyDescent="0.25">
      <c r="A184" s="115" t="s">
        <v>4257</v>
      </c>
      <c r="B184" s="115" t="s">
        <v>4258</v>
      </c>
      <c r="C184" s="115" t="s">
        <v>4259</v>
      </c>
      <c r="D184" s="115" t="s">
        <v>672</v>
      </c>
      <c r="E184" s="116">
        <v>3</v>
      </c>
      <c r="F184" s="115" t="s">
        <v>671</v>
      </c>
      <c r="G184" s="115" t="s">
        <v>640</v>
      </c>
      <c r="H184" s="104">
        <v>2020</v>
      </c>
    </row>
    <row r="185" spans="1:8" x14ac:dyDescent="0.25">
      <c r="A185" s="115" t="s">
        <v>4257</v>
      </c>
      <c r="B185" s="115" t="s">
        <v>4260</v>
      </c>
      <c r="C185" s="115" t="s">
        <v>4261</v>
      </c>
      <c r="D185" s="115" t="s">
        <v>4262</v>
      </c>
      <c r="E185" s="116">
        <v>4.33</v>
      </c>
      <c r="F185" s="115" t="s">
        <v>4263</v>
      </c>
      <c r="G185" s="115" t="s">
        <v>640</v>
      </c>
      <c r="H185" s="104">
        <v>2021</v>
      </c>
    </row>
    <row r="186" spans="1:8" x14ac:dyDescent="0.25">
      <c r="A186" s="115" t="s">
        <v>4257</v>
      </c>
      <c r="B186" s="115" t="s">
        <v>4264</v>
      </c>
      <c r="C186" s="115" t="s">
        <v>4265</v>
      </c>
      <c r="D186" s="115" t="s">
        <v>966</v>
      </c>
      <c r="E186" s="116">
        <v>11.52</v>
      </c>
      <c r="F186" s="115" t="s">
        <v>965</v>
      </c>
      <c r="G186" s="115" t="s">
        <v>640</v>
      </c>
      <c r="H186" s="104">
        <v>2022</v>
      </c>
    </row>
    <row r="187" spans="1:8" x14ac:dyDescent="0.25">
      <c r="A187" s="115" t="s">
        <v>4257</v>
      </c>
      <c r="B187" s="115" t="s">
        <v>4266</v>
      </c>
      <c r="C187" s="115" t="s">
        <v>4267</v>
      </c>
      <c r="D187" s="115" t="s">
        <v>4268</v>
      </c>
      <c r="E187" s="116">
        <v>3.86</v>
      </c>
      <c r="F187" s="115" t="s">
        <v>4269</v>
      </c>
      <c r="G187" s="115" t="s">
        <v>640</v>
      </c>
      <c r="H187" s="104">
        <v>2023</v>
      </c>
    </row>
    <row r="188" spans="1:8" x14ac:dyDescent="0.25">
      <c r="A188" s="115" t="s">
        <v>4257</v>
      </c>
      <c r="B188" s="115" t="s">
        <v>4270</v>
      </c>
      <c r="C188" s="115" t="s">
        <v>4271</v>
      </c>
      <c r="D188" s="115" t="s">
        <v>4272</v>
      </c>
      <c r="E188" s="116">
        <v>0.86</v>
      </c>
      <c r="F188" s="115" t="s">
        <v>4273</v>
      </c>
      <c r="G188" s="115" t="s">
        <v>640</v>
      </c>
      <c r="H188" s="104">
        <v>2024</v>
      </c>
    </row>
    <row r="189" spans="1:8" x14ac:dyDescent="0.25">
      <c r="A189" s="115" t="s">
        <v>4257</v>
      </c>
      <c r="B189" s="115" t="s">
        <v>4274</v>
      </c>
      <c r="C189" s="115" t="s">
        <v>4275</v>
      </c>
      <c r="D189" s="115" t="s">
        <v>4276</v>
      </c>
      <c r="E189" s="116">
        <v>8.4</v>
      </c>
      <c r="F189" s="115" t="s">
        <v>4277</v>
      </c>
      <c r="G189" s="115" t="s">
        <v>640</v>
      </c>
      <c r="H189" s="104">
        <v>2025</v>
      </c>
    </row>
    <row r="190" spans="1:8" x14ac:dyDescent="0.25">
      <c r="A190" s="115" t="s">
        <v>4278</v>
      </c>
      <c r="B190" s="115" t="s">
        <v>4279</v>
      </c>
      <c r="C190" s="115" t="s">
        <v>4280</v>
      </c>
      <c r="D190" s="115" t="s">
        <v>4281</v>
      </c>
      <c r="E190" s="116">
        <v>3.36</v>
      </c>
      <c r="F190" s="115" t="s">
        <v>4282</v>
      </c>
      <c r="G190" s="115" t="s">
        <v>640</v>
      </c>
      <c r="H190" s="104">
        <v>2084</v>
      </c>
    </row>
    <row r="191" spans="1:8" x14ac:dyDescent="0.25">
      <c r="A191" s="115" t="s">
        <v>4278</v>
      </c>
      <c r="B191" s="115" t="s">
        <v>4283</v>
      </c>
      <c r="C191" s="115" t="s">
        <v>4284</v>
      </c>
      <c r="D191" s="115" t="s">
        <v>4285</v>
      </c>
      <c r="E191" s="116">
        <v>6.42</v>
      </c>
      <c r="F191" s="115" t="s">
        <v>4286</v>
      </c>
      <c r="G191" s="115" t="s">
        <v>640</v>
      </c>
      <c r="H191" s="104">
        <v>2085</v>
      </c>
    </row>
    <row r="192" spans="1:8" x14ac:dyDescent="0.25">
      <c r="A192" s="115" t="s">
        <v>4278</v>
      </c>
      <c r="B192" s="115" t="s">
        <v>4287</v>
      </c>
      <c r="C192" s="115" t="s">
        <v>4288</v>
      </c>
      <c r="D192" s="115" t="s">
        <v>765</v>
      </c>
      <c r="E192" s="116">
        <v>1.78</v>
      </c>
      <c r="F192" s="115" t="s">
        <v>764</v>
      </c>
      <c r="G192" s="115" t="s">
        <v>640</v>
      </c>
      <c r="H192" s="104">
        <v>2086</v>
      </c>
    </row>
    <row r="193" spans="1:8" x14ac:dyDescent="0.25">
      <c r="A193" s="115" t="s">
        <v>4278</v>
      </c>
      <c r="B193" s="115" t="s">
        <v>4289</v>
      </c>
      <c r="C193" s="115" t="s">
        <v>4290</v>
      </c>
      <c r="D193" s="115" t="s">
        <v>4291</v>
      </c>
      <c r="E193" s="116">
        <v>11.47</v>
      </c>
      <c r="F193" s="115" t="s">
        <v>4292</v>
      </c>
      <c r="G193" s="115" t="s">
        <v>640</v>
      </c>
      <c r="H193" s="104">
        <v>2087</v>
      </c>
    </row>
    <row r="194" spans="1:8" x14ac:dyDescent="0.25">
      <c r="A194" s="115" t="s">
        <v>4278</v>
      </c>
      <c r="B194" s="115" t="s">
        <v>4293</v>
      </c>
      <c r="C194" s="115" t="s">
        <v>4294</v>
      </c>
      <c r="D194" s="115" t="s">
        <v>4295</v>
      </c>
      <c r="E194" s="116">
        <v>17.329999999999998</v>
      </c>
      <c r="F194" s="115" t="s">
        <v>4296</v>
      </c>
      <c r="G194" s="115" t="s">
        <v>640</v>
      </c>
      <c r="H194" s="104">
        <v>2088</v>
      </c>
    </row>
    <row r="195" spans="1:8" x14ac:dyDescent="0.25">
      <c r="A195" s="115" t="s">
        <v>4278</v>
      </c>
      <c r="B195" s="115" t="s">
        <v>4297</v>
      </c>
      <c r="C195" s="115" t="s">
        <v>4298</v>
      </c>
      <c r="D195" s="115" t="s">
        <v>1050</v>
      </c>
      <c r="E195" s="116">
        <v>1.68</v>
      </c>
      <c r="F195" s="115" t="s">
        <v>1049</v>
      </c>
      <c r="G195" s="115" t="s">
        <v>640</v>
      </c>
      <c r="H195" s="104">
        <v>2089</v>
      </c>
    </row>
    <row r="196" spans="1:8" x14ac:dyDescent="0.25">
      <c r="A196" s="115" t="s">
        <v>4278</v>
      </c>
      <c r="B196" s="115" t="s">
        <v>4299</v>
      </c>
      <c r="C196" s="115" t="s">
        <v>4300</v>
      </c>
      <c r="D196" s="115" t="s">
        <v>4301</v>
      </c>
      <c r="E196" s="116">
        <v>50.28</v>
      </c>
      <c r="F196" s="115" t="s">
        <v>4302</v>
      </c>
      <c r="G196" s="115" t="s">
        <v>640</v>
      </c>
      <c r="H196" s="104">
        <v>2090</v>
      </c>
    </row>
    <row r="197" spans="1:8" x14ac:dyDescent="0.25">
      <c r="A197" s="115" t="s">
        <v>4278</v>
      </c>
      <c r="B197" s="115" t="s">
        <v>4303</v>
      </c>
      <c r="C197" s="115" t="s">
        <v>4304</v>
      </c>
      <c r="D197" s="115" t="s">
        <v>1458</v>
      </c>
      <c r="E197" s="116">
        <v>1.98</v>
      </c>
      <c r="F197" s="115" t="s">
        <v>1457</v>
      </c>
      <c r="G197" s="115" t="s">
        <v>640</v>
      </c>
      <c r="H197" s="104">
        <v>2091</v>
      </c>
    </row>
    <row r="198" spans="1:8" x14ac:dyDescent="0.25">
      <c r="A198" s="115" t="s">
        <v>4278</v>
      </c>
      <c r="B198" s="115" t="s">
        <v>4305</v>
      </c>
      <c r="C198" s="115" t="s">
        <v>4306</v>
      </c>
      <c r="D198" s="115" t="s">
        <v>1384</v>
      </c>
      <c r="E198" s="116">
        <v>3.66</v>
      </c>
      <c r="F198" s="115" t="s">
        <v>1383</v>
      </c>
      <c r="G198" s="115" t="s">
        <v>640</v>
      </c>
      <c r="H198" s="104">
        <v>2092</v>
      </c>
    </row>
    <row r="199" spans="1:8" x14ac:dyDescent="0.25">
      <c r="A199" s="115" t="s">
        <v>4278</v>
      </c>
      <c r="B199" s="115" t="s">
        <v>4307</v>
      </c>
      <c r="C199" s="115" t="s">
        <v>4308</v>
      </c>
      <c r="D199" s="115" t="s">
        <v>4309</v>
      </c>
      <c r="E199" s="116">
        <v>5.1100000000000003</v>
      </c>
      <c r="F199" s="115" t="s">
        <v>4310</v>
      </c>
      <c r="G199" s="115" t="s">
        <v>640</v>
      </c>
      <c r="H199" s="104">
        <v>2093</v>
      </c>
    </row>
    <row r="200" spans="1:8" x14ac:dyDescent="0.25">
      <c r="A200" s="115" t="s">
        <v>4278</v>
      </c>
      <c r="B200" s="115" t="s">
        <v>4311</v>
      </c>
      <c r="C200" s="115" t="s">
        <v>4312</v>
      </c>
      <c r="D200" s="115" t="s">
        <v>999</v>
      </c>
      <c r="E200" s="116">
        <v>1.85</v>
      </c>
      <c r="F200" s="115" t="s">
        <v>998</v>
      </c>
      <c r="G200" s="115" t="s">
        <v>640</v>
      </c>
      <c r="H200" s="104">
        <v>2094</v>
      </c>
    </row>
    <row r="201" spans="1:8" x14ac:dyDescent="0.25">
      <c r="A201" s="115" t="s">
        <v>4278</v>
      </c>
      <c r="B201" s="115" t="s">
        <v>4313</v>
      </c>
      <c r="C201" s="115" t="s">
        <v>4314</v>
      </c>
      <c r="D201" s="115" t="s">
        <v>4315</v>
      </c>
      <c r="E201" s="116">
        <v>2.54</v>
      </c>
      <c r="F201" s="115" t="s">
        <v>4316</v>
      </c>
      <c r="G201" s="115" t="s">
        <v>640</v>
      </c>
      <c r="H201" s="104">
        <v>2095</v>
      </c>
    </row>
    <row r="202" spans="1:8" x14ac:dyDescent="0.25">
      <c r="A202" s="115" t="s">
        <v>4278</v>
      </c>
      <c r="B202" s="115" t="s">
        <v>4317</v>
      </c>
      <c r="C202" s="115" t="s">
        <v>4318</v>
      </c>
      <c r="D202" s="115" t="s">
        <v>4319</v>
      </c>
      <c r="E202" s="116">
        <v>1.86</v>
      </c>
      <c r="F202" s="115" t="s">
        <v>4320</v>
      </c>
      <c r="G202" s="115" t="s">
        <v>640</v>
      </c>
      <c r="H202" s="104">
        <v>2096</v>
      </c>
    </row>
    <row r="203" spans="1:8" x14ac:dyDescent="0.25">
      <c r="A203" s="115" t="s">
        <v>4278</v>
      </c>
      <c r="B203" s="115" t="s">
        <v>4321</v>
      </c>
      <c r="C203" s="115" t="s">
        <v>4322</v>
      </c>
      <c r="D203" s="115" t="s">
        <v>4323</v>
      </c>
      <c r="E203" s="116">
        <v>5.82</v>
      </c>
      <c r="F203" s="115" t="s">
        <v>4324</v>
      </c>
      <c r="G203" s="115" t="s">
        <v>640</v>
      </c>
      <c r="H203" s="104">
        <v>2097</v>
      </c>
    </row>
    <row r="204" spans="1:8" x14ac:dyDescent="0.25">
      <c r="A204" s="115" t="s">
        <v>4278</v>
      </c>
      <c r="B204" s="115" t="s">
        <v>3561</v>
      </c>
      <c r="C204" s="115" t="s">
        <v>4325</v>
      </c>
      <c r="D204" s="115" t="s">
        <v>968</v>
      </c>
      <c r="E204" s="116">
        <v>1.94</v>
      </c>
      <c r="F204" s="115" t="s">
        <v>967</v>
      </c>
      <c r="G204" s="115" t="s">
        <v>640</v>
      </c>
      <c r="H204" s="104">
        <v>2098</v>
      </c>
    </row>
    <row r="205" spans="1:8" x14ac:dyDescent="0.25">
      <c r="A205" s="115" t="s">
        <v>4278</v>
      </c>
      <c r="B205" s="115" t="s">
        <v>4326</v>
      </c>
      <c r="C205" s="115" t="s">
        <v>4327</v>
      </c>
      <c r="D205" s="115" t="s">
        <v>4328</v>
      </c>
      <c r="E205" s="116">
        <v>0.65</v>
      </c>
      <c r="F205" s="115" t="s">
        <v>4329</v>
      </c>
      <c r="G205" s="115" t="s">
        <v>640</v>
      </c>
      <c r="H205" s="104">
        <v>2099</v>
      </c>
    </row>
    <row r="206" spans="1:8" x14ac:dyDescent="0.25">
      <c r="A206" s="115" t="s">
        <v>4278</v>
      </c>
      <c r="B206" s="115" t="s">
        <v>4330</v>
      </c>
      <c r="C206" s="115" t="s">
        <v>4331</v>
      </c>
      <c r="D206" s="115" t="s">
        <v>4332</v>
      </c>
      <c r="E206" s="116">
        <v>0.17</v>
      </c>
      <c r="F206" s="115" t="s">
        <v>4329</v>
      </c>
      <c r="G206" s="115" t="s">
        <v>640</v>
      </c>
      <c r="H206" s="104">
        <v>2100</v>
      </c>
    </row>
    <row r="207" spans="1:8" x14ac:dyDescent="0.25">
      <c r="A207" s="115" t="s">
        <v>4278</v>
      </c>
      <c r="B207" s="115" t="s">
        <v>4333</v>
      </c>
      <c r="C207" s="115" t="s">
        <v>4334</v>
      </c>
      <c r="D207" s="115" t="s">
        <v>4335</v>
      </c>
      <c r="E207" s="116">
        <v>3.36</v>
      </c>
      <c r="F207" s="115" t="s">
        <v>4336</v>
      </c>
      <c r="G207" s="115" t="s">
        <v>640</v>
      </c>
      <c r="H207" s="104">
        <v>2101</v>
      </c>
    </row>
    <row r="208" spans="1:8" x14ac:dyDescent="0.25">
      <c r="A208" s="115" t="s">
        <v>4278</v>
      </c>
      <c r="B208" s="115" t="s">
        <v>4337</v>
      </c>
      <c r="C208" s="115" t="s">
        <v>4338</v>
      </c>
      <c r="D208" s="115" t="s">
        <v>4339</v>
      </c>
      <c r="E208" s="116">
        <v>2.13</v>
      </c>
      <c r="F208" s="115" t="s">
        <v>4340</v>
      </c>
      <c r="G208" s="115" t="s">
        <v>640</v>
      </c>
      <c r="H208" s="104">
        <v>2102</v>
      </c>
    </row>
    <row r="209" spans="1:8" x14ac:dyDescent="0.25">
      <c r="A209" s="115" t="s">
        <v>4278</v>
      </c>
      <c r="B209" s="115" t="s">
        <v>4341</v>
      </c>
      <c r="C209" s="115" t="s">
        <v>4342</v>
      </c>
      <c r="D209" s="115" t="s">
        <v>4343</v>
      </c>
      <c r="E209" s="116">
        <v>10.73</v>
      </c>
      <c r="F209" s="115" t="s">
        <v>4344</v>
      </c>
      <c r="G209" s="115" t="s">
        <v>640</v>
      </c>
      <c r="H209" s="104">
        <v>2103</v>
      </c>
    </row>
    <row r="210" spans="1:8" x14ac:dyDescent="0.25">
      <c r="A210" s="115" t="s">
        <v>4278</v>
      </c>
      <c r="B210" s="115" t="s">
        <v>4345</v>
      </c>
      <c r="C210" s="115" t="s">
        <v>4346</v>
      </c>
      <c r="D210" s="115" t="s">
        <v>1415</v>
      </c>
      <c r="E210" s="116">
        <v>4.1900000000000004</v>
      </c>
      <c r="F210" s="115" t="s">
        <v>1414</v>
      </c>
      <c r="G210" s="115" t="s">
        <v>640</v>
      </c>
      <c r="H210" s="104">
        <v>2104</v>
      </c>
    </row>
    <row r="211" spans="1:8" x14ac:dyDescent="0.25">
      <c r="A211" s="115" t="s">
        <v>4278</v>
      </c>
      <c r="B211" s="115" t="s">
        <v>4347</v>
      </c>
      <c r="C211" s="115" t="s">
        <v>4348</v>
      </c>
      <c r="D211" s="115" t="s">
        <v>4349</v>
      </c>
      <c r="E211" s="116">
        <v>7.62</v>
      </c>
      <c r="F211" s="115" t="s">
        <v>4350</v>
      </c>
      <c r="G211" s="115" t="s">
        <v>640</v>
      </c>
      <c r="H211" s="104">
        <v>2105</v>
      </c>
    </row>
    <row r="212" spans="1:8" x14ac:dyDescent="0.25">
      <c r="A212" s="115" t="s">
        <v>4278</v>
      </c>
      <c r="B212" s="115" t="s">
        <v>4351</v>
      </c>
      <c r="C212" s="115" t="s">
        <v>4352</v>
      </c>
      <c r="D212" s="115" t="s">
        <v>4353</v>
      </c>
      <c r="E212" s="116">
        <v>5.3</v>
      </c>
      <c r="F212" s="115" t="s">
        <v>4354</v>
      </c>
      <c r="G212" s="115" t="s">
        <v>640</v>
      </c>
      <c r="H212" s="104">
        <v>2106</v>
      </c>
    </row>
    <row r="213" spans="1:8" x14ac:dyDescent="0.25">
      <c r="A213" s="115" t="s">
        <v>4278</v>
      </c>
      <c r="B213" s="115" t="s">
        <v>4355</v>
      </c>
      <c r="C213" s="115" t="s">
        <v>4356</v>
      </c>
      <c r="D213" s="115" t="s">
        <v>4357</v>
      </c>
      <c r="E213" s="116">
        <v>7</v>
      </c>
      <c r="F213" s="115" t="s">
        <v>4358</v>
      </c>
      <c r="G213" s="115" t="s">
        <v>640</v>
      </c>
      <c r="H213" s="104">
        <v>2107</v>
      </c>
    </row>
    <row r="214" spans="1:8" x14ac:dyDescent="0.25">
      <c r="A214" s="115" t="s">
        <v>4278</v>
      </c>
      <c r="B214" s="115" t="s">
        <v>4359</v>
      </c>
      <c r="C214" s="115" t="s">
        <v>4360</v>
      </c>
      <c r="D214" s="115" t="s">
        <v>4361</v>
      </c>
      <c r="E214" s="116">
        <v>5.7</v>
      </c>
      <c r="F214" s="115" t="s">
        <v>4362</v>
      </c>
      <c r="G214" s="115" t="s">
        <v>640</v>
      </c>
      <c r="H214" s="104">
        <v>2108</v>
      </c>
    </row>
    <row r="215" spans="1:8" x14ac:dyDescent="0.25">
      <c r="A215" s="115" t="s">
        <v>4278</v>
      </c>
      <c r="B215" s="115" t="s">
        <v>4363</v>
      </c>
      <c r="C215" s="115" t="s">
        <v>4364</v>
      </c>
      <c r="D215" s="115" t="s">
        <v>1003</v>
      </c>
      <c r="E215" s="116">
        <v>7.86</v>
      </c>
      <c r="F215" s="115" t="s">
        <v>1002</v>
      </c>
      <c r="G215" s="115" t="s">
        <v>640</v>
      </c>
      <c r="H215" s="104">
        <v>2109</v>
      </c>
    </row>
    <row r="216" spans="1:8" x14ac:dyDescent="0.25">
      <c r="A216" s="115" t="s">
        <v>4278</v>
      </c>
      <c r="B216" s="115" t="s">
        <v>4365</v>
      </c>
      <c r="C216" s="115" t="s">
        <v>4366</v>
      </c>
      <c r="D216" s="115" t="s">
        <v>4367</v>
      </c>
      <c r="E216" s="116">
        <v>6.09</v>
      </c>
      <c r="F216" s="115" t="s">
        <v>4368</v>
      </c>
      <c r="G216" s="115" t="s">
        <v>640</v>
      </c>
      <c r="H216" s="104">
        <v>2110</v>
      </c>
    </row>
    <row r="217" spans="1:8" x14ac:dyDescent="0.25">
      <c r="A217" s="115" t="s">
        <v>4278</v>
      </c>
      <c r="B217" s="115" t="s">
        <v>4369</v>
      </c>
      <c r="C217" s="115" t="s">
        <v>4370</v>
      </c>
      <c r="D217" s="115" t="s">
        <v>4371</v>
      </c>
      <c r="E217" s="116">
        <v>5.64</v>
      </c>
      <c r="F217" s="115" t="s">
        <v>4372</v>
      </c>
      <c r="G217" s="115" t="s">
        <v>640</v>
      </c>
      <c r="H217" s="104">
        <v>2111</v>
      </c>
    </row>
    <row r="218" spans="1:8" x14ac:dyDescent="0.25">
      <c r="A218" s="115" t="s">
        <v>4278</v>
      </c>
      <c r="B218" s="115" t="s">
        <v>4373</v>
      </c>
      <c r="C218" s="115" t="s">
        <v>4374</v>
      </c>
      <c r="D218" s="115" t="s">
        <v>4375</v>
      </c>
      <c r="E218" s="116">
        <v>2.16</v>
      </c>
      <c r="F218" s="115" t="s">
        <v>4376</v>
      </c>
      <c r="G218" s="115" t="s">
        <v>640</v>
      </c>
      <c r="H218" s="104">
        <v>2112</v>
      </c>
    </row>
    <row r="219" spans="1:8" x14ac:dyDescent="0.25">
      <c r="A219" s="115" t="s">
        <v>4278</v>
      </c>
      <c r="B219" s="115" t="s">
        <v>4377</v>
      </c>
      <c r="C219" s="115" t="s">
        <v>4378</v>
      </c>
      <c r="D219" s="115" t="s">
        <v>4379</v>
      </c>
      <c r="E219" s="116">
        <v>5.87</v>
      </c>
      <c r="F219" s="115" t="s">
        <v>4380</v>
      </c>
      <c r="G219" s="115" t="s">
        <v>640</v>
      </c>
      <c r="H219" s="104">
        <v>2113</v>
      </c>
    </row>
    <row r="220" spans="1:8" x14ac:dyDescent="0.25">
      <c r="A220" s="115" t="s">
        <v>4381</v>
      </c>
      <c r="B220" s="115" t="s">
        <v>4382</v>
      </c>
      <c r="C220" s="115" t="s">
        <v>4383</v>
      </c>
      <c r="D220" s="115" t="s">
        <v>4384</v>
      </c>
      <c r="E220" s="116">
        <v>7.89</v>
      </c>
      <c r="F220" s="115" t="s">
        <v>4385</v>
      </c>
      <c r="G220" s="115" t="s">
        <v>640</v>
      </c>
      <c r="H220" s="104">
        <v>2151</v>
      </c>
    </row>
    <row r="221" spans="1:8" x14ac:dyDescent="0.25">
      <c r="A221" s="115" t="s">
        <v>4381</v>
      </c>
      <c r="B221" s="115" t="s">
        <v>4386</v>
      </c>
      <c r="C221" s="115" t="s">
        <v>4387</v>
      </c>
      <c r="D221" s="115" t="s">
        <v>786</v>
      </c>
      <c r="E221" s="116">
        <v>3.55</v>
      </c>
      <c r="F221" s="115" t="s">
        <v>785</v>
      </c>
      <c r="G221" s="115" t="s">
        <v>640</v>
      </c>
      <c r="H221" s="104">
        <v>2152</v>
      </c>
    </row>
    <row r="222" spans="1:8" x14ac:dyDescent="0.25">
      <c r="A222" s="115" t="s">
        <v>4381</v>
      </c>
      <c r="B222" s="115" t="s">
        <v>4388</v>
      </c>
      <c r="C222" s="115" t="s">
        <v>4389</v>
      </c>
      <c r="D222" s="115" t="s">
        <v>787</v>
      </c>
      <c r="E222" s="116">
        <v>5.92</v>
      </c>
      <c r="F222" s="115" t="s">
        <v>785</v>
      </c>
      <c r="G222" s="115" t="s">
        <v>640</v>
      </c>
      <c r="H222" s="104">
        <v>2153</v>
      </c>
    </row>
    <row r="223" spans="1:8" x14ac:dyDescent="0.25">
      <c r="A223" s="115" t="s">
        <v>4381</v>
      </c>
      <c r="B223" s="115" t="s">
        <v>4390</v>
      </c>
      <c r="C223" s="115" t="s">
        <v>4391</v>
      </c>
      <c r="D223" s="115" t="s">
        <v>4392</v>
      </c>
      <c r="E223" s="116">
        <v>8.26</v>
      </c>
      <c r="F223" s="115" t="s">
        <v>4393</v>
      </c>
      <c r="G223" s="115" t="s">
        <v>640</v>
      </c>
      <c r="H223" s="104">
        <v>2154</v>
      </c>
    </row>
    <row r="224" spans="1:8" x14ac:dyDescent="0.25">
      <c r="A224" s="115" t="s">
        <v>4381</v>
      </c>
      <c r="B224" s="115" t="s">
        <v>4394</v>
      </c>
      <c r="C224" s="115" t="s">
        <v>4395</v>
      </c>
      <c r="D224" s="115" t="s">
        <v>4396</v>
      </c>
      <c r="E224" s="116">
        <v>6.49</v>
      </c>
      <c r="F224" s="115" t="s">
        <v>4397</v>
      </c>
      <c r="G224" s="115" t="s">
        <v>640</v>
      </c>
      <c r="H224" s="104">
        <v>2155</v>
      </c>
    </row>
    <row r="225" spans="1:8" x14ac:dyDescent="0.25">
      <c r="A225" s="115" t="s">
        <v>4381</v>
      </c>
      <c r="B225" s="115" t="s">
        <v>4398</v>
      </c>
      <c r="C225" s="115" t="s">
        <v>4399</v>
      </c>
      <c r="D225" s="115" t="s">
        <v>1172</v>
      </c>
      <c r="E225" s="116">
        <v>1.94</v>
      </c>
      <c r="F225" s="115" t="s">
        <v>1171</v>
      </c>
      <c r="G225" s="115" t="s">
        <v>640</v>
      </c>
      <c r="H225" s="104" t="s">
        <v>4400</v>
      </c>
    </row>
    <row r="226" spans="1:8" x14ac:dyDescent="0.25">
      <c r="A226" s="115" t="s">
        <v>4381</v>
      </c>
      <c r="B226" s="115" t="s">
        <v>4401</v>
      </c>
      <c r="C226" s="115" t="s">
        <v>4402</v>
      </c>
      <c r="D226" s="115" t="s">
        <v>4403</v>
      </c>
      <c r="E226" s="116">
        <v>7.38</v>
      </c>
      <c r="F226" s="115" t="s">
        <v>4404</v>
      </c>
      <c r="G226" s="115" t="s">
        <v>640</v>
      </c>
      <c r="H226" s="104">
        <v>2156</v>
      </c>
    </row>
    <row r="227" spans="1:8" x14ac:dyDescent="0.25">
      <c r="A227" s="115" t="s">
        <v>4381</v>
      </c>
      <c r="B227" s="115" t="s">
        <v>4405</v>
      </c>
      <c r="C227" s="115" t="s">
        <v>4406</v>
      </c>
      <c r="D227" s="115" t="s">
        <v>4407</v>
      </c>
      <c r="E227" s="116">
        <v>5.04</v>
      </c>
      <c r="F227" s="115" t="s">
        <v>4408</v>
      </c>
      <c r="G227" s="115" t="s">
        <v>640</v>
      </c>
      <c r="H227" s="104">
        <v>2157</v>
      </c>
    </row>
    <row r="228" spans="1:8" x14ac:dyDescent="0.25">
      <c r="A228" s="115" t="s">
        <v>4381</v>
      </c>
      <c r="B228" s="115" t="s">
        <v>4409</v>
      </c>
      <c r="C228" s="115" t="s">
        <v>4410</v>
      </c>
      <c r="D228" s="115" t="s">
        <v>4411</v>
      </c>
      <c r="E228" s="116">
        <v>14.84</v>
      </c>
      <c r="F228" s="115" t="s">
        <v>4412</v>
      </c>
      <c r="G228" s="115" t="s">
        <v>640</v>
      </c>
      <c r="H228" s="104">
        <v>2158</v>
      </c>
    </row>
    <row r="229" spans="1:8" x14ac:dyDescent="0.25">
      <c r="A229" s="115" t="s">
        <v>4381</v>
      </c>
      <c r="B229" s="115" t="s">
        <v>4413</v>
      </c>
      <c r="C229" s="115" t="s">
        <v>4414</v>
      </c>
      <c r="D229" s="115" t="s">
        <v>1241</v>
      </c>
      <c r="E229" s="116">
        <v>2.21</v>
      </c>
      <c r="F229" s="115" t="s">
        <v>1240</v>
      </c>
      <c r="G229" s="115" t="s">
        <v>640</v>
      </c>
      <c r="H229" s="104">
        <v>2159</v>
      </c>
    </row>
    <row r="230" spans="1:8" x14ac:dyDescent="0.25">
      <c r="A230" s="115" t="s">
        <v>4381</v>
      </c>
      <c r="B230" s="115" t="s">
        <v>4415</v>
      </c>
      <c r="C230" s="115" t="s">
        <v>4416</v>
      </c>
      <c r="D230" s="115" t="s">
        <v>881</v>
      </c>
      <c r="E230" s="116">
        <v>1.87</v>
      </c>
      <c r="F230" s="115" t="s">
        <v>880</v>
      </c>
      <c r="G230" s="115" t="s">
        <v>640</v>
      </c>
      <c r="H230" s="104">
        <v>2160</v>
      </c>
    </row>
    <row r="231" spans="1:8" x14ac:dyDescent="0.25">
      <c r="A231" s="115" t="s">
        <v>4381</v>
      </c>
      <c r="B231" s="115" t="s">
        <v>4417</v>
      </c>
      <c r="C231" s="115" t="s">
        <v>4418</v>
      </c>
      <c r="D231" s="115" t="s">
        <v>4419</v>
      </c>
      <c r="E231" s="116">
        <v>11.22</v>
      </c>
      <c r="F231" s="115" t="s">
        <v>4420</v>
      </c>
      <c r="G231" s="115" t="s">
        <v>640</v>
      </c>
      <c r="H231" s="104">
        <v>2161</v>
      </c>
    </row>
    <row r="232" spans="1:8" x14ac:dyDescent="0.25">
      <c r="A232" s="115" t="s">
        <v>4381</v>
      </c>
      <c r="B232" s="115" t="s">
        <v>4421</v>
      </c>
      <c r="C232" s="115" t="s">
        <v>4422</v>
      </c>
      <c r="D232" s="115" t="s">
        <v>4423</v>
      </c>
      <c r="E232" s="116">
        <v>9.99</v>
      </c>
      <c r="F232" s="115" t="s">
        <v>4424</v>
      </c>
      <c r="G232" s="115" t="s">
        <v>640</v>
      </c>
      <c r="H232" s="104">
        <v>2162</v>
      </c>
    </row>
    <row r="233" spans="1:8" x14ac:dyDescent="0.25">
      <c r="A233" s="115" t="s">
        <v>4381</v>
      </c>
      <c r="B233" s="115" t="s">
        <v>4425</v>
      </c>
      <c r="C233" s="115" t="s">
        <v>4426</v>
      </c>
      <c r="D233" s="115" t="s">
        <v>4427</v>
      </c>
      <c r="E233" s="116">
        <v>15.3</v>
      </c>
      <c r="F233" s="115" t="s">
        <v>4428</v>
      </c>
      <c r="G233" s="115" t="s">
        <v>640</v>
      </c>
      <c r="H233" s="104">
        <v>2163</v>
      </c>
    </row>
    <row r="234" spans="1:8" x14ac:dyDescent="0.25">
      <c r="A234" s="115" t="s">
        <v>4381</v>
      </c>
      <c r="B234" s="115" t="s">
        <v>4429</v>
      </c>
      <c r="C234" s="115" t="s">
        <v>4430</v>
      </c>
      <c r="D234" s="115" t="s">
        <v>1475</v>
      </c>
      <c r="E234" s="116">
        <v>1.8</v>
      </c>
      <c r="F234" s="115" t="s">
        <v>1474</v>
      </c>
      <c r="G234" s="115" t="s">
        <v>640</v>
      </c>
      <c r="H234" s="104">
        <v>2164</v>
      </c>
    </row>
    <row r="235" spans="1:8" x14ac:dyDescent="0.25">
      <c r="A235" s="115" t="s">
        <v>4431</v>
      </c>
      <c r="B235" s="115" t="s">
        <v>4432</v>
      </c>
      <c r="C235" s="115" t="s">
        <v>4433</v>
      </c>
      <c r="D235" s="115" t="s">
        <v>1220</v>
      </c>
      <c r="E235" s="116">
        <v>10.65</v>
      </c>
      <c r="F235" s="115" t="s">
        <v>1219</v>
      </c>
      <c r="G235" s="115" t="s">
        <v>640</v>
      </c>
      <c r="H235" s="104">
        <v>2189</v>
      </c>
    </row>
    <row r="236" spans="1:8" x14ac:dyDescent="0.25">
      <c r="A236" s="115" t="s">
        <v>4431</v>
      </c>
      <c r="B236" s="115" t="s">
        <v>4434</v>
      </c>
      <c r="C236" s="115" t="s">
        <v>4435</v>
      </c>
      <c r="D236" s="115" t="s">
        <v>1442</v>
      </c>
      <c r="E236" s="116">
        <v>8.3800000000000008</v>
      </c>
      <c r="F236" s="115" t="s">
        <v>1441</v>
      </c>
      <c r="G236" s="115" t="s">
        <v>640</v>
      </c>
      <c r="H236" s="104">
        <v>2190</v>
      </c>
    </row>
    <row r="237" spans="1:8" x14ac:dyDescent="0.25">
      <c r="A237" s="115" t="s">
        <v>4431</v>
      </c>
      <c r="B237" s="115" t="s">
        <v>4436</v>
      </c>
      <c r="C237" s="115" t="s">
        <v>4437</v>
      </c>
      <c r="D237" s="115" t="s">
        <v>4438</v>
      </c>
      <c r="E237" s="116">
        <v>4</v>
      </c>
      <c r="F237" s="115" t="s">
        <v>4439</v>
      </c>
      <c r="G237" s="115" t="s">
        <v>640</v>
      </c>
      <c r="H237" s="104">
        <v>2191</v>
      </c>
    </row>
    <row r="238" spans="1:8" x14ac:dyDescent="0.25">
      <c r="A238" s="115" t="s">
        <v>4431</v>
      </c>
      <c r="B238" s="115" t="s">
        <v>4440</v>
      </c>
      <c r="C238" s="115" t="s">
        <v>4441</v>
      </c>
      <c r="D238" s="115" t="s">
        <v>4442</v>
      </c>
      <c r="E238" s="116">
        <v>1.68</v>
      </c>
      <c r="F238" s="115" t="s">
        <v>4443</v>
      </c>
      <c r="G238" s="115" t="s">
        <v>640</v>
      </c>
      <c r="H238" s="104">
        <v>2192</v>
      </c>
    </row>
    <row r="239" spans="1:8" x14ac:dyDescent="0.25">
      <c r="A239" s="115" t="s">
        <v>4431</v>
      </c>
      <c r="B239" s="115" t="s">
        <v>4444</v>
      </c>
      <c r="C239" s="115" t="s">
        <v>4445</v>
      </c>
      <c r="D239" s="115" t="s">
        <v>936</v>
      </c>
      <c r="E239" s="116">
        <v>3.83</v>
      </c>
      <c r="F239" s="115" t="s">
        <v>935</v>
      </c>
      <c r="G239" s="115" t="s">
        <v>640</v>
      </c>
      <c r="H239" s="104">
        <v>2193</v>
      </c>
    </row>
    <row r="240" spans="1:8" x14ac:dyDescent="0.25">
      <c r="A240" s="115" t="s">
        <v>4431</v>
      </c>
      <c r="B240" s="115" t="s">
        <v>4446</v>
      </c>
      <c r="C240" s="115" t="s">
        <v>4447</v>
      </c>
      <c r="D240" s="115" t="s">
        <v>4448</v>
      </c>
      <c r="E240" s="116">
        <v>20.14</v>
      </c>
      <c r="F240" s="115" t="s">
        <v>4449</v>
      </c>
      <c r="G240" s="115" t="s">
        <v>640</v>
      </c>
      <c r="H240" s="104">
        <v>2194</v>
      </c>
    </row>
    <row r="241" spans="1:8" x14ac:dyDescent="0.25">
      <c r="A241" s="115" t="s">
        <v>4431</v>
      </c>
      <c r="B241" s="115" t="s">
        <v>4450</v>
      </c>
      <c r="C241" s="115" t="s">
        <v>4451</v>
      </c>
      <c r="D241" s="115" t="s">
        <v>827</v>
      </c>
      <c r="E241" s="116">
        <v>2.2999999999999998</v>
      </c>
      <c r="F241" s="115" t="s">
        <v>826</v>
      </c>
      <c r="G241" s="115" t="s">
        <v>640</v>
      </c>
      <c r="H241" s="104">
        <v>2195</v>
      </c>
    </row>
    <row r="242" spans="1:8" x14ac:dyDescent="0.25">
      <c r="A242" s="115" t="s">
        <v>4431</v>
      </c>
      <c r="B242" s="115" t="s">
        <v>4452</v>
      </c>
      <c r="C242" s="115" t="s">
        <v>4453</v>
      </c>
      <c r="D242" s="115" t="s">
        <v>4454</v>
      </c>
      <c r="E242" s="116">
        <v>3.36</v>
      </c>
      <c r="F242" s="115" t="s">
        <v>4455</v>
      </c>
      <c r="G242" s="115" t="s">
        <v>640</v>
      </c>
      <c r="H242" s="104">
        <v>2196</v>
      </c>
    </row>
    <row r="243" spans="1:8" x14ac:dyDescent="0.25">
      <c r="A243" s="115" t="s">
        <v>4431</v>
      </c>
      <c r="B243" s="115" t="s">
        <v>4456</v>
      </c>
      <c r="C243" s="115" t="s">
        <v>4457</v>
      </c>
      <c r="D243" s="115" t="s">
        <v>1184</v>
      </c>
      <c r="E243" s="116">
        <v>1.68</v>
      </c>
      <c r="F243" s="115" t="s">
        <v>1183</v>
      </c>
      <c r="G243" s="115" t="s">
        <v>640</v>
      </c>
      <c r="H243" s="104">
        <v>2197</v>
      </c>
    </row>
    <row r="244" spans="1:8" x14ac:dyDescent="0.25">
      <c r="A244" s="115" t="s">
        <v>4431</v>
      </c>
      <c r="B244" s="115" t="s">
        <v>4458</v>
      </c>
      <c r="C244" s="115" t="s">
        <v>4459</v>
      </c>
      <c r="D244" s="115" t="s">
        <v>4460</v>
      </c>
      <c r="E244" s="116">
        <v>3.45</v>
      </c>
      <c r="F244" s="115" t="s">
        <v>4461</v>
      </c>
      <c r="G244" s="115" t="s">
        <v>640</v>
      </c>
      <c r="H244" s="104">
        <v>2198</v>
      </c>
    </row>
    <row r="245" spans="1:8" x14ac:dyDescent="0.25">
      <c r="A245" s="115" t="s">
        <v>4431</v>
      </c>
      <c r="B245" s="115" t="s">
        <v>4462</v>
      </c>
      <c r="C245" s="115" t="s">
        <v>4463</v>
      </c>
      <c r="D245" s="115" t="s">
        <v>1345</v>
      </c>
      <c r="E245" s="116">
        <v>1.76</v>
      </c>
      <c r="F245" s="115" t="s">
        <v>1344</v>
      </c>
      <c r="G245" s="115" t="s">
        <v>640</v>
      </c>
      <c r="H245" s="104">
        <v>2206</v>
      </c>
    </row>
    <row r="246" spans="1:8" x14ac:dyDescent="0.25">
      <c r="A246" s="115" t="s">
        <v>4431</v>
      </c>
      <c r="B246" s="115" t="s">
        <v>4464</v>
      </c>
      <c r="C246" s="115" t="s">
        <v>4465</v>
      </c>
      <c r="D246" s="115" t="s">
        <v>4466</v>
      </c>
      <c r="E246" s="116">
        <v>24.6</v>
      </c>
      <c r="F246" s="115" t="s">
        <v>4467</v>
      </c>
      <c r="G246" s="115" t="s">
        <v>640</v>
      </c>
      <c r="H246" s="104">
        <v>2207</v>
      </c>
    </row>
    <row r="247" spans="1:8" x14ac:dyDescent="0.25">
      <c r="A247" s="115" t="s">
        <v>4468</v>
      </c>
      <c r="B247" s="115" t="s">
        <v>4469</v>
      </c>
      <c r="C247" s="115" t="s">
        <v>4470</v>
      </c>
      <c r="D247" s="115" t="s">
        <v>4471</v>
      </c>
      <c r="E247" s="116">
        <v>4.09</v>
      </c>
      <c r="F247" s="115" t="s">
        <v>4472</v>
      </c>
      <c r="G247" s="115" t="s">
        <v>640</v>
      </c>
      <c r="H247" s="104">
        <v>2234</v>
      </c>
    </row>
    <row r="248" spans="1:8" x14ac:dyDescent="0.25">
      <c r="A248" s="115" t="s">
        <v>4468</v>
      </c>
      <c r="B248" s="115" t="s">
        <v>4473</v>
      </c>
      <c r="C248" s="115" t="s">
        <v>4474</v>
      </c>
      <c r="D248" s="115" t="s">
        <v>4475</v>
      </c>
      <c r="E248" s="116">
        <v>4.07</v>
      </c>
      <c r="F248" s="115" t="s">
        <v>4476</v>
      </c>
      <c r="G248" s="115" t="s">
        <v>640</v>
      </c>
      <c r="H248" s="104">
        <v>2235</v>
      </c>
    </row>
    <row r="249" spans="1:8" x14ac:dyDescent="0.25">
      <c r="A249" s="115" t="s">
        <v>4468</v>
      </c>
      <c r="B249" s="115" t="s">
        <v>4477</v>
      </c>
      <c r="C249" s="115" t="s">
        <v>4478</v>
      </c>
      <c r="D249" s="115" t="s">
        <v>4479</v>
      </c>
      <c r="E249" s="116">
        <v>4.59</v>
      </c>
      <c r="F249" s="115" t="s">
        <v>4480</v>
      </c>
      <c r="G249" s="115" t="s">
        <v>640</v>
      </c>
      <c r="H249" s="104">
        <v>2236</v>
      </c>
    </row>
    <row r="250" spans="1:8" x14ac:dyDescent="0.25">
      <c r="A250" s="115" t="s">
        <v>4468</v>
      </c>
      <c r="B250" s="115" t="s">
        <v>4481</v>
      </c>
      <c r="C250" s="115" t="s">
        <v>4482</v>
      </c>
      <c r="D250" s="115" t="s">
        <v>4483</v>
      </c>
      <c r="E250" s="116">
        <v>5.07</v>
      </c>
      <c r="F250" s="115" t="s">
        <v>4484</v>
      </c>
      <c r="G250" s="115" t="s">
        <v>640</v>
      </c>
      <c r="H250" s="104">
        <v>2237</v>
      </c>
    </row>
    <row r="251" spans="1:8" x14ac:dyDescent="0.25">
      <c r="A251" s="115" t="s">
        <v>4468</v>
      </c>
      <c r="B251" s="115" t="s">
        <v>4485</v>
      </c>
      <c r="C251" s="115" t="s">
        <v>4486</v>
      </c>
      <c r="D251" s="115" t="s">
        <v>4487</v>
      </c>
      <c r="E251" s="116">
        <v>28.69</v>
      </c>
      <c r="F251" s="115" t="s">
        <v>4488</v>
      </c>
      <c r="G251" s="115" t="s">
        <v>640</v>
      </c>
      <c r="H251" s="104">
        <v>2238</v>
      </c>
    </row>
    <row r="252" spans="1:8" x14ac:dyDescent="0.25">
      <c r="A252" s="115" t="s">
        <v>4468</v>
      </c>
      <c r="B252" s="115" t="s">
        <v>4489</v>
      </c>
      <c r="C252" s="115" t="s">
        <v>4490</v>
      </c>
      <c r="D252" s="115" t="s">
        <v>970</v>
      </c>
      <c r="E252" s="116">
        <v>8.3800000000000008</v>
      </c>
      <c r="F252" s="115" t="s">
        <v>969</v>
      </c>
      <c r="G252" s="115" t="s">
        <v>640</v>
      </c>
      <c r="H252" s="104">
        <v>2239</v>
      </c>
    </row>
    <row r="253" spans="1:8" x14ac:dyDescent="0.25">
      <c r="A253" s="115" t="s">
        <v>4468</v>
      </c>
      <c r="B253" s="115" t="s">
        <v>4491</v>
      </c>
      <c r="C253" s="115" t="s">
        <v>4492</v>
      </c>
      <c r="D253" s="115" t="s">
        <v>770</v>
      </c>
      <c r="E253" s="116">
        <v>3.42</v>
      </c>
      <c r="F253" s="115" t="s">
        <v>769</v>
      </c>
      <c r="G253" s="115" t="s">
        <v>640</v>
      </c>
      <c r="H253" s="104">
        <v>2240</v>
      </c>
    </row>
    <row r="254" spans="1:8" x14ac:dyDescent="0.25">
      <c r="A254" s="115" t="s">
        <v>4468</v>
      </c>
      <c r="B254" s="115" t="s">
        <v>3074</v>
      </c>
      <c r="C254" s="115" t="s">
        <v>4493</v>
      </c>
      <c r="D254" s="115" t="s">
        <v>4494</v>
      </c>
      <c r="E254" s="116">
        <v>4.1900000000000004</v>
      </c>
      <c r="F254" s="115" t="s">
        <v>4495</v>
      </c>
      <c r="G254" s="115" t="s">
        <v>640</v>
      </c>
      <c r="H254" s="104">
        <v>2241</v>
      </c>
    </row>
    <row r="255" spans="1:8" x14ac:dyDescent="0.25">
      <c r="A255" s="115" t="s">
        <v>4468</v>
      </c>
      <c r="B255" s="115" t="s">
        <v>4496</v>
      </c>
      <c r="C255" s="115" t="s">
        <v>4497</v>
      </c>
      <c r="D255" s="115" t="s">
        <v>4498</v>
      </c>
      <c r="E255" s="116">
        <v>1.85</v>
      </c>
      <c r="F255" s="115" t="s">
        <v>4499</v>
      </c>
      <c r="G255" s="115" t="s">
        <v>640</v>
      </c>
      <c r="H255" s="104">
        <v>2242</v>
      </c>
    </row>
    <row r="256" spans="1:8" x14ac:dyDescent="0.25">
      <c r="A256" s="115" t="s">
        <v>4468</v>
      </c>
      <c r="B256" s="115" t="s">
        <v>4500</v>
      </c>
      <c r="C256" s="115" t="s">
        <v>4501</v>
      </c>
      <c r="D256" s="115" t="s">
        <v>4502</v>
      </c>
      <c r="E256" s="116">
        <v>3.36</v>
      </c>
      <c r="F256" s="115" t="s">
        <v>4503</v>
      </c>
      <c r="G256" s="115" t="s">
        <v>640</v>
      </c>
      <c r="H256" s="104">
        <v>2243</v>
      </c>
    </row>
    <row r="257" spans="1:8" x14ac:dyDescent="0.25">
      <c r="A257" s="115" t="s">
        <v>4468</v>
      </c>
      <c r="B257" s="115" t="s">
        <v>4504</v>
      </c>
      <c r="C257" s="115" t="s">
        <v>4505</v>
      </c>
      <c r="D257" s="115" t="s">
        <v>4506</v>
      </c>
      <c r="E257" s="116">
        <v>0.19</v>
      </c>
      <c r="F257" s="115" t="s">
        <v>4507</v>
      </c>
      <c r="G257" s="115" t="s">
        <v>640</v>
      </c>
      <c r="H257" s="104">
        <v>2244</v>
      </c>
    </row>
    <row r="258" spans="1:8" x14ac:dyDescent="0.25">
      <c r="A258" s="115"/>
      <c r="B258" s="115"/>
      <c r="C258" s="115"/>
      <c r="D258" s="118" t="s">
        <v>3578</v>
      </c>
      <c r="E258" s="119">
        <f>SUM(E159:E257)</f>
        <v>688.1800000000004</v>
      </c>
      <c r="F258" s="115"/>
      <c r="G258" s="115"/>
      <c r="H258" s="104"/>
    </row>
    <row r="259" spans="1:8" ht="38.25" x14ac:dyDescent="0.25">
      <c r="A259" s="115"/>
      <c r="B259" s="115"/>
      <c r="C259" s="115"/>
      <c r="D259" s="113" t="s">
        <v>3739</v>
      </c>
      <c r="E259" s="119">
        <v>80.760000000000005</v>
      </c>
      <c r="F259" s="115"/>
      <c r="G259" s="115"/>
      <c r="H259" s="104"/>
    </row>
    <row r="260" spans="1:8" x14ac:dyDescent="0.25">
      <c r="A260" s="115"/>
      <c r="B260" s="115"/>
      <c r="C260" s="115"/>
      <c r="D260" s="113"/>
      <c r="E260" s="119">
        <f>+E258-E259</f>
        <v>607.42000000000041</v>
      </c>
      <c r="F260" s="115"/>
      <c r="G260" s="115"/>
      <c r="H260" s="104"/>
    </row>
    <row r="261" spans="1:8" x14ac:dyDescent="0.25">
      <c r="A261" s="115"/>
      <c r="B261" s="115"/>
      <c r="C261" s="115"/>
      <c r="D261" s="113"/>
      <c r="E261" s="116"/>
      <c r="F261" s="115"/>
      <c r="G261" s="115"/>
      <c r="H261" s="104"/>
    </row>
    <row r="262" spans="1:8" x14ac:dyDescent="0.25">
      <c r="A262" s="115" t="s">
        <v>4508</v>
      </c>
      <c r="B262" s="115" t="s">
        <v>4509</v>
      </c>
      <c r="C262" s="115" t="s">
        <v>4510</v>
      </c>
      <c r="D262" s="115" t="s">
        <v>4511</v>
      </c>
      <c r="E262" s="116">
        <v>5.17</v>
      </c>
      <c r="F262" s="115" t="s">
        <v>4512</v>
      </c>
      <c r="G262" s="115" t="s">
        <v>640</v>
      </c>
      <c r="H262" s="104">
        <v>2261</v>
      </c>
    </row>
    <row r="263" spans="1:8" x14ac:dyDescent="0.25">
      <c r="A263" s="115" t="s">
        <v>4508</v>
      </c>
      <c r="B263" s="115" t="s">
        <v>4513</v>
      </c>
      <c r="C263" s="115" t="s">
        <v>4514</v>
      </c>
      <c r="D263" s="115" t="s">
        <v>812</v>
      </c>
      <c r="E263" s="116">
        <v>1.79</v>
      </c>
      <c r="F263" s="115" t="s">
        <v>811</v>
      </c>
      <c r="G263" s="115" t="s">
        <v>640</v>
      </c>
      <c r="H263" s="104">
        <v>2262</v>
      </c>
    </row>
    <row r="264" spans="1:8" x14ac:dyDescent="0.25">
      <c r="A264" s="115" t="s">
        <v>4508</v>
      </c>
      <c r="B264" s="115" t="s">
        <v>4515</v>
      </c>
      <c r="C264" s="115" t="s">
        <v>4516</v>
      </c>
      <c r="D264" s="115" t="s">
        <v>840</v>
      </c>
      <c r="E264" s="116">
        <v>3.01</v>
      </c>
      <c r="F264" s="115" t="s">
        <v>839</v>
      </c>
      <c r="G264" s="115" t="s">
        <v>640</v>
      </c>
      <c r="H264" s="104">
        <v>2263</v>
      </c>
    </row>
    <row r="265" spans="1:8" x14ac:dyDescent="0.25">
      <c r="A265" s="115" t="s">
        <v>4508</v>
      </c>
      <c r="B265" s="115" t="s">
        <v>4517</v>
      </c>
      <c r="C265" s="115" t="s">
        <v>4518</v>
      </c>
      <c r="D265" s="115" t="s">
        <v>804</v>
      </c>
      <c r="E265" s="116">
        <v>1.98</v>
      </c>
      <c r="F265" s="115" t="s">
        <v>803</v>
      </c>
      <c r="G265" s="115" t="s">
        <v>640</v>
      </c>
      <c r="H265" s="104">
        <v>2264</v>
      </c>
    </row>
    <row r="266" spans="1:8" x14ac:dyDescent="0.25">
      <c r="A266" s="115" t="s">
        <v>4508</v>
      </c>
      <c r="B266" s="115" t="s">
        <v>4519</v>
      </c>
      <c r="C266" s="115" t="s">
        <v>4520</v>
      </c>
      <c r="D266" s="115" t="s">
        <v>901</v>
      </c>
      <c r="E266" s="116">
        <v>22.84</v>
      </c>
      <c r="F266" s="115" t="s">
        <v>900</v>
      </c>
      <c r="G266" s="115" t="s">
        <v>640</v>
      </c>
      <c r="H266" s="104">
        <v>2265</v>
      </c>
    </row>
    <row r="267" spans="1:8" x14ac:dyDescent="0.25">
      <c r="A267" s="115" t="s">
        <v>4508</v>
      </c>
      <c r="B267" s="115" t="s">
        <v>4521</v>
      </c>
      <c r="C267" s="115" t="s">
        <v>4522</v>
      </c>
      <c r="D267" s="115" t="s">
        <v>4523</v>
      </c>
      <c r="E267" s="116">
        <v>15.53</v>
      </c>
      <c r="F267" s="115" t="s">
        <v>4524</v>
      </c>
      <c r="G267" s="115" t="s">
        <v>640</v>
      </c>
      <c r="H267" s="104">
        <v>2266</v>
      </c>
    </row>
    <row r="268" spans="1:8" x14ac:dyDescent="0.25">
      <c r="A268" s="115" t="s">
        <v>4508</v>
      </c>
      <c r="B268" s="115" t="s">
        <v>4525</v>
      </c>
      <c r="C268" s="115" t="s">
        <v>4526</v>
      </c>
      <c r="D268" s="115" t="s">
        <v>4527</v>
      </c>
      <c r="E268" s="116">
        <v>8.49</v>
      </c>
      <c r="F268" s="115" t="s">
        <v>4528</v>
      </c>
      <c r="G268" s="115" t="s">
        <v>640</v>
      </c>
      <c r="H268" s="104">
        <v>2267</v>
      </c>
    </row>
    <row r="269" spans="1:8" x14ac:dyDescent="0.25">
      <c r="A269" s="115" t="s">
        <v>4508</v>
      </c>
      <c r="B269" s="115" t="s">
        <v>4529</v>
      </c>
      <c r="C269" s="115" t="s">
        <v>4530</v>
      </c>
      <c r="D269" s="115" t="s">
        <v>4531</v>
      </c>
      <c r="E269" s="116">
        <v>1.92</v>
      </c>
      <c r="F269" s="115" t="s">
        <v>4532</v>
      </c>
      <c r="G269" s="115" t="s">
        <v>640</v>
      </c>
      <c r="H269" s="104">
        <v>2268</v>
      </c>
    </row>
    <row r="270" spans="1:8" x14ac:dyDescent="0.25">
      <c r="A270" s="115" t="s">
        <v>4508</v>
      </c>
      <c r="B270" s="115" t="s">
        <v>4533</v>
      </c>
      <c r="C270" s="115" t="s">
        <v>4534</v>
      </c>
      <c r="D270" s="115" t="s">
        <v>4535</v>
      </c>
      <c r="E270" s="116">
        <v>2.64</v>
      </c>
      <c r="F270" s="115" t="s">
        <v>4536</v>
      </c>
      <c r="G270" s="115" t="s">
        <v>640</v>
      </c>
      <c r="H270" s="104">
        <v>2269</v>
      </c>
    </row>
    <row r="271" spans="1:8" x14ac:dyDescent="0.25">
      <c r="A271" s="115" t="s">
        <v>4537</v>
      </c>
      <c r="B271" s="115" t="s">
        <v>4538</v>
      </c>
      <c r="C271" s="115" t="s">
        <v>4539</v>
      </c>
      <c r="D271" s="115" t="s">
        <v>4540</v>
      </c>
      <c r="E271" s="116">
        <v>6.86</v>
      </c>
      <c r="F271" s="115" t="s">
        <v>4541</v>
      </c>
      <c r="G271" s="115" t="s">
        <v>640</v>
      </c>
      <c r="H271" s="104">
        <v>2282</v>
      </c>
    </row>
    <row r="272" spans="1:8" x14ac:dyDescent="0.25">
      <c r="A272" s="115" t="s">
        <v>4537</v>
      </c>
      <c r="B272" s="115" t="s">
        <v>4542</v>
      </c>
      <c r="C272" s="115" t="s">
        <v>4543</v>
      </c>
      <c r="D272" s="115" t="s">
        <v>808</v>
      </c>
      <c r="E272" s="116">
        <v>2.33</v>
      </c>
      <c r="F272" s="115" t="s">
        <v>807</v>
      </c>
      <c r="G272" s="115" t="s">
        <v>640</v>
      </c>
      <c r="H272" s="104">
        <v>2283</v>
      </c>
    </row>
    <row r="273" spans="1:8" x14ac:dyDescent="0.25">
      <c r="A273" s="115" t="s">
        <v>4537</v>
      </c>
      <c r="B273" s="115" t="s">
        <v>4544</v>
      </c>
      <c r="C273" s="115" t="s">
        <v>4545</v>
      </c>
      <c r="D273" s="115" t="s">
        <v>4546</v>
      </c>
      <c r="E273" s="116">
        <v>44.24</v>
      </c>
      <c r="F273" s="115" t="s">
        <v>4547</v>
      </c>
      <c r="G273" s="115" t="s">
        <v>640</v>
      </c>
      <c r="H273" s="104">
        <v>2284</v>
      </c>
    </row>
    <row r="274" spans="1:8" x14ac:dyDescent="0.25">
      <c r="A274" s="115" t="s">
        <v>4537</v>
      </c>
      <c r="B274" s="115" t="s">
        <v>4548</v>
      </c>
      <c r="C274" s="115" t="s">
        <v>4549</v>
      </c>
      <c r="D274" s="115" t="s">
        <v>4550</v>
      </c>
      <c r="E274" s="116">
        <v>4.5999999999999996</v>
      </c>
      <c r="F274" s="115" t="s">
        <v>4551</v>
      </c>
      <c r="G274" s="115" t="s">
        <v>640</v>
      </c>
      <c r="H274" s="104">
        <v>2285</v>
      </c>
    </row>
    <row r="275" spans="1:8" x14ac:dyDescent="0.25">
      <c r="A275" s="115" t="s">
        <v>4537</v>
      </c>
      <c r="B275" s="115" t="s">
        <v>4552</v>
      </c>
      <c r="C275" s="115" t="s">
        <v>4553</v>
      </c>
      <c r="D275" s="115" t="s">
        <v>4554</v>
      </c>
      <c r="E275" s="116">
        <v>5.0599999999999996</v>
      </c>
      <c r="F275" s="115" t="s">
        <v>4555</v>
      </c>
      <c r="G275" s="115" t="s">
        <v>640</v>
      </c>
      <c r="H275" s="104">
        <v>2286</v>
      </c>
    </row>
    <row r="276" spans="1:8" x14ac:dyDescent="0.25">
      <c r="A276" s="115" t="s">
        <v>4537</v>
      </c>
      <c r="B276" s="115" t="s">
        <v>4556</v>
      </c>
      <c r="C276" s="115" t="s">
        <v>4557</v>
      </c>
      <c r="D276" s="115" t="s">
        <v>1580</v>
      </c>
      <c r="E276" s="116">
        <v>13.24</v>
      </c>
      <c r="F276" s="115" t="s">
        <v>1581</v>
      </c>
      <c r="G276" s="115" t="s">
        <v>640</v>
      </c>
      <c r="H276" s="104">
        <v>2287</v>
      </c>
    </row>
    <row r="277" spans="1:8" x14ac:dyDescent="0.25">
      <c r="A277" s="115" t="s">
        <v>4537</v>
      </c>
      <c r="B277" s="115" t="s">
        <v>4558</v>
      </c>
      <c r="C277" s="115" t="s">
        <v>4559</v>
      </c>
      <c r="D277" s="115" t="s">
        <v>4560</v>
      </c>
      <c r="E277" s="116">
        <v>36.61</v>
      </c>
      <c r="F277" s="115" t="s">
        <v>4561</v>
      </c>
      <c r="G277" s="115" t="s">
        <v>640</v>
      </c>
      <c r="H277" s="104">
        <v>2288</v>
      </c>
    </row>
    <row r="278" spans="1:8" x14ac:dyDescent="0.25">
      <c r="A278" s="115" t="s">
        <v>4537</v>
      </c>
      <c r="B278" s="115" t="s">
        <v>4562</v>
      </c>
      <c r="C278" s="115" t="s">
        <v>4563</v>
      </c>
      <c r="D278" s="115" t="s">
        <v>885</v>
      </c>
      <c r="E278" s="116">
        <v>1.78</v>
      </c>
      <c r="F278" s="115" t="s">
        <v>884</v>
      </c>
      <c r="G278" s="115" t="s">
        <v>640</v>
      </c>
      <c r="H278" s="104">
        <v>2289</v>
      </c>
    </row>
    <row r="279" spans="1:8" x14ac:dyDescent="0.25">
      <c r="A279" s="115" t="s">
        <v>4537</v>
      </c>
      <c r="B279" s="115" t="s">
        <v>4564</v>
      </c>
      <c r="C279" s="115" t="s">
        <v>4565</v>
      </c>
      <c r="D279" s="115" t="s">
        <v>886</v>
      </c>
      <c r="E279" s="116">
        <v>3.21</v>
      </c>
      <c r="F279" s="115" t="s">
        <v>884</v>
      </c>
      <c r="G279" s="115" t="s">
        <v>640</v>
      </c>
      <c r="H279" s="104">
        <v>2290</v>
      </c>
    </row>
    <row r="280" spans="1:8" x14ac:dyDescent="0.25">
      <c r="A280" s="115" t="s">
        <v>4537</v>
      </c>
      <c r="B280" s="115" t="s">
        <v>4566</v>
      </c>
      <c r="C280" s="115" t="s">
        <v>4567</v>
      </c>
      <c r="D280" s="115" t="s">
        <v>4568</v>
      </c>
      <c r="E280" s="116">
        <v>1.88</v>
      </c>
      <c r="F280" s="115" t="s">
        <v>4569</v>
      </c>
      <c r="G280" s="115" t="s">
        <v>640</v>
      </c>
      <c r="H280" s="104">
        <v>2291</v>
      </c>
    </row>
    <row r="281" spans="1:8" x14ac:dyDescent="0.25">
      <c r="A281" s="115" t="s">
        <v>4570</v>
      </c>
      <c r="B281" s="115" t="s">
        <v>4571</v>
      </c>
      <c r="C281" s="115" t="s">
        <v>4572</v>
      </c>
      <c r="D281" s="115" t="s">
        <v>687</v>
      </c>
      <c r="E281" s="116">
        <v>1.68</v>
      </c>
      <c r="F281" s="115" t="s">
        <v>686</v>
      </c>
      <c r="G281" s="115" t="s">
        <v>640</v>
      </c>
      <c r="H281" s="104">
        <v>2292</v>
      </c>
    </row>
    <row r="282" spans="1:8" x14ac:dyDescent="0.25">
      <c r="A282" s="115" t="s">
        <v>4570</v>
      </c>
      <c r="B282" s="115" t="s">
        <v>4573</v>
      </c>
      <c r="C282" s="115" t="s">
        <v>4574</v>
      </c>
      <c r="D282" s="115" t="s">
        <v>4575</v>
      </c>
      <c r="E282" s="116">
        <v>19.98</v>
      </c>
      <c r="F282" s="115" t="s">
        <v>4576</v>
      </c>
      <c r="G282" s="115" t="s">
        <v>640</v>
      </c>
      <c r="H282" s="104">
        <v>2293</v>
      </c>
    </row>
    <row r="283" spans="1:8" x14ac:dyDescent="0.25">
      <c r="A283" s="115" t="s">
        <v>4570</v>
      </c>
      <c r="B283" s="115" t="s">
        <v>4577</v>
      </c>
      <c r="C283" s="115" t="s">
        <v>4578</v>
      </c>
      <c r="D283" s="115" t="s">
        <v>1141</v>
      </c>
      <c r="E283" s="116">
        <v>2.36</v>
      </c>
      <c r="F283" s="115" t="s">
        <v>1140</v>
      </c>
      <c r="G283" s="115" t="s">
        <v>640</v>
      </c>
      <c r="H283" s="104">
        <v>2294</v>
      </c>
    </row>
    <row r="284" spans="1:8" x14ac:dyDescent="0.25">
      <c r="A284" s="115" t="s">
        <v>4570</v>
      </c>
      <c r="B284" s="115" t="s">
        <v>4579</v>
      </c>
      <c r="C284" s="115" t="s">
        <v>4580</v>
      </c>
      <c r="D284" s="115" t="s">
        <v>4581</v>
      </c>
      <c r="E284" s="116">
        <v>42.72</v>
      </c>
      <c r="F284" s="115" t="s">
        <v>4582</v>
      </c>
      <c r="G284" s="115" t="s">
        <v>640</v>
      </c>
      <c r="H284" s="104">
        <v>2295</v>
      </c>
    </row>
    <row r="285" spans="1:8" x14ac:dyDescent="0.25">
      <c r="A285" s="115" t="s">
        <v>4583</v>
      </c>
      <c r="B285" s="115" t="s">
        <v>4584</v>
      </c>
      <c r="C285" s="115" t="s">
        <v>4585</v>
      </c>
      <c r="D285" s="115" t="s">
        <v>4586</v>
      </c>
      <c r="E285" s="116">
        <v>12.6</v>
      </c>
      <c r="F285" s="115" t="s">
        <v>4587</v>
      </c>
      <c r="G285" s="115" t="s">
        <v>640</v>
      </c>
      <c r="H285" s="104">
        <v>2296</v>
      </c>
    </row>
    <row r="286" spans="1:8" x14ac:dyDescent="0.25">
      <c r="A286" s="115" t="s">
        <v>4583</v>
      </c>
      <c r="B286" s="115" t="s">
        <v>4588</v>
      </c>
      <c r="C286" s="115" t="s">
        <v>4589</v>
      </c>
      <c r="D286" s="115" t="s">
        <v>4590</v>
      </c>
      <c r="E286" s="116">
        <v>4</v>
      </c>
      <c r="F286" s="115" t="s">
        <v>4591</v>
      </c>
      <c r="G286" s="115" t="s">
        <v>640</v>
      </c>
      <c r="H286" s="104">
        <v>2297</v>
      </c>
    </row>
    <row r="287" spans="1:8" x14ac:dyDescent="0.25">
      <c r="A287" s="115" t="s">
        <v>4583</v>
      </c>
      <c r="B287" s="115" t="s">
        <v>4592</v>
      </c>
      <c r="C287" s="115" t="s">
        <v>4593</v>
      </c>
      <c r="D287" s="115" t="s">
        <v>4594</v>
      </c>
      <c r="E287" s="116">
        <v>4.22</v>
      </c>
      <c r="F287" s="115" t="s">
        <v>4595</v>
      </c>
      <c r="G287" s="115" t="s">
        <v>640</v>
      </c>
      <c r="H287" s="104">
        <v>2298</v>
      </c>
    </row>
    <row r="288" spans="1:8" x14ac:dyDescent="0.25">
      <c r="A288" s="115" t="s">
        <v>4583</v>
      </c>
      <c r="B288" s="115" t="s">
        <v>4596</v>
      </c>
      <c r="C288" s="115" t="s">
        <v>4597</v>
      </c>
      <c r="D288" s="115" t="s">
        <v>1251</v>
      </c>
      <c r="E288" s="116">
        <v>3.28</v>
      </c>
      <c r="F288" s="115" t="s">
        <v>1250</v>
      </c>
      <c r="G288" s="115" t="s">
        <v>640</v>
      </c>
      <c r="H288" s="104">
        <v>2299</v>
      </c>
    </row>
    <row r="289" spans="1:8" x14ac:dyDescent="0.25">
      <c r="A289" s="115" t="s">
        <v>4583</v>
      </c>
      <c r="B289" s="115" t="s">
        <v>4598</v>
      </c>
      <c r="C289" s="115" t="s">
        <v>4599</v>
      </c>
      <c r="D289" s="115" t="s">
        <v>4600</v>
      </c>
      <c r="E289" s="116">
        <v>10</v>
      </c>
      <c r="F289" s="115" t="s">
        <v>4601</v>
      </c>
      <c r="G289" s="115" t="s">
        <v>640</v>
      </c>
      <c r="H289" s="104">
        <v>2300</v>
      </c>
    </row>
    <row r="290" spans="1:8" x14ac:dyDescent="0.25">
      <c r="A290" s="115" t="s">
        <v>4583</v>
      </c>
      <c r="B290" s="115" t="s">
        <v>4602</v>
      </c>
      <c r="C290" s="115" t="s">
        <v>4603</v>
      </c>
      <c r="D290" s="115" t="s">
        <v>4604</v>
      </c>
      <c r="E290" s="116">
        <v>2.63</v>
      </c>
      <c r="F290" s="115" t="s">
        <v>4605</v>
      </c>
      <c r="G290" s="115" t="s">
        <v>640</v>
      </c>
      <c r="H290" s="104">
        <v>2301</v>
      </c>
    </row>
    <row r="291" spans="1:8" x14ac:dyDescent="0.25">
      <c r="A291" s="115" t="s">
        <v>4583</v>
      </c>
      <c r="B291" s="115" t="s">
        <v>4606</v>
      </c>
      <c r="C291" s="115" t="s">
        <v>4607</v>
      </c>
      <c r="D291" s="115" t="s">
        <v>4608</v>
      </c>
      <c r="E291" s="116">
        <v>1.68</v>
      </c>
      <c r="F291" s="115" t="s">
        <v>4609</v>
      </c>
      <c r="G291" s="115" t="s">
        <v>640</v>
      </c>
      <c r="H291" s="104">
        <v>2302</v>
      </c>
    </row>
    <row r="292" spans="1:8" x14ac:dyDescent="0.25">
      <c r="A292" s="115" t="s">
        <v>4610</v>
      </c>
      <c r="B292" s="115" t="s">
        <v>4611</v>
      </c>
      <c r="C292" s="115" t="s">
        <v>4612</v>
      </c>
      <c r="D292" s="115" t="s">
        <v>997</v>
      </c>
      <c r="E292" s="116">
        <v>6.94</v>
      </c>
      <c r="F292" s="115" t="s">
        <v>996</v>
      </c>
      <c r="G292" s="115" t="s">
        <v>640</v>
      </c>
      <c r="H292" s="104">
        <v>2303</v>
      </c>
    </row>
    <row r="293" spans="1:8" x14ac:dyDescent="0.25">
      <c r="A293" s="115" t="s">
        <v>4610</v>
      </c>
      <c r="B293" s="115" t="s">
        <v>4613</v>
      </c>
      <c r="C293" s="115" t="s">
        <v>4614</v>
      </c>
      <c r="D293" s="115" t="s">
        <v>844</v>
      </c>
      <c r="E293" s="116">
        <v>1.76</v>
      </c>
      <c r="F293" s="115" t="s">
        <v>843</v>
      </c>
      <c r="G293" s="115" t="s">
        <v>640</v>
      </c>
      <c r="H293" s="104">
        <v>2304</v>
      </c>
    </row>
    <row r="294" spans="1:8" x14ac:dyDescent="0.25">
      <c r="A294" s="115" t="s">
        <v>4615</v>
      </c>
      <c r="B294" s="115" t="s">
        <v>4616</v>
      </c>
      <c r="C294" s="115" t="s">
        <v>4617</v>
      </c>
      <c r="D294" s="115" t="s">
        <v>4618</v>
      </c>
      <c r="E294" s="116">
        <v>4.57</v>
      </c>
      <c r="F294" s="115" t="s">
        <v>4619</v>
      </c>
      <c r="G294" s="115" t="s">
        <v>640</v>
      </c>
      <c r="H294" s="104">
        <v>2340</v>
      </c>
    </row>
    <row r="295" spans="1:8" x14ac:dyDescent="0.25">
      <c r="A295" s="115" t="s">
        <v>4615</v>
      </c>
      <c r="B295" s="115" t="s">
        <v>4620</v>
      </c>
      <c r="C295" s="115" t="s">
        <v>4621</v>
      </c>
      <c r="D295" s="115" t="s">
        <v>4622</v>
      </c>
      <c r="E295" s="116">
        <v>1.49</v>
      </c>
      <c r="F295" s="115" t="s">
        <v>4623</v>
      </c>
      <c r="G295" s="115" t="s">
        <v>640</v>
      </c>
      <c r="H295" s="104">
        <v>2341</v>
      </c>
    </row>
    <row r="296" spans="1:8" x14ac:dyDescent="0.25">
      <c r="A296" s="115" t="s">
        <v>4615</v>
      </c>
      <c r="B296" s="115" t="s">
        <v>4624</v>
      </c>
      <c r="C296" s="115" t="s">
        <v>4625</v>
      </c>
      <c r="D296" s="115" t="s">
        <v>4626</v>
      </c>
      <c r="E296" s="116">
        <v>4.72</v>
      </c>
      <c r="F296" s="115" t="s">
        <v>4627</v>
      </c>
      <c r="G296" s="115" t="s">
        <v>640</v>
      </c>
      <c r="H296" s="104">
        <v>2342</v>
      </c>
    </row>
    <row r="297" spans="1:8" x14ac:dyDescent="0.25">
      <c r="A297" s="115" t="s">
        <v>4615</v>
      </c>
      <c r="B297" s="115" t="s">
        <v>4628</v>
      </c>
      <c r="C297" s="115" t="s">
        <v>4629</v>
      </c>
      <c r="D297" s="115" t="s">
        <v>814</v>
      </c>
      <c r="E297" s="116">
        <v>2.34</v>
      </c>
      <c r="F297" s="115" t="s">
        <v>813</v>
      </c>
      <c r="G297" s="115" t="s">
        <v>640</v>
      </c>
      <c r="H297" s="104">
        <v>2343</v>
      </c>
    </row>
    <row r="298" spans="1:8" x14ac:dyDescent="0.25">
      <c r="A298" s="115" t="s">
        <v>4615</v>
      </c>
      <c r="B298" s="115" t="s">
        <v>4630</v>
      </c>
      <c r="C298" s="115" t="s">
        <v>4631</v>
      </c>
      <c r="D298" s="115" t="s">
        <v>4632</v>
      </c>
      <c r="E298" s="116">
        <v>8.08</v>
      </c>
      <c r="F298" s="115" t="s">
        <v>4633</v>
      </c>
      <c r="G298" s="115" t="s">
        <v>640</v>
      </c>
      <c r="H298" s="104">
        <v>2344</v>
      </c>
    </row>
    <row r="299" spans="1:8" x14ac:dyDescent="0.25">
      <c r="A299" s="115" t="s">
        <v>4615</v>
      </c>
      <c r="B299" s="115" t="s">
        <v>4634</v>
      </c>
      <c r="C299" s="115" t="s">
        <v>4635</v>
      </c>
      <c r="D299" s="115" t="s">
        <v>938</v>
      </c>
      <c r="E299" s="116">
        <v>1.68</v>
      </c>
      <c r="F299" s="115" t="s">
        <v>937</v>
      </c>
      <c r="G299" s="115" t="s">
        <v>640</v>
      </c>
      <c r="H299" s="104">
        <v>2345</v>
      </c>
    </row>
    <row r="300" spans="1:8" x14ac:dyDescent="0.25">
      <c r="A300" s="115" t="s">
        <v>4615</v>
      </c>
      <c r="B300" s="115" t="s">
        <v>4636</v>
      </c>
      <c r="C300" s="115" t="s">
        <v>4637</v>
      </c>
      <c r="D300" s="115" t="s">
        <v>4638</v>
      </c>
      <c r="E300" s="116">
        <v>5.57</v>
      </c>
      <c r="F300" s="115" t="s">
        <v>4639</v>
      </c>
      <c r="G300" s="115" t="s">
        <v>640</v>
      </c>
      <c r="H300" s="104">
        <v>2346</v>
      </c>
    </row>
    <row r="301" spans="1:8" x14ac:dyDescent="0.25">
      <c r="A301" s="115" t="s">
        <v>4615</v>
      </c>
      <c r="B301" s="115" t="s">
        <v>4640</v>
      </c>
      <c r="C301" s="115" t="s">
        <v>4641</v>
      </c>
      <c r="D301" s="115" t="s">
        <v>1483</v>
      </c>
      <c r="E301" s="116">
        <v>1.94</v>
      </c>
      <c r="F301" s="115" t="s">
        <v>1482</v>
      </c>
      <c r="G301" s="115" t="s">
        <v>640</v>
      </c>
      <c r="H301" s="104">
        <v>2347</v>
      </c>
    </row>
    <row r="302" spans="1:8" x14ac:dyDescent="0.25">
      <c r="A302" s="115" t="s">
        <v>4615</v>
      </c>
      <c r="B302" s="115" t="s">
        <v>4642</v>
      </c>
      <c r="C302" s="115" t="s">
        <v>4643</v>
      </c>
      <c r="D302" s="115" t="s">
        <v>4644</v>
      </c>
      <c r="E302" s="116">
        <v>6.99</v>
      </c>
      <c r="F302" s="115" t="s">
        <v>4645</v>
      </c>
      <c r="G302" s="115" t="s">
        <v>640</v>
      </c>
      <c r="H302" s="104">
        <v>2348</v>
      </c>
    </row>
    <row r="303" spans="1:8" x14ac:dyDescent="0.25">
      <c r="A303" s="115" t="s">
        <v>4615</v>
      </c>
      <c r="B303" s="115" t="s">
        <v>4646</v>
      </c>
      <c r="C303" s="115" t="s">
        <v>4647</v>
      </c>
      <c r="D303" s="115" t="s">
        <v>4146</v>
      </c>
      <c r="E303" s="116">
        <v>4.22</v>
      </c>
      <c r="F303" s="115" t="s">
        <v>4147</v>
      </c>
      <c r="G303" s="115" t="s">
        <v>640</v>
      </c>
      <c r="H303" s="104" t="s">
        <v>4648</v>
      </c>
    </row>
    <row r="304" spans="1:8" x14ac:dyDescent="0.25">
      <c r="A304" s="115" t="s">
        <v>4615</v>
      </c>
      <c r="B304" s="115" t="s">
        <v>4649</v>
      </c>
      <c r="C304" s="115" t="s">
        <v>4650</v>
      </c>
      <c r="D304" s="115" t="s">
        <v>4651</v>
      </c>
      <c r="E304" s="116">
        <v>2.0699999999999998</v>
      </c>
      <c r="F304" s="115" t="s">
        <v>4652</v>
      </c>
      <c r="G304" s="115" t="s">
        <v>640</v>
      </c>
      <c r="H304" s="104">
        <v>2349</v>
      </c>
    </row>
    <row r="305" spans="1:8" x14ac:dyDescent="0.25">
      <c r="A305" s="115" t="s">
        <v>4615</v>
      </c>
      <c r="B305" s="115" t="s">
        <v>4653</v>
      </c>
      <c r="C305" s="115" t="s">
        <v>4654</v>
      </c>
      <c r="D305" s="115" t="s">
        <v>1361</v>
      </c>
      <c r="E305" s="116">
        <v>12.3</v>
      </c>
      <c r="F305" s="115" t="s">
        <v>1360</v>
      </c>
      <c r="G305" s="115" t="s">
        <v>640</v>
      </c>
      <c r="H305" s="104">
        <v>2350</v>
      </c>
    </row>
    <row r="306" spans="1:8" x14ac:dyDescent="0.25">
      <c r="A306" s="115" t="s">
        <v>4615</v>
      </c>
      <c r="B306" s="115" t="s">
        <v>4655</v>
      </c>
      <c r="C306" s="115" t="s">
        <v>4656</v>
      </c>
      <c r="D306" s="115" t="s">
        <v>4657</v>
      </c>
      <c r="E306" s="116">
        <v>2.16</v>
      </c>
      <c r="F306" s="115" t="s">
        <v>4658</v>
      </c>
      <c r="G306" s="115" t="s">
        <v>640</v>
      </c>
      <c r="H306" s="104">
        <v>2351</v>
      </c>
    </row>
    <row r="307" spans="1:8" x14ac:dyDescent="0.25">
      <c r="A307" s="115" t="s">
        <v>4615</v>
      </c>
      <c r="B307" s="115" t="s">
        <v>4659</v>
      </c>
      <c r="C307" s="115" t="s">
        <v>4660</v>
      </c>
      <c r="D307" s="115" t="s">
        <v>792</v>
      </c>
      <c r="E307" s="116">
        <v>7.45</v>
      </c>
      <c r="F307" s="115" t="s">
        <v>791</v>
      </c>
      <c r="G307" s="115" t="s">
        <v>640</v>
      </c>
      <c r="H307" s="104">
        <v>2352</v>
      </c>
    </row>
    <row r="308" spans="1:8" x14ac:dyDescent="0.25">
      <c r="A308" s="115" t="s">
        <v>4615</v>
      </c>
      <c r="B308" s="115" t="s">
        <v>4661</v>
      </c>
      <c r="C308" s="115" t="s">
        <v>4662</v>
      </c>
      <c r="D308" s="115" t="s">
        <v>1255</v>
      </c>
      <c r="E308" s="116">
        <v>7.36</v>
      </c>
      <c r="F308" s="115" t="s">
        <v>1254</v>
      </c>
      <c r="G308" s="115" t="s">
        <v>640</v>
      </c>
      <c r="H308" s="104">
        <v>2353</v>
      </c>
    </row>
    <row r="309" spans="1:8" x14ac:dyDescent="0.25">
      <c r="A309" s="115" t="s">
        <v>4615</v>
      </c>
      <c r="B309" s="115" t="s">
        <v>4663</v>
      </c>
      <c r="C309" s="115" t="s">
        <v>4664</v>
      </c>
      <c r="D309" s="115" t="s">
        <v>4665</v>
      </c>
      <c r="E309" s="116">
        <v>5.36</v>
      </c>
      <c r="F309" s="115" t="s">
        <v>4666</v>
      </c>
      <c r="G309" s="115" t="s">
        <v>640</v>
      </c>
      <c r="H309" s="104">
        <v>2354</v>
      </c>
    </row>
    <row r="310" spans="1:8" x14ac:dyDescent="0.25">
      <c r="A310" s="115" t="s">
        <v>4667</v>
      </c>
      <c r="B310" s="115" t="s">
        <v>4668</v>
      </c>
      <c r="C310" s="115" t="s">
        <v>4669</v>
      </c>
      <c r="D310" s="115" t="s">
        <v>4670</v>
      </c>
      <c r="E310" s="116">
        <v>7.01</v>
      </c>
      <c r="F310" s="115" t="s">
        <v>4671</v>
      </c>
      <c r="G310" s="115" t="s">
        <v>640</v>
      </c>
      <c r="H310" s="104">
        <v>2384</v>
      </c>
    </row>
    <row r="311" spans="1:8" x14ac:dyDescent="0.25">
      <c r="A311" s="115" t="s">
        <v>4667</v>
      </c>
      <c r="B311" s="115" t="s">
        <v>4672</v>
      </c>
      <c r="C311" s="115" t="s">
        <v>4673</v>
      </c>
      <c r="D311" s="115" t="s">
        <v>1275</v>
      </c>
      <c r="E311" s="116">
        <v>7.82</v>
      </c>
      <c r="F311" s="115" t="s">
        <v>1274</v>
      </c>
      <c r="G311" s="115" t="s">
        <v>640</v>
      </c>
      <c r="H311" s="104">
        <v>2385</v>
      </c>
    </row>
    <row r="312" spans="1:8" x14ac:dyDescent="0.25">
      <c r="A312" s="115" t="s">
        <v>4667</v>
      </c>
      <c r="B312" s="115" t="s">
        <v>4674</v>
      </c>
      <c r="C312" s="115" t="s">
        <v>4675</v>
      </c>
      <c r="D312" s="115" t="s">
        <v>4676</v>
      </c>
      <c r="E312" s="116">
        <v>9.83</v>
      </c>
      <c r="F312" s="115" t="s">
        <v>4677</v>
      </c>
      <c r="G312" s="115" t="s">
        <v>640</v>
      </c>
      <c r="H312" s="104">
        <v>2386</v>
      </c>
    </row>
    <row r="313" spans="1:8" x14ac:dyDescent="0.25">
      <c r="A313" s="115" t="s">
        <v>4667</v>
      </c>
      <c r="B313" s="115" t="s">
        <v>4678</v>
      </c>
      <c r="C313" s="115" t="s">
        <v>4679</v>
      </c>
      <c r="D313" s="115" t="s">
        <v>4680</v>
      </c>
      <c r="E313" s="116">
        <v>23.57</v>
      </c>
      <c r="F313" s="115" t="s">
        <v>4681</v>
      </c>
      <c r="G313" s="115" t="s">
        <v>640</v>
      </c>
      <c r="H313" s="104">
        <v>2387</v>
      </c>
    </row>
    <row r="314" spans="1:8" x14ac:dyDescent="0.25">
      <c r="A314" s="115" t="s">
        <v>4667</v>
      </c>
      <c r="B314" s="115" t="s">
        <v>4682</v>
      </c>
      <c r="C314" s="115" t="s">
        <v>4683</v>
      </c>
      <c r="D314" s="115" t="s">
        <v>1164</v>
      </c>
      <c r="E314" s="116">
        <v>4.2</v>
      </c>
      <c r="F314" s="115" t="s">
        <v>1163</v>
      </c>
      <c r="G314" s="115" t="s">
        <v>640</v>
      </c>
      <c r="H314" s="104">
        <v>2388</v>
      </c>
    </row>
    <row r="315" spans="1:8" x14ac:dyDescent="0.25">
      <c r="A315" s="115" t="s">
        <v>4667</v>
      </c>
      <c r="B315" s="115" t="s">
        <v>4684</v>
      </c>
      <c r="C315" s="115" t="s">
        <v>4685</v>
      </c>
      <c r="D315" s="115" t="s">
        <v>780</v>
      </c>
      <c r="E315" s="116">
        <v>3.47</v>
      </c>
      <c r="F315" s="115" t="s">
        <v>779</v>
      </c>
      <c r="G315" s="115" t="s">
        <v>640</v>
      </c>
      <c r="H315" s="104">
        <v>2389</v>
      </c>
    </row>
    <row r="316" spans="1:8" x14ac:dyDescent="0.25">
      <c r="A316" s="115" t="s">
        <v>4667</v>
      </c>
      <c r="B316" s="115" t="s">
        <v>4686</v>
      </c>
      <c r="C316" s="115" t="s">
        <v>4687</v>
      </c>
      <c r="D316" s="115" t="s">
        <v>1210</v>
      </c>
      <c r="E316" s="116">
        <v>15.96</v>
      </c>
      <c r="F316" s="115" t="s">
        <v>1209</v>
      </c>
      <c r="G316" s="115" t="s">
        <v>640</v>
      </c>
      <c r="H316" s="104">
        <v>2390</v>
      </c>
    </row>
    <row r="317" spans="1:8" x14ac:dyDescent="0.25">
      <c r="A317" s="115" t="s">
        <v>4667</v>
      </c>
      <c r="B317" s="115" t="s">
        <v>4688</v>
      </c>
      <c r="C317" s="115" t="s">
        <v>4689</v>
      </c>
      <c r="D317" s="115" t="s">
        <v>4690</v>
      </c>
      <c r="E317" s="116">
        <v>4.0199999999999996</v>
      </c>
      <c r="F317" s="115" t="s">
        <v>4691</v>
      </c>
      <c r="G317" s="115" t="s">
        <v>640</v>
      </c>
      <c r="H317" s="104">
        <v>2391</v>
      </c>
    </row>
    <row r="318" spans="1:8" x14ac:dyDescent="0.25">
      <c r="A318" s="115" t="s">
        <v>4667</v>
      </c>
      <c r="B318" s="115" t="s">
        <v>4692</v>
      </c>
      <c r="C318" s="115" t="s">
        <v>4693</v>
      </c>
      <c r="D318" s="115" t="s">
        <v>3605</v>
      </c>
      <c r="E318" s="116">
        <v>8.5</v>
      </c>
      <c r="F318" s="115" t="s">
        <v>3606</v>
      </c>
      <c r="G318" s="115" t="s">
        <v>640</v>
      </c>
      <c r="H318" s="104">
        <v>2392</v>
      </c>
    </row>
    <row r="319" spans="1:8" x14ac:dyDescent="0.25">
      <c r="A319" s="115" t="s">
        <v>4667</v>
      </c>
      <c r="B319" s="115" t="s">
        <v>4694</v>
      </c>
      <c r="C319" s="115" t="s">
        <v>4695</v>
      </c>
      <c r="D319" s="115" t="s">
        <v>4696</v>
      </c>
      <c r="E319" s="116">
        <v>21.55</v>
      </c>
      <c r="F319" s="115" t="s">
        <v>4697</v>
      </c>
      <c r="G319" s="115" t="s">
        <v>640</v>
      </c>
      <c r="H319" s="104">
        <v>2393</v>
      </c>
    </row>
    <row r="320" spans="1:8" x14ac:dyDescent="0.25">
      <c r="A320" s="115" t="s">
        <v>4667</v>
      </c>
      <c r="B320" s="115" t="s">
        <v>4698</v>
      </c>
      <c r="C320" s="115" t="s">
        <v>4699</v>
      </c>
      <c r="D320" s="115" t="s">
        <v>1433</v>
      </c>
      <c r="E320" s="116">
        <v>1.89</v>
      </c>
      <c r="F320" s="115" t="s">
        <v>1432</v>
      </c>
      <c r="G320" s="115" t="s">
        <v>640</v>
      </c>
      <c r="H320" s="104">
        <v>2394</v>
      </c>
    </row>
    <row r="321" spans="1:8" x14ac:dyDescent="0.25">
      <c r="A321" s="115" t="s">
        <v>4667</v>
      </c>
      <c r="B321" s="115" t="s">
        <v>4700</v>
      </c>
      <c r="C321" s="115" t="s">
        <v>4701</v>
      </c>
      <c r="D321" s="115" t="s">
        <v>970</v>
      </c>
      <c r="E321" s="116">
        <v>8.3800000000000008</v>
      </c>
      <c r="F321" s="115" t="s">
        <v>969</v>
      </c>
      <c r="G321" s="115" t="s">
        <v>640</v>
      </c>
      <c r="H321" s="104" t="s">
        <v>4702</v>
      </c>
    </row>
    <row r="322" spans="1:8" x14ac:dyDescent="0.25">
      <c r="A322" s="115" t="s">
        <v>4667</v>
      </c>
      <c r="B322" s="115" t="s">
        <v>4703</v>
      </c>
      <c r="C322" s="115" t="s">
        <v>4704</v>
      </c>
      <c r="D322" s="115" t="s">
        <v>784</v>
      </c>
      <c r="E322" s="116">
        <v>2.73</v>
      </c>
      <c r="F322" s="115" t="s">
        <v>783</v>
      </c>
      <c r="G322" s="115" t="s">
        <v>640</v>
      </c>
      <c r="H322" s="104">
        <v>2395</v>
      </c>
    </row>
    <row r="323" spans="1:8" x14ac:dyDescent="0.25">
      <c r="A323" s="115" t="s">
        <v>4667</v>
      </c>
      <c r="B323" s="115" t="s">
        <v>4705</v>
      </c>
      <c r="C323" s="115" t="s">
        <v>4706</v>
      </c>
      <c r="D323" s="115" t="s">
        <v>4707</v>
      </c>
      <c r="E323" s="116">
        <v>1.76</v>
      </c>
      <c r="F323" s="115" t="s">
        <v>4708</v>
      </c>
      <c r="G323" s="115" t="s">
        <v>640</v>
      </c>
      <c r="H323" s="104">
        <v>2396</v>
      </c>
    </row>
    <row r="324" spans="1:8" x14ac:dyDescent="0.25">
      <c r="A324" s="115" t="s">
        <v>4667</v>
      </c>
      <c r="B324" s="115" t="s">
        <v>4709</v>
      </c>
      <c r="C324" s="115" t="s">
        <v>4710</v>
      </c>
      <c r="D324" s="115" t="s">
        <v>857</v>
      </c>
      <c r="E324" s="116">
        <v>1.68</v>
      </c>
      <c r="F324" s="115" t="s">
        <v>856</v>
      </c>
      <c r="G324" s="115" t="s">
        <v>640</v>
      </c>
      <c r="H324" s="104">
        <v>2397</v>
      </c>
    </row>
    <row r="325" spans="1:8" x14ac:dyDescent="0.25">
      <c r="A325" s="115" t="s">
        <v>4667</v>
      </c>
      <c r="B325" s="115" t="s">
        <v>4171</v>
      </c>
      <c r="C325" s="115" t="s">
        <v>4711</v>
      </c>
      <c r="D325" s="115" t="s">
        <v>646</v>
      </c>
      <c r="E325" s="116">
        <v>4.66</v>
      </c>
      <c r="F325" s="115" t="s">
        <v>645</v>
      </c>
      <c r="G325" s="115" t="s">
        <v>640</v>
      </c>
      <c r="H325" s="104">
        <v>2398</v>
      </c>
    </row>
    <row r="326" spans="1:8" x14ac:dyDescent="0.25">
      <c r="A326" s="115"/>
      <c r="B326" s="115"/>
      <c r="C326" s="115"/>
      <c r="D326" s="118" t="s">
        <v>3579</v>
      </c>
      <c r="E326" s="119">
        <f>SUM(E262:E325)</f>
        <v>502.36000000000007</v>
      </c>
      <c r="F326" s="115"/>
      <c r="G326" s="115"/>
      <c r="H326" s="104"/>
    </row>
    <row r="327" spans="1:8" x14ac:dyDescent="0.25">
      <c r="A327" s="115"/>
      <c r="B327" s="115"/>
      <c r="C327" s="115"/>
      <c r="D327" s="115"/>
      <c r="E327" s="116"/>
      <c r="F327" s="115"/>
      <c r="G327" s="115"/>
      <c r="H327" s="104"/>
    </row>
    <row r="328" spans="1:8" x14ac:dyDescent="0.25">
      <c r="A328" s="115" t="s">
        <v>4712</v>
      </c>
      <c r="B328" s="115" t="s">
        <v>4713</v>
      </c>
      <c r="C328" s="115" t="s">
        <v>4714</v>
      </c>
      <c r="D328" s="115" t="s">
        <v>4715</v>
      </c>
      <c r="E328" s="116">
        <v>16.079999999999998</v>
      </c>
      <c r="F328" s="115" t="s">
        <v>4716</v>
      </c>
      <c r="G328" s="115" t="s">
        <v>640</v>
      </c>
      <c r="H328" s="104">
        <v>2422</v>
      </c>
    </row>
    <row r="329" spans="1:8" x14ac:dyDescent="0.25">
      <c r="A329" s="115" t="s">
        <v>4712</v>
      </c>
      <c r="B329" s="115" t="s">
        <v>4717</v>
      </c>
      <c r="C329" s="115" t="s">
        <v>4718</v>
      </c>
      <c r="D329" s="115" t="s">
        <v>4719</v>
      </c>
      <c r="E329" s="116">
        <v>7.53</v>
      </c>
      <c r="F329" s="115" t="s">
        <v>4720</v>
      </c>
      <c r="G329" s="115" t="s">
        <v>640</v>
      </c>
      <c r="H329" s="104">
        <v>2423</v>
      </c>
    </row>
    <row r="330" spans="1:8" x14ac:dyDescent="0.25">
      <c r="A330" s="115" t="s">
        <v>4712</v>
      </c>
      <c r="B330" s="115" t="s">
        <v>4721</v>
      </c>
      <c r="C330" s="115" t="s">
        <v>4722</v>
      </c>
      <c r="D330" s="115" t="s">
        <v>855</v>
      </c>
      <c r="E330" s="116">
        <v>10.56</v>
      </c>
      <c r="F330" s="115" t="s">
        <v>854</v>
      </c>
      <c r="G330" s="115" t="s">
        <v>640</v>
      </c>
      <c r="H330" s="104">
        <v>2424</v>
      </c>
    </row>
    <row r="331" spans="1:8" x14ac:dyDescent="0.25">
      <c r="A331" s="115" t="s">
        <v>4712</v>
      </c>
      <c r="B331" s="115" t="s">
        <v>4723</v>
      </c>
      <c r="C331" s="115" t="s">
        <v>4724</v>
      </c>
      <c r="D331" s="115" t="s">
        <v>2945</v>
      </c>
      <c r="E331" s="116">
        <v>5.76</v>
      </c>
      <c r="F331" s="115" t="s">
        <v>2946</v>
      </c>
      <c r="G331" s="115" t="s">
        <v>640</v>
      </c>
      <c r="H331" s="104">
        <v>2425</v>
      </c>
    </row>
    <row r="332" spans="1:8" x14ac:dyDescent="0.25">
      <c r="A332" s="115" t="s">
        <v>4712</v>
      </c>
      <c r="B332" s="115" t="s">
        <v>4725</v>
      </c>
      <c r="C332" s="115" t="s">
        <v>4726</v>
      </c>
      <c r="D332" s="115" t="s">
        <v>1009</v>
      </c>
      <c r="E332" s="116">
        <v>8.8699999999999992</v>
      </c>
      <c r="F332" s="115" t="s">
        <v>1008</v>
      </c>
      <c r="G332" s="115" t="s">
        <v>640</v>
      </c>
      <c r="H332" s="104">
        <v>2426</v>
      </c>
    </row>
    <row r="333" spans="1:8" x14ac:dyDescent="0.25">
      <c r="A333" s="115" t="s">
        <v>4712</v>
      </c>
      <c r="B333" s="115" t="s">
        <v>4727</v>
      </c>
      <c r="C333" s="115" t="s">
        <v>4728</v>
      </c>
      <c r="D333" s="115" t="s">
        <v>4729</v>
      </c>
      <c r="E333" s="116">
        <v>4.74</v>
      </c>
      <c r="F333" s="115" t="s">
        <v>4730</v>
      </c>
      <c r="G333" s="115" t="s">
        <v>640</v>
      </c>
      <c r="H333" s="104">
        <v>2427</v>
      </c>
    </row>
    <row r="334" spans="1:8" x14ac:dyDescent="0.25">
      <c r="A334" s="115" t="s">
        <v>4712</v>
      </c>
      <c r="B334" s="115" t="s">
        <v>4731</v>
      </c>
      <c r="C334" s="115" t="s">
        <v>4732</v>
      </c>
      <c r="D334" s="115" t="s">
        <v>2919</v>
      </c>
      <c r="E334" s="116">
        <v>1.93</v>
      </c>
      <c r="F334" s="115" t="s">
        <v>2920</v>
      </c>
      <c r="G334" s="115" t="s">
        <v>640</v>
      </c>
      <c r="H334" s="104">
        <v>2428</v>
      </c>
    </row>
    <row r="335" spans="1:8" x14ac:dyDescent="0.25">
      <c r="A335" s="115" t="s">
        <v>4712</v>
      </c>
      <c r="B335" s="115" t="s">
        <v>4733</v>
      </c>
      <c r="C335" s="115" t="s">
        <v>4734</v>
      </c>
      <c r="D335" s="115" t="s">
        <v>4735</v>
      </c>
      <c r="E335" s="116">
        <v>6.08</v>
      </c>
      <c r="F335" s="115" t="s">
        <v>4736</v>
      </c>
      <c r="G335" s="115" t="s">
        <v>640</v>
      </c>
      <c r="H335" s="104">
        <v>2429</v>
      </c>
    </row>
    <row r="336" spans="1:8" x14ac:dyDescent="0.25">
      <c r="A336" s="115" t="s">
        <v>4712</v>
      </c>
      <c r="B336" s="115" t="s">
        <v>4737</v>
      </c>
      <c r="C336" s="115" t="s">
        <v>4738</v>
      </c>
      <c r="D336" s="115" t="s">
        <v>4739</v>
      </c>
      <c r="E336" s="116">
        <v>22.38</v>
      </c>
      <c r="F336" s="115" t="s">
        <v>4740</v>
      </c>
      <c r="G336" s="115" t="s">
        <v>640</v>
      </c>
      <c r="H336" s="104">
        <v>2430</v>
      </c>
    </row>
    <row r="337" spans="1:8" x14ac:dyDescent="0.25">
      <c r="A337" s="115" t="s">
        <v>4712</v>
      </c>
      <c r="B337" s="115" t="s">
        <v>4741</v>
      </c>
      <c r="C337" s="115" t="s">
        <v>4742</v>
      </c>
      <c r="D337" s="115" t="s">
        <v>4743</v>
      </c>
      <c r="E337" s="116">
        <v>25.14</v>
      </c>
      <c r="F337" s="115" t="s">
        <v>4744</v>
      </c>
      <c r="G337" s="115" t="s">
        <v>640</v>
      </c>
      <c r="H337" s="104">
        <v>2431</v>
      </c>
    </row>
    <row r="338" spans="1:8" x14ac:dyDescent="0.25">
      <c r="A338" s="115" t="s">
        <v>4712</v>
      </c>
      <c r="B338" s="115" t="s">
        <v>4745</v>
      </c>
      <c r="C338" s="115" t="s">
        <v>4746</v>
      </c>
      <c r="D338" s="115" t="s">
        <v>778</v>
      </c>
      <c r="E338" s="116">
        <v>8.08</v>
      </c>
      <c r="F338" s="115" t="s">
        <v>777</v>
      </c>
      <c r="G338" s="115" t="s">
        <v>640</v>
      </c>
      <c r="H338" s="104">
        <v>2432</v>
      </c>
    </row>
    <row r="339" spans="1:8" x14ac:dyDescent="0.25">
      <c r="A339" s="115" t="s">
        <v>4712</v>
      </c>
      <c r="B339" s="115" t="s">
        <v>4747</v>
      </c>
      <c r="C339" s="115" t="s">
        <v>4748</v>
      </c>
      <c r="D339" s="115" t="s">
        <v>4049</v>
      </c>
      <c r="E339" s="116">
        <v>13.82</v>
      </c>
      <c r="F339" s="115" t="s">
        <v>4050</v>
      </c>
      <c r="G339" s="115" t="s">
        <v>640</v>
      </c>
      <c r="H339" s="104" t="s">
        <v>4749</v>
      </c>
    </row>
    <row r="340" spans="1:8" x14ac:dyDescent="0.25">
      <c r="A340" s="115" t="s">
        <v>4712</v>
      </c>
      <c r="B340" s="115" t="s">
        <v>4750</v>
      </c>
      <c r="C340" s="115" t="s">
        <v>4751</v>
      </c>
      <c r="D340" s="115" t="s">
        <v>1176</v>
      </c>
      <c r="E340" s="116">
        <v>2.2400000000000002</v>
      </c>
      <c r="F340" s="115" t="s">
        <v>1175</v>
      </c>
      <c r="G340" s="115" t="s">
        <v>640</v>
      </c>
      <c r="H340" s="104">
        <v>2433</v>
      </c>
    </row>
    <row r="341" spans="1:8" x14ac:dyDescent="0.25">
      <c r="A341" s="115" t="s">
        <v>4752</v>
      </c>
      <c r="B341" s="115" t="s">
        <v>4753</v>
      </c>
      <c r="C341" s="115" t="s">
        <v>4754</v>
      </c>
      <c r="D341" s="115" t="s">
        <v>4755</v>
      </c>
      <c r="E341" s="116">
        <v>2.76</v>
      </c>
      <c r="F341" s="115" t="s">
        <v>4756</v>
      </c>
      <c r="G341" s="115" t="s">
        <v>640</v>
      </c>
      <c r="H341" s="104">
        <v>2434</v>
      </c>
    </row>
    <row r="342" spans="1:8" x14ac:dyDescent="0.25">
      <c r="A342" s="115" t="s">
        <v>4752</v>
      </c>
      <c r="B342" s="115" t="s">
        <v>4757</v>
      </c>
      <c r="C342" s="115" t="s">
        <v>4758</v>
      </c>
      <c r="D342" s="115" t="s">
        <v>1038</v>
      </c>
      <c r="E342" s="116">
        <v>8.86</v>
      </c>
      <c r="F342" s="115" t="s">
        <v>1037</v>
      </c>
      <c r="G342" s="115" t="s">
        <v>640</v>
      </c>
      <c r="H342" s="104">
        <v>2435</v>
      </c>
    </row>
    <row r="343" spans="1:8" x14ac:dyDescent="0.25">
      <c r="A343" s="115" t="s">
        <v>4752</v>
      </c>
      <c r="B343" s="115" t="s">
        <v>4759</v>
      </c>
      <c r="C343" s="115" t="s">
        <v>4760</v>
      </c>
      <c r="D343" s="115" t="s">
        <v>794</v>
      </c>
      <c r="E343" s="116">
        <v>8.3800000000000008</v>
      </c>
      <c r="F343" s="115" t="s">
        <v>793</v>
      </c>
      <c r="G343" s="115" t="s">
        <v>640</v>
      </c>
      <c r="H343" s="104">
        <v>2436</v>
      </c>
    </row>
    <row r="344" spans="1:8" x14ac:dyDescent="0.25">
      <c r="A344" s="115" t="s">
        <v>4752</v>
      </c>
      <c r="B344" s="115" t="s">
        <v>4761</v>
      </c>
      <c r="C344" s="115" t="s">
        <v>4762</v>
      </c>
      <c r="D344" s="115" t="s">
        <v>4763</v>
      </c>
      <c r="E344" s="116">
        <v>19.68</v>
      </c>
      <c r="F344" s="115" t="s">
        <v>4764</v>
      </c>
      <c r="G344" s="115" t="s">
        <v>640</v>
      </c>
      <c r="H344" s="104">
        <v>2437</v>
      </c>
    </row>
    <row r="345" spans="1:8" x14ac:dyDescent="0.25">
      <c r="A345" s="115" t="s">
        <v>4752</v>
      </c>
      <c r="B345" s="115" t="s">
        <v>4765</v>
      </c>
      <c r="C345" s="115" t="s">
        <v>4766</v>
      </c>
      <c r="D345" s="115" t="s">
        <v>956</v>
      </c>
      <c r="E345" s="116">
        <v>6.08</v>
      </c>
      <c r="F345" s="115" t="s">
        <v>955</v>
      </c>
      <c r="G345" s="115" t="s">
        <v>640</v>
      </c>
      <c r="H345" s="104">
        <v>2438</v>
      </c>
    </row>
    <row r="346" spans="1:8" x14ac:dyDescent="0.25">
      <c r="A346" s="115" t="s">
        <v>4752</v>
      </c>
      <c r="B346" s="115" t="s">
        <v>4767</v>
      </c>
      <c r="C346" s="115" t="s">
        <v>4768</v>
      </c>
      <c r="D346" s="115" t="s">
        <v>4769</v>
      </c>
      <c r="E346" s="116">
        <v>4.6500000000000004</v>
      </c>
      <c r="F346" s="115" t="s">
        <v>4770</v>
      </c>
      <c r="G346" s="115" t="s">
        <v>640</v>
      </c>
      <c r="H346" s="104">
        <v>2439</v>
      </c>
    </row>
    <row r="347" spans="1:8" x14ac:dyDescent="0.25">
      <c r="A347" s="115" t="s">
        <v>4771</v>
      </c>
      <c r="B347" s="115" t="s">
        <v>4772</v>
      </c>
      <c r="C347" s="115" t="s">
        <v>4773</v>
      </c>
      <c r="D347" s="115" t="s">
        <v>4774</v>
      </c>
      <c r="E347" s="116">
        <v>8.3800000000000008</v>
      </c>
      <c r="F347" s="115" t="s">
        <v>4775</v>
      </c>
      <c r="G347" s="115" t="s">
        <v>640</v>
      </c>
      <c r="H347" s="104">
        <v>2440</v>
      </c>
    </row>
    <row r="348" spans="1:8" x14ac:dyDescent="0.25">
      <c r="A348" s="115" t="s">
        <v>4771</v>
      </c>
      <c r="B348" s="115" t="s">
        <v>4776</v>
      </c>
      <c r="C348" s="115" t="s">
        <v>4777</v>
      </c>
      <c r="D348" s="115" t="s">
        <v>861</v>
      </c>
      <c r="E348" s="116">
        <v>2.0699999999999998</v>
      </c>
      <c r="F348" s="115" t="s">
        <v>860</v>
      </c>
      <c r="G348" s="115" t="s">
        <v>640</v>
      </c>
      <c r="H348" s="104">
        <v>2441</v>
      </c>
    </row>
    <row r="349" spans="1:8" x14ac:dyDescent="0.25">
      <c r="A349" s="115" t="s">
        <v>4771</v>
      </c>
      <c r="B349" s="115" t="s">
        <v>4778</v>
      </c>
      <c r="C349" s="115" t="s">
        <v>4779</v>
      </c>
      <c r="D349" s="115" t="s">
        <v>4780</v>
      </c>
      <c r="E349" s="116">
        <v>9.86</v>
      </c>
      <c r="F349" s="115" t="s">
        <v>4781</v>
      </c>
      <c r="G349" s="115" t="s">
        <v>640</v>
      </c>
      <c r="H349" s="104">
        <v>2456</v>
      </c>
    </row>
    <row r="350" spans="1:8" x14ac:dyDescent="0.25">
      <c r="A350" s="115" t="s">
        <v>4782</v>
      </c>
      <c r="B350" s="115" t="s">
        <v>4783</v>
      </c>
      <c r="C350" s="115" t="s">
        <v>4784</v>
      </c>
      <c r="D350" s="115" t="s">
        <v>4785</v>
      </c>
      <c r="E350" s="116">
        <v>9.01</v>
      </c>
      <c r="F350" s="115" t="s">
        <v>4786</v>
      </c>
      <c r="G350" s="115" t="s">
        <v>640</v>
      </c>
      <c r="H350" s="104">
        <v>2477</v>
      </c>
    </row>
    <row r="351" spans="1:8" x14ac:dyDescent="0.25">
      <c r="A351" s="115" t="s">
        <v>4782</v>
      </c>
      <c r="B351" s="115" t="s">
        <v>4787</v>
      </c>
      <c r="C351" s="115" t="s">
        <v>4788</v>
      </c>
      <c r="D351" s="115" t="s">
        <v>4789</v>
      </c>
      <c r="E351" s="116">
        <v>13.96</v>
      </c>
      <c r="F351" s="115" t="s">
        <v>4790</v>
      </c>
      <c r="G351" s="115" t="s">
        <v>640</v>
      </c>
      <c r="H351" s="104">
        <v>2478</v>
      </c>
    </row>
    <row r="352" spans="1:8" x14ac:dyDescent="0.25">
      <c r="A352" s="115" t="s">
        <v>4782</v>
      </c>
      <c r="B352" s="115" t="s">
        <v>4791</v>
      </c>
      <c r="C352" s="115" t="s">
        <v>4792</v>
      </c>
      <c r="D352" s="115" t="s">
        <v>1289</v>
      </c>
      <c r="E352" s="116">
        <v>9.49</v>
      </c>
      <c r="F352" s="115" t="s">
        <v>1288</v>
      </c>
      <c r="G352" s="115" t="s">
        <v>640</v>
      </c>
      <c r="H352" s="104">
        <v>2479</v>
      </c>
    </row>
    <row r="353" spans="1:8" x14ac:dyDescent="0.25">
      <c r="A353" s="115" t="s">
        <v>4782</v>
      </c>
      <c r="B353" s="115" t="s">
        <v>4793</v>
      </c>
      <c r="C353" s="115" t="s">
        <v>4794</v>
      </c>
      <c r="D353" s="115" t="s">
        <v>913</v>
      </c>
      <c r="E353" s="116">
        <v>6.94</v>
      </c>
      <c r="F353" s="115" t="s">
        <v>912</v>
      </c>
      <c r="G353" s="115" t="s">
        <v>640</v>
      </c>
      <c r="H353" s="104">
        <v>2480</v>
      </c>
    </row>
    <row r="354" spans="1:8" x14ac:dyDescent="0.25">
      <c r="A354" s="115" t="s">
        <v>4782</v>
      </c>
      <c r="B354" s="115" t="s">
        <v>4795</v>
      </c>
      <c r="C354" s="115" t="s">
        <v>4796</v>
      </c>
      <c r="D354" s="115" t="s">
        <v>4797</v>
      </c>
      <c r="E354" s="116">
        <v>1.23</v>
      </c>
      <c r="F354" s="115" t="s">
        <v>4798</v>
      </c>
      <c r="G354" s="115" t="s">
        <v>640</v>
      </c>
      <c r="H354" s="104">
        <v>2481</v>
      </c>
    </row>
    <row r="355" spans="1:8" x14ac:dyDescent="0.25">
      <c r="A355" s="115" t="s">
        <v>4782</v>
      </c>
      <c r="B355" s="115" t="s">
        <v>4799</v>
      </c>
      <c r="C355" s="115" t="s">
        <v>4800</v>
      </c>
      <c r="D355" s="115" t="s">
        <v>4801</v>
      </c>
      <c r="E355" s="116">
        <v>3.36</v>
      </c>
      <c r="F355" s="115" t="s">
        <v>4802</v>
      </c>
      <c r="G355" s="115" t="s">
        <v>640</v>
      </c>
      <c r="H355" s="104">
        <v>2482</v>
      </c>
    </row>
    <row r="356" spans="1:8" x14ac:dyDescent="0.25">
      <c r="A356" s="115" t="s">
        <v>4782</v>
      </c>
      <c r="B356" s="115" t="s">
        <v>4803</v>
      </c>
      <c r="C356" s="115" t="s">
        <v>4804</v>
      </c>
      <c r="D356" s="115" t="s">
        <v>1450</v>
      </c>
      <c r="E356" s="116">
        <v>5.79</v>
      </c>
      <c r="F356" s="115" t="s">
        <v>1449</v>
      </c>
      <c r="G356" s="115" t="s">
        <v>640</v>
      </c>
      <c r="H356" s="104">
        <v>2483</v>
      </c>
    </row>
    <row r="357" spans="1:8" x14ac:dyDescent="0.25">
      <c r="A357" s="115" t="s">
        <v>4782</v>
      </c>
      <c r="B357" s="115" t="s">
        <v>4805</v>
      </c>
      <c r="C357" s="115" t="s">
        <v>4806</v>
      </c>
      <c r="D357" s="115" t="s">
        <v>4807</v>
      </c>
      <c r="E357" s="116">
        <v>16.760000000000002</v>
      </c>
      <c r="F357" s="115" t="s">
        <v>4808</v>
      </c>
      <c r="G357" s="115" t="s">
        <v>640</v>
      </c>
      <c r="H357" s="104">
        <v>2484</v>
      </c>
    </row>
    <row r="358" spans="1:8" x14ac:dyDescent="0.25">
      <c r="A358" s="115" t="s">
        <v>4782</v>
      </c>
      <c r="B358" s="115" t="s">
        <v>4809</v>
      </c>
      <c r="C358" s="115" t="s">
        <v>4810</v>
      </c>
      <c r="D358" s="115" t="s">
        <v>1170</v>
      </c>
      <c r="E358" s="116">
        <v>2</v>
      </c>
      <c r="F358" s="115" t="s">
        <v>1169</v>
      </c>
      <c r="G358" s="115" t="s">
        <v>640</v>
      </c>
      <c r="H358" s="104">
        <v>2485</v>
      </c>
    </row>
    <row r="359" spans="1:8" x14ac:dyDescent="0.25">
      <c r="A359" s="115" t="s">
        <v>4782</v>
      </c>
      <c r="B359" s="115" t="s">
        <v>4811</v>
      </c>
      <c r="C359" s="115" t="s">
        <v>4812</v>
      </c>
      <c r="D359" s="115" t="s">
        <v>1420</v>
      </c>
      <c r="E359" s="116">
        <v>8.3800000000000008</v>
      </c>
      <c r="F359" s="115" t="s">
        <v>1419</v>
      </c>
      <c r="G359" s="115" t="s">
        <v>640</v>
      </c>
      <c r="H359" s="104">
        <v>2486</v>
      </c>
    </row>
    <row r="360" spans="1:8" x14ac:dyDescent="0.25">
      <c r="A360" s="115" t="s">
        <v>4782</v>
      </c>
      <c r="B360" s="115" t="s">
        <v>4813</v>
      </c>
      <c r="C360" s="115" t="s">
        <v>4814</v>
      </c>
      <c r="D360" s="115" t="s">
        <v>4815</v>
      </c>
      <c r="E360" s="116">
        <v>4.24</v>
      </c>
      <c r="F360" s="115" t="s">
        <v>4816</v>
      </c>
      <c r="G360" s="115" t="s">
        <v>640</v>
      </c>
      <c r="H360" s="104">
        <v>2487</v>
      </c>
    </row>
    <row r="361" spans="1:8" x14ac:dyDescent="0.25">
      <c r="A361" s="115" t="s">
        <v>4817</v>
      </c>
      <c r="B361" s="115" t="s">
        <v>4818</v>
      </c>
      <c r="C361" s="115" t="s">
        <v>4819</v>
      </c>
      <c r="D361" s="115" t="s">
        <v>656</v>
      </c>
      <c r="E361" s="116">
        <v>3.88</v>
      </c>
      <c r="F361" s="115" t="s">
        <v>655</v>
      </c>
      <c r="G361" s="115" t="s">
        <v>640</v>
      </c>
      <c r="H361" s="104">
        <v>2521</v>
      </c>
    </row>
    <row r="362" spans="1:8" x14ac:dyDescent="0.25">
      <c r="A362" s="115" t="s">
        <v>4817</v>
      </c>
      <c r="B362" s="115" t="s">
        <v>4820</v>
      </c>
      <c r="C362" s="115" t="s">
        <v>4821</v>
      </c>
      <c r="D362" s="115" t="s">
        <v>4822</v>
      </c>
      <c r="E362" s="116">
        <v>13.71</v>
      </c>
      <c r="F362" s="115" t="s">
        <v>4823</v>
      </c>
      <c r="G362" s="115" t="s">
        <v>640</v>
      </c>
      <c r="H362" s="104">
        <v>2522</v>
      </c>
    </row>
    <row r="363" spans="1:8" x14ac:dyDescent="0.25">
      <c r="A363" s="115" t="s">
        <v>4817</v>
      </c>
      <c r="B363" s="115" t="s">
        <v>4824</v>
      </c>
      <c r="C363" s="115" t="s">
        <v>4825</v>
      </c>
      <c r="D363" s="115" t="s">
        <v>4826</v>
      </c>
      <c r="E363" s="116">
        <v>5.1100000000000003</v>
      </c>
      <c r="F363" s="115" t="s">
        <v>4827</v>
      </c>
      <c r="G363" s="115" t="s">
        <v>640</v>
      </c>
      <c r="H363" s="104">
        <v>2523</v>
      </c>
    </row>
    <row r="364" spans="1:8" x14ac:dyDescent="0.25">
      <c r="A364" s="115" t="s">
        <v>4817</v>
      </c>
      <c r="B364" s="115" t="s">
        <v>4828</v>
      </c>
      <c r="C364" s="115" t="s">
        <v>4829</v>
      </c>
      <c r="D364" s="115" t="s">
        <v>4830</v>
      </c>
      <c r="E364" s="116">
        <v>5.71</v>
      </c>
      <c r="F364" s="115" t="s">
        <v>4831</v>
      </c>
      <c r="G364" s="115" t="s">
        <v>640</v>
      </c>
      <c r="H364" s="104">
        <v>2524</v>
      </c>
    </row>
    <row r="365" spans="1:8" x14ac:dyDescent="0.25">
      <c r="A365" s="115" t="s">
        <v>4817</v>
      </c>
      <c r="B365" s="115" t="s">
        <v>4832</v>
      </c>
      <c r="C365" s="115" t="s">
        <v>4833</v>
      </c>
      <c r="D365" s="115" t="s">
        <v>4834</v>
      </c>
      <c r="E365" s="116">
        <v>3.46</v>
      </c>
      <c r="F365" s="115" t="s">
        <v>4835</v>
      </c>
      <c r="G365" s="115" t="s">
        <v>640</v>
      </c>
      <c r="H365" s="104">
        <v>2525</v>
      </c>
    </row>
    <row r="366" spans="1:8" x14ac:dyDescent="0.25">
      <c r="A366" s="115" t="s">
        <v>4817</v>
      </c>
      <c r="B366" s="115" t="s">
        <v>4836</v>
      </c>
      <c r="C366" s="115" t="s">
        <v>4837</v>
      </c>
      <c r="D366" s="115" t="s">
        <v>1371</v>
      </c>
      <c r="E366" s="116">
        <v>1.94</v>
      </c>
      <c r="F366" s="115" t="s">
        <v>1370</v>
      </c>
      <c r="G366" s="115" t="s">
        <v>640</v>
      </c>
      <c r="H366" s="104">
        <v>2526</v>
      </c>
    </row>
    <row r="367" spans="1:8" x14ac:dyDescent="0.25">
      <c r="A367" s="115" t="s">
        <v>4817</v>
      </c>
      <c r="B367" s="115" t="s">
        <v>4838</v>
      </c>
      <c r="C367" s="115" t="s">
        <v>4839</v>
      </c>
      <c r="D367" s="115" t="s">
        <v>4840</v>
      </c>
      <c r="E367" s="116">
        <v>2.8</v>
      </c>
      <c r="F367" s="115" t="s">
        <v>4841</v>
      </c>
      <c r="G367" s="115" t="s">
        <v>640</v>
      </c>
      <c r="H367" s="104">
        <v>2527</v>
      </c>
    </row>
    <row r="368" spans="1:8" x14ac:dyDescent="0.25">
      <c r="A368" s="115" t="s">
        <v>4817</v>
      </c>
      <c r="B368" s="115" t="s">
        <v>4842</v>
      </c>
      <c r="C368" s="115" t="s">
        <v>4843</v>
      </c>
      <c r="D368" s="115" t="s">
        <v>4844</v>
      </c>
      <c r="E368" s="116">
        <v>3.7</v>
      </c>
      <c r="F368" s="115" t="s">
        <v>4845</v>
      </c>
      <c r="G368" s="115" t="s">
        <v>640</v>
      </c>
      <c r="H368" s="104">
        <v>2528</v>
      </c>
    </row>
    <row r="369" spans="1:8" x14ac:dyDescent="0.25">
      <c r="A369" s="115" t="s">
        <v>4817</v>
      </c>
      <c r="B369" s="115" t="s">
        <v>3407</v>
      </c>
      <c r="C369" s="115" t="s">
        <v>4846</v>
      </c>
      <c r="D369" s="115" t="s">
        <v>2868</v>
      </c>
      <c r="E369" s="116">
        <v>1.68</v>
      </c>
      <c r="F369" s="115" t="s">
        <v>2869</v>
      </c>
      <c r="G369" s="115" t="s">
        <v>640</v>
      </c>
      <c r="H369" s="104">
        <v>2529</v>
      </c>
    </row>
    <row r="370" spans="1:8" x14ac:dyDescent="0.25">
      <c r="A370" s="115" t="s">
        <v>4817</v>
      </c>
      <c r="B370" s="115" t="s">
        <v>4847</v>
      </c>
      <c r="C370" s="115" t="s">
        <v>4848</v>
      </c>
      <c r="D370" s="115" t="s">
        <v>4849</v>
      </c>
      <c r="E370" s="116">
        <v>3.36</v>
      </c>
      <c r="F370" s="115" t="s">
        <v>4850</v>
      </c>
      <c r="G370" s="115" t="s">
        <v>640</v>
      </c>
      <c r="H370" s="104">
        <v>2530</v>
      </c>
    </row>
    <row r="371" spans="1:8" x14ac:dyDescent="0.25">
      <c r="A371" s="115" t="s">
        <v>4851</v>
      </c>
      <c r="B371" s="115" t="s">
        <v>4852</v>
      </c>
      <c r="C371" s="115" t="s">
        <v>4853</v>
      </c>
      <c r="D371" s="115" t="s">
        <v>832</v>
      </c>
      <c r="E371" s="116">
        <v>1.74</v>
      </c>
      <c r="F371" s="115" t="s">
        <v>831</v>
      </c>
      <c r="G371" s="115" t="s">
        <v>640</v>
      </c>
      <c r="H371" s="104">
        <v>2581</v>
      </c>
    </row>
    <row r="372" spans="1:8" x14ac:dyDescent="0.25">
      <c r="A372" s="115" t="s">
        <v>4851</v>
      </c>
      <c r="B372" s="115" t="s">
        <v>4854</v>
      </c>
      <c r="C372" s="115" t="s">
        <v>4855</v>
      </c>
      <c r="D372" s="115" t="s">
        <v>4856</v>
      </c>
      <c r="E372" s="116">
        <v>4.29</v>
      </c>
      <c r="F372" s="115" t="s">
        <v>4857</v>
      </c>
      <c r="G372" s="115" t="s">
        <v>640</v>
      </c>
      <c r="H372" s="104">
        <v>2582</v>
      </c>
    </row>
    <row r="373" spans="1:8" x14ac:dyDescent="0.25">
      <c r="A373" s="115" t="s">
        <v>4851</v>
      </c>
      <c r="B373" s="115" t="s">
        <v>4858</v>
      </c>
      <c r="C373" s="115" t="s">
        <v>4859</v>
      </c>
      <c r="D373" s="115" t="s">
        <v>3625</v>
      </c>
      <c r="E373" s="116">
        <v>2.34</v>
      </c>
      <c r="F373" s="115" t="s">
        <v>3626</v>
      </c>
      <c r="G373" s="115" t="s">
        <v>640</v>
      </c>
      <c r="H373" s="104">
        <v>2583</v>
      </c>
    </row>
    <row r="374" spans="1:8" x14ac:dyDescent="0.25">
      <c r="A374" s="115" t="s">
        <v>4851</v>
      </c>
      <c r="B374" s="115" t="s">
        <v>4860</v>
      </c>
      <c r="C374" s="115" t="s">
        <v>4861</v>
      </c>
      <c r="D374" s="115" t="s">
        <v>4862</v>
      </c>
      <c r="E374" s="116">
        <v>5.39</v>
      </c>
      <c r="F374" s="115" t="s">
        <v>4863</v>
      </c>
      <c r="G374" s="115" t="s">
        <v>640</v>
      </c>
      <c r="H374" s="104">
        <v>2584</v>
      </c>
    </row>
    <row r="375" spans="1:8" x14ac:dyDescent="0.25">
      <c r="A375" s="115" t="s">
        <v>4851</v>
      </c>
      <c r="B375" s="115" t="s">
        <v>4864</v>
      </c>
      <c r="C375" s="115" t="s">
        <v>4865</v>
      </c>
      <c r="D375" s="115" t="s">
        <v>3139</v>
      </c>
      <c r="E375" s="116">
        <v>8.3800000000000008</v>
      </c>
      <c r="F375" s="115" t="s">
        <v>3140</v>
      </c>
      <c r="G375" s="115" t="s">
        <v>640</v>
      </c>
      <c r="H375" s="104">
        <v>2585</v>
      </c>
    </row>
    <row r="376" spans="1:8" x14ac:dyDescent="0.25">
      <c r="A376" s="115" t="s">
        <v>4851</v>
      </c>
      <c r="B376" s="115" t="s">
        <v>4866</v>
      </c>
      <c r="C376" s="115" t="s">
        <v>4867</v>
      </c>
      <c r="D376" s="115" t="s">
        <v>3143</v>
      </c>
      <c r="E376" s="116">
        <v>8.3800000000000008</v>
      </c>
      <c r="F376" s="115" t="s">
        <v>3144</v>
      </c>
      <c r="G376" s="115" t="s">
        <v>640</v>
      </c>
      <c r="H376" s="104">
        <v>2586</v>
      </c>
    </row>
    <row r="377" spans="1:8" x14ac:dyDescent="0.25">
      <c r="A377" s="115" t="s">
        <v>4851</v>
      </c>
      <c r="B377" s="115" t="s">
        <v>4868</v>
      </c>
      <c r="C377" s="115" t="s">
        <v>4869</v>
      </c>
      <c r="D377" s="115" t="s">
        <v>4870</v>
      </c>
      <c r="E377" s="116">
        <v>5.95</v>
      </c>
      <c r="F377" s="115" t="s">
        <v>4871</v>
      </c>
      <c r="G377" s="115" t="s">
        <v>640</v>
      </c>
      <c r="H377" s="104">
        <v>2587</v>
      </c>
    </row>
    <row r="378" spans="1:8" x14ac:dyDescent="0.25">
      <c r="A378" s="115" t="s">
        <v>4851</v>
      </c>
      <c r="B378" s="115" t="s">
        <v>4872</v>
      </c>
      <c r="C378" s="115" t="s">
        <v>4873</v>
      </c>
      <c r="D378" s="115" t="s">
        <v>4874</v>
      </c>
      <c r="E378" s="116">
        <v>22.18</v>
      </c>
      <c r="F378" s="115" t="s">
        <v>4875</v>
      </c>
      <c r="G378" s="115" t="s">
        <v>640</v>
      </c>
      <c r="H378" s="104">
        <v>2588</v>
      </c>
    </row>
    <row r="379" spans="1:8" x14ac:dyDescent="0.25">
      <c r="A379" s="115" t="s">
        <v>4851</v>
      </c>
      <c r="B379" s="115" t="s">
        <v>4876</v>
      </c>
      <c r="C379" s="115" t="s">
        <v>4877</v>
      </c>
      <c r="D379" s="115" t="s">
        <v>4878</v>
      </c>
      <c r="E379" s="116">
        <v>16.760000000000002</v>
      </c>
      <c r="F379" s="115" t="s">
        <v>4879</v>
      </c>
      <c r="G379" s="115" t="s">
        <v>640</v>
      </c>
      <c r="H379" s="104">
        <v>2589</v>
      </c>
    </row>
    <row r="380" spans="1:8" x14ac:dyDescent="0.25">
      <c r="A380" s="115" t="s">
        <v>4851</v>
      </c>
      <c r="B380" s="115" t="s">
        <v>4880</v>
      </c>
      <c r="C380" s="115" t="s">
        <v>4881</v>
      </c>
      <c r="D380" s="115" t="s">
        <v>4882</v>
      </c>
      <c r="E380" s="116">
        <v>7.68</v>
      </c>
      <c r="F380" s="115" t="s">
        <v>4883</v>
      </c>
      <c r="G380" s="115" t="s">
        <v>640</v>
      </c>
      <c r="H380" s="104">
        <v>2590</v>
      </c>
    </row>
    <row r="381" spans="1:8" x14ac:dyDescent="0.25">
      <c r="A381" s="115" t="s">
        <v>4851</v>
      </c>
      <c r="B381" s="115" t="s">
        <v>4884</v>
      </c>
      <c r="C381" s="115" t="s">
        <v>4885</v>
      </c>
      <c r="D381" s="115" t="s">
        <v>4015</v>
      </c>
      <c r="E381" s="116">
        <v>4.9000000000000004</v>
      </c>
      <c r="F381" s="115" t="s">
        <v>4016</v>
      </c>
      <c r="G381" s="115" t="s">
        <v>640</v>
      </c>
      <c r="H381" s="104">
        <v>2591</v>
      </c>
    </row>
    <row r="382" spans="1:8" x14ac:dyDescent="0.25">
      <c r="A382" s="115" t="s">
        <v>4851</v>
      </c>
      <c r="B382" s="115" t="s">
        <v>4886</v>
      </c>
      <c r="C382" s="115" t="s">
        <v>4887</v>
      </c>
      <c r="D382" s="115" t="s">
        <v>4888</v>
      </c>
      <c r="E382" s="116">
        <v>1.68</v>
      </c>
      <c r="F382" s="115" t="s">
        <v>4889</v>
      </c>
      <c r="G382" s="115" t="s">
        <v>640</v>
      </c>
      <c r="H382" s="104">
        <v>2592</v>
      </c>
    </row>
    <row r="383" spans="1:8" x14ac:dyDescent="0.25">
      <c r="A383" s="115" t="s">
        <v>4851</v>
      </c>
      <c r="B383" s="115" t="s">
        <v>4890</v>
      </c>
      <c r="C383" s="115" t="s">
        <v>4891</v>
      </c>
      <c r="D383" s="115" t="s">
        <v>4892</v>
      </c>
      <c r="E383" s="116">
        <v>3.02</v>
      </c>
      <c r="F383" s="115" t="s">
        <v>4893</v>
      </c>
      <c r="G383" s="115" t="s">
        <v>640</v>
      </c>
      <c r="H383" s="104">
        <v>2593</v>
      </c>
    </row>
    <row r="384" spans="1:8" x14ac:dyDescent="0.25">
      <c r="A384" s="115" t="s">
        <v>4894</v>
      </c>
      <c r="B384" s="115" t="s">
        <v>4895</v>
      </c>
      <c r="C384" s="115" t="s">
        <v>4896</v>
      </c>
      <c r="D384" s="115" t="s">
        <v>4897</v>
      </c>
      <c r="E384" s="116">
        <v>4.04</v>
      </c>
      <c r="F384" s="115" t="s">
        <v>4898</v>
      </c>
      <c r="G384" s="115" t="s">
        <v>640</v>
      </c>
      <c r="H384" s="104">
        <v>2632</v>
      </c>
    </row>
    <row r="385" spans="1:8" x14ac:dyDescent="0.25">
      <c r="A385" s="115" t="s">
        <v>4894</v>
      </c>
      <c r="B385" s="115" t="s">
        <v>4899</v>
      </c>
      <c r="C385" s="115" t="s">
        <v>4900</v>
      </c>
      <c r="D385" s="115" t="s">
        <v>658</v>
      </c>
      <c r="E385" s="116">
        <v>1.68</v>
      </c>
      <c r="F385" s="115" t="s">
        <v>657</v>
      </c>
      <c r="G385" s="115" t="s">
        <v>640</v>
      </c>
      <c r="H385" s="104">
        <v>2633</v>
      </c>
    </row>
    <row r="386" spans="1:8" x14ac:dyDescent="0.25">
      <c r="A386" s="115" t="s">
        <v>4894</v>
      </c>
      <c r="B386" s="115" t="s">
        <v>4901</v>
      </c>
      <c r="C386" s="115" t="s">
        <v>4902</v>
      </c>
      <c r="D386" s="115" t="s">
        <v>710</v>
      </c>
      <c r="E386" s="116">
        <v>7.56</v>
      </c>
      <c r="F386" s="115" t="s">
        <v>709</v>
      </c>
      <c r="G386" s="115" t="s">
        <v>640</v>
      </c>
      <c r="H386" s="104">
        <v>2634</v>
      </c>
    </row>
    <row r="387" spans="1:8" x14ac:dyDescent="0.25">
      <c r="A387" s="115" t="s">
        <v>4894</v>
      </c>
      <c r="B387" s="115" t="s">
        <v>4903</v>
      </c>
      <c r="C387" s="115" t="s">
        <v>4904</v>
      </c>
      <c r="D387" s="115" t="s">
        <v>694</v>
      </c>
      <c r="E387" s="116">
        <v>3.36</v>
      </c>
      <c r="F387" s="115" t="s">
        <v>693</v>
      </c>
      <c r="G387" s="115" t="s">
        <v>640</v>
      </c>
      <c r="H387" s="104">
        <v>2635</v>
      </c>
    </row>
    <row r="388" spans="1:8" x14ac:dyDescent="0.25">
      <c r="A388" s="115" t="s">
        <v>4894</v>
      </c>
      <c r="B388" s="115" t="s">
        <v>4905</v>
      </c>
      <c r="C388" s="115" t="s">
        <v>4906</v>
      </c>
      <c r="D388" s="115" t="s">
        <v>4285</v>
      </c>
      <c r="E388" s="116">
        <v>3.63</v>
      </c>
      <c r="F388" s="115" t="s">
        <v>4286</v>
      </c>
      <c r="G388" s="115" t="s">
        <v>640</v>
      </c>
      <c r="H388" s="104">
        <v>2636</v>
      </c>
    </row>
    <row r="389" spans="1:8" x14ac:dyDescent="0.25">
      <c r="A389" s="115" t="s">
        <v>4894</v>
      </c>
      <c r="B389" s="115" t="s">
        <v>4907</v>
      </c>
      <c r="C389" s="115" t="s">
        <v>4908</v>
      </c>
      <c r="D389" s="115" t="s">
        <v>4281</v>
      </c>
      <c r="E389" s="116">
        <v>1.68</v>
      </c>
      <c r="F389" s="115" t="s">
        <v>4282</v>
      </c>
      <c r="G389" s="115" t="s">
        <v>640</v>
      </c>
      <c r="H389" s="104">
        <v>2637</v>
      </c>
    </row>
    <row r="390" spans="1:8" x14ac:dyDescent="0.25">
      <c r="A390" s="115" t="s">
        <v>4894</v>
      </c>
      <c r="B390" s="115" t="s">
        <v>4909</v>
      </c>
      <c r="C390" s="115" t="s">
        <v>4910</v>
      </c>
      <c r="D390" s="115" t="s">
        <v>4911</v>
      </c>
      <c r="E390" s="116">
        <v>38.380000000000003</v>
      </c>
      <c r="F390" s="115" t="s">
        <v>4912</v>
      </c>
      <c r="G390" s="115" t="s">
        <v>640</v>
      </c>
      <c r="H390" s="104">
        <v>2638</v>
      </c>
    </row>
    <row r="391" spans="1:8" x14ac:dyDescent="0.25">
      <c r="A391" s="115" t="s">
        <v>4894</v>
      </c>
      <c r="B391" s="115" t="s">
        <v>4913</v>
      </c>
      <c r="C391" s="115" t="s">
        <v>4914</v>
      </c>
      <c r="D391" s="115" t="s">
        <v>4915</v>
      </c>
      <c r="E391" s="116">
        <v>4.1900000000000004</v>
      </c>
      <c r="F391" s="115" t="s">
        <v>4916</v>
      </c>
      <c r="G391" s="115" t="s">
        <v>640</v>
      </c>
      <c r="H391" s="104">
        <v>2639</v>
      </c>
    </row>
    <row r="392" spans="1:8" x14ac:dyDescent="0.25">
      <c r="A392" s="115" t="s">
        <v>4894</v>
      </c>
      <c r="B392" s="115" t="s">
        <v>4917</v>
      </c>
      <c r="C392" s="115" t="s">
        <v>4918</v>
      </c>
      <c r="D392" s="115" t="s">
        <v>716</v>
      </c>
      <c r="E392" s="116">
        <v>3.61</v>
      </c>
      <c r="F392" s="115" t="s">
        <v>715</v>
      </c>
      <c r="G392" s="115" t="s">
        <v>640</v>
      </c>
      <c r="H392" s="104">
        <v>2640</v>
      </c>
    </row>
    <row r="393" spans="1:8" x14ac:dyDescent="0.25">
      <c r="A393" s="115" t="s">
        <v>4894</v>
      </c>
      <c r="B393" s="115" t="s">
        <v>4919</v>
      </c>
      <c r="C393" s="115" t="s">
        <v>4920</v>
      </c>
      <c r="D393" s="115" t="s">
        <v>685</v>
      </c>
      <c r="E393" s="116">
        <v>8.3800000000000008</v>
      </c>
      <c r="F393" s="115" t="s">
        <v>684</v>
      </c>
      <c r="G393" s="115" t="s">
        <v>640</v>
      </c>
      <c r="H393" s="104">
        <v>2641</v>
      </c>
    </row>
    <row r="394" spans="1:8" x14ac:dyDescent="0.25">
      <c r="A394" s="115" t="s">
        <v>4894</v>
      </c>
      <c r="B394" s="115" t="s">
        <v>4222</v>
      </c>
      <c r="C394" s="115" t="s">
        <v>4921</v>
      </c>
      <c r="D394" s="115" t="s">
        <v>3730</v>
      </c>
      <c r="E394" s="116">
        <v>3.45</v>
      </c>
      <c r="F394" s="115" t="s">
        <v>3731</v>
      </c>
      <c r="G394" s="115" t="s">
        <v>640</v>
      </c>
      <c r="H394" s="104">
        <v>2642</v>
      </c>
    </row>
    <row r="395" spans="1:8" x14ac:dyDescent="0.25">
      <c r="A395" s="115" t="s">
        <v>4894</v>
      </c>
      <c r="B395" s="115" t="s">
        <v>4922</v>
      </c>
      <c r="C395" s="115" t="s">
        <v>4923</v>
      </c>
      <c r="D395" s="115" t="s">
        <v>1377</v>
      </c>
      <c r="E395" s="116">
        <v>2.63</v>
      </c>
      <c r="F395" s="115" t="s">
        <v>1376</v>
      </c>
      <c r="G395" s="115" t="s">
        <v>640</v>
      </c>
      <c r="H395" s="104">
        <v>2643</v>
      </c>
    </row>
    <row r="396" spans="1:8" x14ac:dyDescent="0.25">
      <c r="A396" s="115" t="s">
        <v>4894</v>
      </c>
      <c r="B396" s="115" t="s">
        <v>4924</v>
      </c>
      <c r="C396" s="115" t="s">
        <v>4925</v>
      </c>
      <c r="D396" s="115" t="s">
        <v>1497</v>
      </c>
      <c r="E396" s="116">
        <v>1.68</v>
      </c>
      <c r="F396" s="115" t="s">
        <v>1496</v>
      </c>
      <c r="G396" s="115" t="s">
        <v>640</v>
      </c>
      <c r="H396" s="104">
        <v>2644</v>
      </c>
    </row>
    <row r="397" spans="1:8" x14ac:dyDescent="0.25">
      <c r="A397" s="115" t="s">
        <v>4894</v>
      </c>
      <c r="B397" s="115" t="s">
        <v>4926</v>
      </c>
      <c r="C397" s="115" t="s">
        <v>4927</v>
      </c>
      <c r="D397" s="115" t="s">
        <v>4928</v>
      </c>
      <c r="E397" s="116">
        <v>5.76</v>
      </c>
      <c r="F397" s="115" t="s">
        <v>4929</v>
      </c>
      <c r="G397" s="115" t="s">
        <v>640</v>
      </c>
      <c r="H397" s="104">
        <v>2645</v>
      </c>
    </row>
    <row r="398" spans="1:8" x14ac:dyDescent="0.25">
      <c r="A398" s="115"/>
      <c r="B398" s="115"/>
      <c r="C398" s="115"/>
      <c r="D398" s="118" t="s">
        <v>3740</v>
      </c>
      <c r="E398" s="119">
        <f>SUM(E328:E397)</f>
        <v>513.16</v>
      </c>
      <c r="F398" s="115"/>
      <c r="G398" s="115"/>
      <c r="H398" s="104"/>
    </row>
    <row r="399" spans="1:8" ht="15.75" x14ac:dyDescent="0.25">
      <c r="A399" s="110"/>
      <c r="B399" s="110"/>
      <c r="C399" s="110"/>
      <c r="D399" s="110"/>
      <c r="E399" s="111"/>
      <c r="F399" s="110"/>
      <c r="G399" s="110"/>
      <c r="H399" s="112"/>
    </row>
    <row r="400" spans="1:8" ht="15.75" x14ac:dyDescent="0.25">
      <c r="A400" s="99"/>
      <c r="B400" s="99"/>
      <c r="C400" s="99"/>
      <c r="D400" s="99"/>
      <c r="E400" s="101"/>
      <c r="F400" s="99"/>
      <c r="G400" s="99"/>
      <c r="H400" s="84"/>
    </row>
    <row r="401" spans="1:8" ht="15.75" x14ac:dyDescent="0.25">
      <c r="A401" s="99"/>
      <c r="B401" s="99"/>
      <c r="C401" s="99"/>
      <c r="D401" s="99"/>
      <c r="E401" s="101"/>
      <c r="F401" s="99"/>
      <c r="G401" s="99"/>
      <c r="H401" s="84"/>
    </row>
    <row r="402" spans="1:8" ht="15.75" x14ac:dyDescent="0.25">
      <c r="A402" s="99"/>
      <c r="B402" s="99"/>
      <c r="C402" s="99"/>
      <c r="D402" s="99"/>
      <c r="E402" s="101"/>
      <c r="F402" s="99"/>
      <c r="G402" s="99"/>
      <c r="H402" s="84"/>
    </row>
    <row r="403" spans="1:8" ht="15.75" x14ac:dyDescent="0.25">
      <c r="A403" s="99"/>
      <c r="B403" s="99"/>
      <c r="C403" s="99"/>
      <c r="D403" s="99"/>
      <c r="E403" s="101"/>
      <c r="F403" s="99"/>
      <c r="G403" s="99"/>
      <c r="H403" s="84"/>
    </row>
    <row r="404" spans="1:8" ht="15.75" x14ac:dyDescent="0.25">
      <c r="A404" s="99"/>
      <c r="B404" s="99"/>
      <c r="C404" s="99"/>
      <c r="D404" s="99"/>
      <c r="E404" s="101"/>
      <c r="F404" s="99"/>
      <c r="G404" s="99"/>
      <c r="H404" s="84"/>
    </row>
    <row r="405" spans="1:8" ht="15.75" x14ac:dyDescent="0.25">
      <c r="A405" s="99"/>
      <c r="B405" s="99"/>
      <c r="C405" s="99"/>
      <c r="D405" s="99"/>
      <c r="E405" s="101"/>
      <c r="F405" s="99"/>
      <c r="G405" s="99"/>
      <c r="H405" s="84"/>
    </row>
    <row r="406" spans="1:8" ht="15.75" x14ac:dyDescent="0.25">
      <c r="A406" s="99"/>
      <c r="B406" s="99"/>
      <c r="C406" s="99"/>
      <c r="D406" s="99"/>
      <c r="E406" s="101"/>
      <c r="F406" s="99"/>
      <c r="G406" s="99"/>
      <c r="H406" s="84"/>
    </row>
    <row r="407" spans="1:8" ht="15.75" x14ac:dyDescent="0.25">
      <c r="A407" s="99"/>
      <c r="B407" s="99"/>
      <c r="C407" s="99"/>
      <c r="D407" s="99"/>
      <c r="E407" s="101"/>
      <c r="F407" s="99"/>
      <c r="G407" s="99"/>
      <c r="H407" s="84"/>
    </row>
    <row r="408" spans="1:8" ht="15.75" x14ac:dyDescent="0.25">
      <c r="A408" s="99"/>
      <c r="B408" s="99"/>
      <c r="C408" s="99"/>
      <c r="D408" s="99"/>
      <c r="E408" s="101"/>
      <c r="F408" s="99"/>
      <c r="G408" s="99"/>
      <c r="H408" s="84"/>
    </row>
    <row r="409" spans="1:8" ht="15.75" x14ac:dyDescent="0.25">
      <c r="A409" s="99"/>
      <c r="B409" s="99"/>
      <c r="C409" s="99"/>
      <c r="D409" s="99"/>
      <c r="E409" s="101"/>
      <c r="F409" s="99"/>
      <c r="G409" s="99"/>
      <c r="H409" s="84"/>
    </row>
    <row r="410" spans="1:8" ht="15.75" x14ac:dyDescent="0.25">
      <c r="A410" s="99"/>
      <c r="B410" s="99"/>
      <c r="C410" s="99"/>
      <c r="D410" s="99"/>
      <c r="E410" s="101"/>
      <c r="F410" s="99"/>
      <c r="G410" s="99"/>
      <c r="H410" s="84"/>
    </row>
    <row r="411" spans="1:8" ht="15.75" x14ac:dyDescent="0.25">
      <c r="A411" s="99"/>
      <c r="B411" s="99"/>
      <c r="C411" s="99"/>
      <c r="D411" s="99"/>
      <c r="E411" s="101"/>
      <c r="F411" s="99"/>
      <c r="G411" s="99"/>
      <c r="H411" s="84"/>
    </row>
    <row r="412" spans="1:8" ht="15.75" x14ac:dyDescent="0.25">
      <c r="A412" s="99"/>
      <c r="B412" s="99"/>
      <c r="C412" s="99"/>
      <c r="D412" s="99"/>
      <c r="E412" s="101"/>
      <c r="F412" s="99"/>
      <c r="G412" s="99"/>
      <c r="H412" s="84"/>
    </row>
    <row r="413" spans="1:8" ht="15.75" x14ac:dyDescent="0.25">
      <c r="A413" s="99"/>
      <c r="B413" s="99"/>
      <c r="C413" s="99"/>
      <c r="D413" s="99"/>
      <c r="E413" s="101"/>
      <c r="F413" s="99"/>
      <c r="G413" s="99"/>
      <c r="H413" s="84"/>
    </row>
    <row r="414" spans="1:8" ht="15.75" x14ac:dyDescent="0.25">
      <c r="A414" s="99"/>
      <c r="B414" s="99"/>
      <c r="C414" s="99"/>
      <c r="D414" s="99"/>
      <c r="E414" s="101"/>
      <c r="F414" s="99"/>
      <c r="G414" s="99"/>
      <c r="H414" s="84"/>
    </row>
    <row r="415" spans="1:8" ht="15.75" x14ac:dyDescent="0.25">
      <c r="A415" s="99"/>
      <c r="B415" s="99"/>
      <c r="C415" s="99"/>
      <c r="D415" s="99"/>
      <c r="E415" s="101"/>
      <c r="F415" s="99"/>
      <c r="G415" s="99"/>
      <c r="H415" s="84"/>
    </row>
    <row r="416" spans="1:8" ht="15.75" x14ac:dyDescent="0.25">
      <c r="A416" s="99"/>
      <c r="B416" s="99"/>
      <c r="C416" s="99"/>
      <c r="D416" s="99"/>
      <c r="E416" s="101"/>
      <c r="F416" s="99"/>
      <c r="G416" s="99"/>
      <c r="H416" s="84"/>
    </row>
    <row r="417" spans="1:8" ht="15.75" x14ac:dyDescent="0.25">
      <c r="A417" s="99"/>
      <c r="B417" s="99"/>
      <c r="C417" s="99"/>
      <c r="D417" s="99"/>
      <c r="E417" s="101"/>
      <c r="F417" s="99"/>
      <c r="G417" s="99"/>
      <c r="H417" s="84"/>
    </row>
    <row r="418" spans="1:8" ht="15.75" x14ac:dyDescent="0.25">
      <c r="A418" s="99"/>
      <c r="B418" s="99"/>
      <c r="C418" s="99"/>
      <c r="D418" s="99"/>
      <c r="E418" s="101"/>
      <c r="F418" s="99"/>
      <c r="G418" s="99"/>
      <c r="H418" s="84"/>
    </row>
    <row r="419" spans="1:8" ht="15.75" x14ac:dyDescent="0.25">
      <c r="A419" s="99"/>
      <c r="B419" s="99"/>
      <c r="C419" s="99"/>
      <c r="D419" s="99"/>
      <c r="E419" s="101"/>
      <c r="F419" s="99"/>
      <c r="G419" s="99"/>
      <c r="H419" s="84"/>
    </row>
    <row r="420" spans="1:8" ht="15.75" x14ac:dyDescent="0.25">
      <c r="A420" s="99"/>
      <c r="B420" s="99"/>
      <c r="C420" s="99"/>
      <c r="D420" s="99"/>
      <c r="E420" s="101"/>
      <c r="F420" s="99"/>
      <c r="G420" s="99"/>
      <c r="H420" s="84"/>
    </row>
    <row r="421" spans="1:8" ht="15.75" x14ac:dyDescent="0.25">
      <c r="A421" s="99"/>
      <c r="B421" s="99"/>
      <c r="C421" s="99"/>
      <c r="D421" s="99"/>
      <c r="E421" s="101"/>
      <c r="F421" s="99"/>
      <c r="G421" s="99"/>
      <c r="H421" s="84"/>
    </row>
    <row r="422" spans="1:8" ht="15.75" x14ac:dyDescent="0.25">
      <c r="A422" s="99"/>
      <c r="B422" s="99"/>
      <c r="C422" s="99"/>
      <c r="D422" s="99"/>
      <c r="E422" s="101"/>
      <c r="F422" s="99"/>
      <c r="G422" s="99"/>
      <c r="H422" s="84"/>
    </row>
    <row r="423" spans="1:8" ht="15.75" x14ac:dyDescent="0.25">
      <c r="A423" s="99"/>
      <c r="B423" s="99"/>
      <c r="C423" s="99"/>
      <c r="D423" s="99"/>
      <c r="E423" s="101"/>
      <c r="F423" s="99"/>
      <c r="G423" s="99"/>
      <c r="H423" s="84"/>
    </row>
    <row r="424" spans="1:8" ht="15.75" x14ac:dyDescent="0.25">
      <c r="A424" s="99"/>
      <c r="B424" s="99"/>
      <c r="C424" s="99"/>
      <c r="D424" s="99"/>
      <c r="E424" s="101"/>
      <c r="F424" s="99"/>
      <c r="G424" s="99"/>
      <c r="H424" s="84"/>
    </row>
    <row r="425" spans="1:8" ht="15.75" x14ac:dyDescent="0.25">
      <c r="A425" s="99"/>
      <c r="B425" s="99"/>
      <c r="C425" s="99"/>
      <c r="D425" s="99"/>
      <c r="E425" s="101"/>
      <c r="F425" s="99"/>
      <c r="G425" s="99"/>
      <c r="H425" s="84"/>
    </row>
    <row r="426" spans="1:8" ht="15.75" x14ac:dyDescent="0.25">
      <c r="A426" s="99"/>
      <c r="B426" s="99"/>
      <c r="C426" s="99"/>
      <c r="D426" s="99"/>
      <c r="E426" s="101"/>
      <c r="F426" s="99"/>
      <c r="G426" s="99"/>
      <c r="H426" s="84"/>
    </row>
    <row r="427" spans="1:8" ht="15.75" x14ac:dyDescent="0.25">
      <c r="A427" s="99"/>
      <c r="B427" s="99"/>
      <c r="C427" s="99"/>
      <c r="D427" s="99"/>
      <c r="E427" s="101"/>
      <c r="F427" s="99"/>
      <c r="G427" s="99"/>
      <c r="H427" s="84"/>
    </row>
    <row r="428" spans="1:8" ht="15.75" x14ac:dyDescent="0.25">
      <c r="A428" s="99"/>
      <c r="B428" s="99"/>
      <c r="C428" s="99"/>
      <c r="D428" s="99"/>
      <c r="E428" s="101"/>
      <c r="F428" s="99"/>
      <c r="G428" s="99"/>
      <c r="H428" s="84"/>
    </row>
    <row r="429" spans="1:8" ht="15.75" x14ac:dyDescent="0.25">
      <c r="A429" s="99"/>
      <c r="B429" s="99"/>
      <c r="C429" s="99"/>
      <c r="D429" s="99"/>
      <c r="E429" s="101"/>
      <c r="F429" s="99"/>
      <c r="G429" s="99"/>
      <c r="H429" s="84"/>
    </row>
    <row r="430" spans="1:8" ht="15.75" x14ac:dyDescent="0.25">
      <c r="A430" s="99"/>
      <c r="B430" s="99"/>
      <c r="C430" s="99"/>
      <c r="D430" s="99"/>
      <c r="E430" s="101"/>
      <c r="F430" s="99"/>
      <c r="G430" s="99"/>
      <c r="H430" s="84"/>
    </row>
    <row r="431" spans="1:8" ht="15.75" x14ac:dyDescent="0.25">
      <c r="A431" s="99"/>
      <c r="B431" s="99"/>
      <c r="C431" s="99"/>
      <c r="D431" s="99"/>
      <c r="E431" s="101"/>
      <c r="F431" s="99"/>
      <c r="G431" s="99"/>
      <c r="H431" s="84"/>
    </row>
    <row r="432" spans="1:8" ht="15.75" x14ac:dyDescent="0.25">
      <c r="A432" s="99"/>
      <c r="B432" s="99"/>
      <c r="C432" s="99"/>
      <c r="D432" s="99"/>
      <c r="E432" s="101"/>
      <c r="F432" s="99"/>
      <c r="G432" s="99"/>
      <c r="H432" s="84"/>
    </row>
    <row r="433" spans="1:8" ht="15.75" x14ac:dyDescent="0.25">
      <c r="A433" s="99"/>
      <c r="B433" s="99"/>
      <c r="C433" s="99"/>
      <c r="D433" s="99"/>
      <c r="E433" s="101"/>
      <c r="F433" s="99"/>
      <c r="G433" s="99"/>
      <c r="H433" s="84"/>
    </row>
    <row r="434" spans="1:8" ht="15.75" x14ac:dyDescent="0.25">
      <c r="A434" s="99"/>
      <c r="B434" s="99"/>
      <c r="C434" s="99"/>
      <c r="D434" s="99"/>
      <c r="E434" s="101"/>
      <c r="F434" s="99"/>
      <c r="G434" s="99"/>
      <c r="H434" s="84"/>
    </row>
    <row r="435" spans="1:8" ht="15.75" x14ac:dyDescent="0.25">
      <c r="A435" s="99"/>
      <c r="B435" s="99"/>
      <c r="C435" s="99"/>
      <c r="D435" s="99"/>
      <c r="E435" s="101"/>
      <c r="F435" s="99"/>
      <c r="G435" s="99"/>
      <c r="H435" s="84"/>
    </row>
    <row r="436" spans="1:8" ht="15.75" x14ac:dyDescent="0.25">
      <c r="A436" s="99"/>
      <c r="B436" s="99"/>
      <c r="C436" s="99"/>
      <c r="D436" s="99"/>
      <c r="E436" s="101"/>
      <c r="F436" s="99"/>
      <c r="G436" s="99"/>
      <c r="H436" s="84"/>
    </row>
    <row r="437" spans="1:8" ht="15.75" x14ac:dyDescent="0.25">
      <c r="A437" s="99"/>
      <c r="B437" s="99"/>
      <c r="C437" s="99"/>
      <c r="D437" s="99"/>
      <c r="E437" s="101"/>
      <c r="F437" s="99"/>
      <c r="G437" s="99"/>
      <c r="H437" s="84"/>
    </row>
    <row r="438" spans="1:8" ht="15.75" x14ac:dyDescent="0.25">
      <c r="A438" s="99"/>
      <c r="B438" s="99"/>
      <c r="C438" s="99"/>
      <c r="D438" s="99"/>
      <c r="E438" s="101"/>
      <c r="F438" s="99"/>
      <c r="G438" s="99"/>
      <c r="H438" s="84"/>
    </row>
    <row r="439" spans="1:8" ht="15.75" x14ac:dyDescent="0.25">
      <c r="A439" s="99"/>
      <c r="B439" s="99"/>
      <c r="C439" s="99"/>
      <c r="D439" s="99"/>
      <c r="E439" s="101"/>
      <c r="F439" s="99"/>
      <c r="G439" s="99"/>
      <c r="H439" s="84"/>
    </row>
    <row r="440" spans="1:8" ht="15.75" x14ac:dyDescent="0.25">
      <c r="A440" s="99"/>
      <c r="B440" s="99"/>
      <c r="C440" s="99"/>
      <c r="D440" s="99"/>
      <c r="E440" s="101"/>
      <c r="F440" s="99"/>
      <c r="G440" s="99"/>
      <c r="H440" s="84"/>
    </row>
    <row r="441" spans="1:8" ht="15.75" x14ac:dyDescent="0.25">
      <c r="A441" s="99"/>
      <c r="B441" s="99"/>
      <c r="C441" s="99"/>
      <c r="D441" s="99"/>
      <c r="E441" s="101"/>
      <c r="F441" s="99"/>
      <c r="G441" s="99"/>
      <c r="H441" s="84"/>
    </row>
    <row r="442" spans="1:8" ht="15.75" x14ac:dyDescent="0.25">
      <c r="A442" s="99"/>
      <c r="B442" s="99"/>
      <c r="C442" s="99"/>
      <c r="D442" s="99"/>
      <c r="E442" s="101"/>
      <c r="F442" s="99"/>
      <c r="G442" s="99"/>
      <c r="H442" s="84"/>
    </row>
    <row r="443" spans="1:8" ht="15.75" x14ac:dyDescent="0.25">
      <c r="A443" s="99"/>
      <c r="B443" s="99"/>
      <c r="C443" s="99"/>
      <c r="D443" s="99"/>
      <c r="E443" s="101"/>
      <c r="F443" s="99"/>
      <c r="G443" s="99"/>
      <c r="H443" s="84"/>
    </row>
    <row r="444" spans="1:8" ht="15.75" x14ac:dyDescent="0.25">
      <c r="A444" s="99"/>
      <c r="B444" s="99"/>
      <c r="C444" s="99"/>
      <c r="D444" s="99"/>
      <c r="E444" s="101"/>
      <c r="F444" s="99"/>
      <c r="G444" s="99"/>
      <c r="H444" s="84"/>
    </row>
    <row r="445" spans="1:8" ht="15.75" x14ac:dyDescent="0.25">
      <c r="A445" s="99"/>
      <c r="B445" s="99"/>
      <c r="C445" s="99"/>
      <c r="D445" s="99"/>
      <c r="E445" s="101"/>
      <c r="F445" s="99"/>
      <c r="G445" s="99"/>
      <c r="H445" s="84"/>
    </row>
    <row r="446" spans="1:8" ht="15.75" x14ac:dyDescent="0.25">
      <c r="A446" s="99"/>
      <c r="B446" s="99"/>
      <c r="C446" s="99"/>
      <c r="D446" s="99"/>
      <c r="E446" s="101"/>
      <c r="F446" s="99"/>
      <c r="G446" s="99"/>
      <c r="H446" s="84"/>
    </row>
    <row r="447" spans="1:8" ht="15.75" x14ac:dyDescent="0.25">
      <c r="A447" s="99"/>
      <c r="B447" s="99"/>
      <c r="C447" s="99"/>
      <c r="D447" s="99"/>
      <c r="E447" s="101"/>
      <c r="F447" s="99"/>
      <c r="G447" s="99"/>
      <c r="H447" s="84"/>
    </row>
    <row r="448" spans="1:8" ht="15.75" x14ac:dyDescent="0.25">
      <c r="A448" s="99"/>
      <c r="B448" s="99"/>
      <c r="C448" s="99"/>
      <c r="D448" s="99"/>
      <c r="E448" s="101"/>
      <c r="F448" s="99"/>
      <c r="G448" s="99"/>
      <c r="H448" s="84"/>
    </row>
    <row r="449" spans="1:8" ht="15.75" x14ac:dyDescent="0.25">
      <c r="A449" s="99"/>
      <c r="B449" s="99"/>
      <c r="C449" s="99"/>
      <c r="D449" s="99"/>
      <c r="E449" s="101"/>
      <c r="F449" s="99"/>
      <c r="G449" s="99"/>
      <c r="H449" s="84"/>
    </row>
    <row r="450" spans="1:8" ht="15.75" x14ac:dyDescent="0.25">
      <c r="A450" s="99"/>
      <c r="B450" s="99"/>
      <c r="C450" s="99"/>
      <c r="D450" s="99"/>
      <c r="E450" s="101"/>
      <c r="F450" s="99"/>
      <c r="G450" s="99"/>
      <c r="H450" s="84"/>
    </row>
    <row r="451" spans="1:8" ht="15.75" x14ac:dyDescent="0.25">
      <c r="A451" s="99"/>
      <c r="B451" s="99"/>
      <c r="C451" s="99"/>
      <c r="D451" s="99"/>
      <c r="E451" s="101"/>
      <c r="F451" s="99"/>
      <c r="G451" s="99"/>
      <c r="H451" s="84"/>
    </row>
    <row r="452" spans="1:8" ht="15.75" x14ac:dyDescent="0.25">
      <c r="A452" s="99"/>
      <c r="B452" s="99"/>
      <c r="C452" s="99"/>
      <c r="D452" s="99"/>
      <c r="E452" s="101"/>
      <c r="F452" s="99"/>
      <c r="G452" s="99"/>
      <c r="H452" s="84"/>
    </row>
    <row r="453" spans="1:8" ht="15.75" x14ac:dyDescent="0.25">
      <c r="A453" s="99"/>
      <c r="B453" s="99"/>
      <c r="C453" s="99"/>
      <c r="D453" s="99"/>
      <c r="E453" s="101"/>
      <c r="F453" s="99"/>
      <c r="G453" s="99"/>
      <c r="H453" s="84"/>
    </row>
    <row r="454" spans="1:8" ht="15.75" x14ac:dyDescent="0.25">
      <c r="A454" s="99"/>
      <c r="B454" s="99"/>
      <c r="C454" s="99"/>
      <c r="D454" s="99"/>
      <c r="E454" s="101"/>
      <c r="F454" s="99"/>
      <c r="G454" s="99"/>
      <c r="H454" s="84"/>
    </row>
    <row r="455" spans="1:8" ht="15.75" x14ac:dyDescent="0.25">
      <c r="A455" s="99"/>
      <c r="B455" s="99"/>
      <c r="C455" s="99"/>
      <c r="D455" s="99"/>
      <c r="E455" s="101"/>
      <c r="F455" s="99"/>
      <c r="G455" s="99"/>
      <c r="H455" s="84"/>
    </row>
    <row r="456" spans="1:8" ht="15.75" x14ac:dyDescent="0.25">
      <c r="A456" s="99"/>
      <c r="B456" s="99"/>
      <c r="C456" s="99"/>
      <c r="D456" s="99"/>
      <c r="E456" s="101"/>
      <c r="F456" s="99"/>
      <c r="G456" s="99"/>
      <c r="H456" s="84"/>
    </row>
    <row r="457" spans="1:8" ht="15.75" x14ac:dyDescent="0.25">
      <c r="A457" s="99"/>
      <c r="B457" s="99"/>
      <c r="C457" s="99"/>
      <c r="D457" s="99"/>
      <c r="E457" s="101"/>
      <c r="F457" s="99"/>
      <c r="G457" s="99"/>
      <c r="H457" s="84"/>
    </row>
    <row r="458" spans="1:8" ht="15.75" x14ac:dyDescent="0.25">
      <c r="A458" s="99"/>
      <c r="B458" s="99"/>
      <c r="C458" s="99"/>
      <c r="D458" s="99"/>
      <c r="E458" s="101"/>
      <c r="F458" s="99"/>
      <c r="G458" s="99"/>
      <c r="H458" s="84"/>
    </row>
    <row r="459" spans="1:8" ht="15.75" x14ac:dyDescent="0.25">
      <c r="A459" s="99"/>
      <c r="B459" s="99"/>
      <c r="C459" s="99"/>
      <c r="D459" s="99"/>
      <c r="E459" s="101"/>
      <c r="F459" s="99"/>
      <c r="G459" s="99"/>
      <c r="H459" s="84"/>
    </row>
    <row r="460" spans="1:8" ht="15.75" x14ac:dyDescent="0.25">
      <c r="A460" s="99"/>
      <c r="B460" s="99"/>
      <c r="C460" s="99"/>
      <c r="D460" s="99"/>
      <c r="E460" s="101"/>
      <c r="F460" s="99"/>
      <c r="G460" s="99"/>
      <c r="H460" s="84"/>
    </row>
    <row r="461" spans="1:8" ht="15.75" x14ac:dyDescent="0.25">
      <c r="A461" s="99"/>
      <c r="B461" s="99"/>
      <c r="C461" s="99"/>
      <c r="D461" s="99"/>
      <c r="E461" s="101"/>
      <c r="F461" s="99"/>
      <c r="G461" s="99"/>
      <c r="H461" s="84"/>
    </row>
    <row r="462" spans="1:8" ht="15.75" x14ac:dyDescent="0.25">
      <c r="A462" s="99"/>
      <c r="B462" s="99"/>
      <c r="C462" s="99"/>
      <c r="D462" s="99"/>
      <c r="E462" s="101"/>
      <c r="F462" s="99"/>
      <c r="G462" s="99"/>
      <c r="H462" s="84"/>
    </row>
    <row r="463" spans="1:8" ht="15.75" x14ac:dyDescent="0.25">
      <c r="A463" s="99"/>
      <c r="B463" s="99"/>
      <c r="C463" s="99"/>
      <c r="D463" s="99"/>
      <c r="E463" s="101"/>
      <c r="F463" s="99"/>
      <c r="G463" s="99"/>
      <c r="H463" s="84"/>
    </row>
    <row r="464" spans="1:8" ht="15.75" x14ac:dyDescent="0.25">
      <c r="A464" s="99"/>
      <c r="B464" s="99"/>
      <c r="C464" s="99"/>
      <c r="D464" s="99"/>
      <c r="E464" s="101"/>
      <c r="F464" s="99"/>
      <c r="G464" s="99"/>
      <c r="H464" s="84"/>
    </row>
    <row r="465" spans="1:8" ht="15.75" x14ac:dyDescent="0.25">
      <c r="A465" s="99"/>
      <c r="B465" s="99"/>
      <c r="C465" s="99"/>
      <c r="D465" s="99"/>
      <c r="E465" s="101"/>
      <c r="F465" s="99"/>
      <c r="G465" s="99"/>
      <c r="H465" s="84"/>
    </row>
    <row r="466" spans="1:8" ht="15.75" x14ac:dyDescent="0.25">
      <c r="A466" s="99"/>
      <c r="B466" s="99"/>
      <c r="C466" s="99"/>
      <c r="D466" s="99"/>
      <c r="E466" s="101"/>
      <c r="F466" s="99"/>
      <c r="G466" s="99"/>
      <c r="H466" s="84"/>
    </row>
    <row r="467" spans="1:8" ht="15.75" x14ac:dyDescent="0.25">
      <c r="A467" s="99"/>
      <c r="B467" s="99"/>
      <c r="C467" s="99"/>
      <c r="D467" s="99"/>
      <c r="E467" s="101"/>
      <c r="F467" s="99"/>
      <c r="G467" s="99"/>
      <c r="H467" s="84"/>
    </row>
    <row r="468" spans="1:8" ht="15.75" x14ac:dyDescent="0.25">
      <c r="A468" s="99"/>
      <c r="B468" s="99"/>
      <c r="C468" s="99"/>
      <c r="D468" s="99"/>
      <c r="E468" s="101"/>
      <c r="F468" s="99"/>
      <c r="G468" s="99"/>
      <c r="H468" s="84"/>
    </row>
    <row r="469" spans="1:8" ht="15.75" x14ac:dyDescent="0.25">
      <c r="A469" s="99"/>
      <c r="B469" s="99"/>
      <c r="C469" s="99"/>
      <c r="D469" s="99"/>
      <c r="E469" s="101"/>
      <c r="F469" s="99"/>
      <c r="G469" s="99"/>
      <c r="H469" s="84"/>
    </row>
    <row r="470" spans="1:8" ht="15.75" x14ac:dyDescent="0.25">
      <c r="A470" s="99"/>
      <c r="B470" s="99"/>
      <c r="C470" s="99"/>
      <c r="D470" s="99"/>
      <c r="E470" s="101"/>
      <c r="F470" s="99"/>
      <c r="G470" s="99"/>
      <c r="H470" s="84"/>
    </row>
    <row r="471" spans="1:8" ht="15.75" x14ac:dyDescent="0.25">
      <c r="A471" s="99"/>
      <c r="B471" s="99"/>
      <c r="C471" s="99"/>
      <c r="D471" s="99"/>
      <c r="E471" s="101"/>
      <c r="F471" s="99"/>
      <c r="G471" s="99"/>
      <c r="H471" s="84"/>
    </row>
    <row r="472" spans="1:8" ht="15.75" x14ac:dyDescent="0.25">
      <c r="A472" s="99"/>
      <c r="B472" s="99"/>
      <c r="C472" s="99"/>
      <c r="D472" s="99"/>
      <c r="E472" s="101"/>
      <c r="F472" s="99"/>
      <c r="G472" s="99"/>
      <c r="H472" s="84"/>
    </row>
    <row r="473" spans="1:8" ht="15.75" x14ac:dyDescent="0.25">
      <c r="A473" s="99"/>
      <c r="B473" s="99"/>
      <c r="C473" s="99"/>
      <c r="D473" s="99"/>
      <c r="E473" s="101"/>
      <c r="F473" s="99"/>
      <c r="G473" s="99"/>
      <c r="H473" s="84"/>
    </row>
    <row r="474" spans="1:8" ht="15.75" x14ac:dyDescent="0.25">
      <c r="A474" s="99"/>
      <c r="B474" s="99"/>
      <c r="C474" s="99"/>
      <c r="D474" s="99"/>
      <c r="E474" s="101"/>
      <c r="F474" s="99"/>
      <c r="G474" s="99"/>
      <c r="H474" s="84"/>
    </row>
    <row r="475" spans="1:8" ht="15.75" x14ac:dyDescent="0.25">
      <c r="A475" s="99"/>
      <c r="B475" s="99"/>
      <c r="C475" s="99"/>
      <c r="D475" s="99"/>
      <c r="E475" s="101"/>
      <c r="F475" s="99"/>
      <c r="G475" s="99"/>
      <c r="H475" s="25"/>
    </row>
    <row r="476" spans="1:8" ht="15.75" x14ac:dyDescent="0.25">
      <c r="A476" s="99"/>
      <c r="B476" s="99"/>
      <c r="C476" s="99"/>
      <c r="D476" s="99"/>
      <c r="E476" s="101"/>
      <c r="F476" s="99"/>
      <c r="G476" s="99"/>
      <c r="H476" s="84"/>
    </row>
    <row r="477" spans="1:8" ht="15.75" x14ac:dyDescent="0.25">
      <c r="A477" s="99"/>
      <c r="B477" s="99"/>
      <c r="C477" s="99"/>
      <c r="D477" s="99"/>
      <c r="E477" s="101"/>
      <c r="F477" s="99"/>
      <c r="G477" s="99"/>
      <c r="H477" s="84"/>
    </row>
    <row r="478" spans="1:8" ht="15.75" x14ac:dyDescent="0.25">
      <c r="A478" s="99"/>
      <c r="B478" s="99"/>
      <c r="C478" s="99"/>
      <c r="D478" s="99"/>
      <c r="E478" s="101"/>
      <c r="F478" s="99"/>
      <c r="G478" s="99"/>
      <c r="H478" s="84"/>
    </row>
    <row r="479" spans="1:8" ht="15.75" x14ac:dyDescent="0.25">
      <c r="A479" s="99"/>
      <c r="B479" s="99"/>
      <c r="C479" s="99"/>
      <c r="D479" s="99"/>
      <c r="E479" s="101"/>
      <c r="F479" s="99"/>
      <c r="G479" s="99"/>
      <c r="H479" s="84"/>
    </row>
    <row r="480" spans="1:8" ht="15.75" x14ac:dyDescent="0.25">
      <c r="A480" s="99"/>
      <c r="B480" s="99"/>
      <c r="C480" s="99"/>
      <c r="D480" s="99"/>
      <c r="E480" s="101"/>
      <c r="F480" s="99"/>
      <c r="G480" s="99"/>
      <c r="H480" s="84"/>
    </row>
    <row r="481" spans="1:8" ht="15.75" x14ac:dyDescent="0.25">
      <c r="A481" s="99"/>
      <c r="B481" s="99"/>
      <c r="C481" s="99"/>
      <c r="D481" s="99"/>
      <c r="E481" s="101"/>
      <c r="F481" s="99"/>
      <c r="G481" s="99"/>
      <c r="H481" s="84"/>
    </row>
    <row r="482" spans="1:8" ht="15.75" x14ac:dyDescent="0.25">
      <c r="A482" s="99"/>
      <c r="B482" s="99"/>
      <c r="C482" s="99"/>
      <c r="D482" s="99"/>
      <c r="E482" s="101"/>
      <c r="F482" s="99"/>
      <c r="G482" s="99"/>
      <c r="H482" s="84"/>
    </row>
    <row r="483" spans="1:8" ht="15.75" x14ac:dyDescent="0.25">
      <c r="A483" s="99"/>
      <c r="B483" s="99"/>
      <c r="C483" s="99"/>
      <c r="D483" s="99"/>
      <c r="E483" s="101"/>
      <c r="F483" s="99"/>
      <c r="G483" s="99"/>
      <c r="H483" s="84"/>
    </row>
    <row r="484" spans="1:8" ht="15.75" x14ac:dyDescent="0.25">
      <c r="A484" s="99"/>
      <c r="B484" s="99"/>
      <c r="C484" s="99"/>
      <c r="D484" s="99"/>
      <c r="E484" s="101"/>
      <c r="F484" s="99"/>
      <c r="G484" s="99"/>
      <c r="H484" s="84"/>
    </row>
    <row r="485" spans="1:8" ht="15.75" x14ac:dyDescent="0.25">
      <c r="A485" s="99"/>
      <c r="B485" s="99"/>
      <c r="C485" s="99"/>
      <c r="D485" s="99"/>
      <c r="E485" s="101"/>
      <c r="F485" s="99"/>
      <c r="G485" s="99"/>
      <c r="H485" s="84"/>
    </row>
    <row r="486" spans="1:8" ht="15.75" x14ac:dyDescent="0.25">
      <c r="A486" s="99"/>
      <c r="B486" s="99"/>
      <c r="C486" s="99"/>
      <c r="D486" s="99"/>
      <c r="E486" s="101"/>
      <c r="F486" s="99"/>
      <c r="G486" s="99"/>
      <c r="H486" s="84"/>
    </row>
    <row r="487" spans="1:8" ht="15.75" x14ac:dyDescent="0.25">
      <c r="A487" s="99"/>
      <c r="B487" s="99"/>
      <c r="C487" s="99"/>
      <c r="D487" s="99"/>
      <c r="E487" s="101"/>
      <c r="F487" s="99"/>
      <c r="G487" s="99"/>
      <c r="H487" s="84"/>
    </row>
    <row r="488" spans="1:8" ht="15.75" x14ac:dyDescent="0.25">
      <c r="A488" s="99"/>
      <c r="B488" s="99"/>
      <c r="C488" s="99"/>
      <c r="D488" s="99"/>
      <c r="E488" s="101"/>
      <c r="F488" s="99"/>
      <c r="G488" s="99"/>
      <c r="H488" s="84"/>
    </row>
    <row r="489" spans="1:8" ht="15.75" x14ac:dyDescent="0.25">
      <c r="A489" s="99"/>
      <c r="B489" s="99"/>
      <c r="C489" s="99"/>
      <c r="D489" s="99"/>
      <c r="E489" s="101"/>
      <c r="F489" s="99"/>
      <c r="G489" s="99"/>
      <c r="H489" s="84"/>
    </row>
    <row r="490" spans="1:8" ht="15.75" x14ac:dyDescent="0.25">
      <c r="A490" s="99"/>
      <c r="B490" s="99"/>
      <c r="C490" s="99"/>
      <c r="D490" s="99"/>
      <c r="E490" s="101"/>
      <c r="F490" s="99"/>
      <c r="G490" s="99"/>
      <c r="H490" s="84"/>
    </row>
    <row r="491" spans="1:8" ht="15.75" x14ac:dyDescent="0.25">
      <c r="A491" s="99"/>
      <c r="B491" s="99"/>
      <c r="C491" s="99"/>
      <c r="D491" s="99"/>
      <c r="E491" s="101"/>
      <c r="F491" s="99"/>
      <c r="G491" s="99"/>
      <c r="H491" s="84"/>
    </row>
    <row r="492" spans="1:8" ht="15.75" x14ac:dyDescent="0.25">
      <c r="A492" s="99"/>
      <c r="B492" s="99"/>
      <c r="C492" s="99"/>
      <c r="D492" s="99"/>
      <c r="E492" s="101"/>
      <c r="F492" s="99"/>
      <c r="G492" s="99"/>
      <c r="H492" s="84"/>
    </row>
    <row r="493" spans="1:8" ht="15.75" x14ac:dyDescent="0.25">
      <c r="A493" s="99"/>
      <c r="B493" s="99"/>
      <c r="C493" s="99"/>
      <c r="D493" s="99"/>
      <c r="E493" s="101"/>
      <c r="F493" s="99"/>
      <c r="G493" s="99"/>
      <c r="H493" s="84"/>
    </row>
    <row r="494" spans="1:8" ht="15.75" x14ac:dyDescent="0.25">
      <c r="A494" s="99"/>
      <c r="B494" s="99"/>
      <c r="C494" s="99"/>
      <c r="D494" s="99"/>
      <c r="E494" s="101"/>
      <c r="F494" s="99"/>
      <c r="G494" s="99"/>
      <c r="H494" s="84"/>
    </row>
    <row r="495" spans="1:8" ht="15.75" x14ac:dyDescent="0.25">
      <c r="A495" s="99"/>
      <c r="B495" s="99"/>
      <c r="C495" s="99"/>
      <c r="D495" s="99"/>
      <c r="E495" s="101"/>
      <c r="F495" s="99"/>
      <c r="G495" s="99"/>
      <c r="H495" s="84"/>
    </row>
    <row r="496" spans="1:8" ht="15.75" x14ac:dyDescent="0.25">
      <c r="A496" s="99"/>
      <c r="B496" s="99"/>
      <c r="C496" s="99"/>
      <c r="D496" s="99"/>
      <c r="E496" s="101"/>
      <c r="F496" s="99"/>
      <c r="G496" s="99"/>
      <c r="H496" s="84"/>
    </row>
    <row r="497" spans="1:8" ht="15.75" x14ac:dyDescent="0.25">
      <c r="A497" s="99"/>
      <c r="B497" s="99"/>
      <c r="C497" s="99"/>
      <c r="D497" s="99"/>
      <c r="E497" s="101"/>
      <c r="F497" s="99"/>
      <c r="G497" s="99"/>
      <c r="H497" s="84"/>
    </row>
    <row r="498" spans="1:8" ht="15.75" x14ac:dyDescent="0.25">
      <c r="A498" s="99"/>
      <c r="B498" s="99"/>
      <c r="C498" s="99"/>
      <c r="D498" s="99"/>
      <c r="E498" s="101"/>
      <c r="F498" s="99"/>
      <c r="G498" s="99"/>
      <c r="H498" s="84"/>
    </row>
    <row r="499" spans="1:8" ht="15.75" x14ac:dyDescent="0.25">
      <c r="A499" s="99"/>
      <c r="B499" s="99"/>
      <c r="C499" s="99"/>
      <c r="D499" s="99"/>
      <c r="E499" s="101"/>
      <c r="F499" s="99"/>
      <c r="G499" s="99"/>
      <c r="H499" s="84"/>
    </row>
    <row r="500" spans="1:8" ht="15.75" x14ac:dyDescent="0.25">
      <c r="A500" s="99"/>
      <c r="B500" s="99"/>
      <c r="C500" s="99"/>
      <c r="D500" s="99"/>
      <c r="E500" s="101"/>
      <c r="F500" s="99"/>
      <c r="G500" s="99"/>
      <c r="H500" s="84"/>
    </row>
    <row r="501" spans="1:8" ht="15.75" x14ac:dyDescent="0.25">
      <c r="A501" s="99"/>
      <c r="B501" s="99"/>
      <c r="C501" s="99"/>
      <c r="D501" s="99"/>
      <c r="E501" s="101"/>
      <c r="F501" s="99"/>
      <c r="G501" s="99"/>
      <c r="H501" s="84"/>
    </row>
    <row r="502" spans="1:8" ht="15.75" x14ac:dyDescent="0.25">
      <c r="A502" s="99"/>
      <c r="B502" s="99"/>
      <c r="C502" s="99"/>
      <c r="D502" s="99"/>
      <c r="E502" s="101"/>
      <c r="F502" s="99"/>
      <c r="G502" s="99"/>
      <c r="H502" s="84"/>
    </row>
    <row r="503" spans="1:8" ht="15.75" x14ac:dyDescent="0.25">
      <c r="A503" s="99"/>
      <c r="B503" s="99"/>
      <c r="C503" s="99"/>
      <c r="D503" s="99"/>
      <c r="E503" s="101"/>
      <c r="F503" s="99"/>
      <c r="G503" s="99"/>
      <c r="H503" s="84"/>
    </row>
    <row r="504" spans="1:8" ht="15.75" x14ac:dyDescent="0.25">
      <c r="A504" s="99"/>
      <c r="B504" s="99"/>
      <c r="C504" s="99"/>
      <c r="D504" s="99"/>
      <c r="E504" s="101"/>
      <c r="F504" s="99"/>
      <c r="G504" s="99"/>
      <c r="H504" s="84"/>
    </row>
    <row r="505" spans="1:8" ht="15.75" x14ac:dyDescent="0.25">
      <c r="A505" s="99"/>
      <c r="B505" s="99"/>
      <c r="C505" s="99"/>
      <c r="D505" s="99"/>
      <c r="E505" s="101"/>
      <c r="F505" s="99"/>
      <c r="G505" s="99"/>
      <c r="H505" s="84"/>
    </row>
    <row r="506" spans="1:8" ht="15.75" x14ac:dyDescent="0.25">
      <c r="A506" s="99"/>
      <c r="B506" s="99"/>
      <c r="C506" s="99"/>
      <c r="D506" s="99"/>
      <c r="E506" s="101"/>
      <c r="F506" s="99"/>
      <c r="G506" s="99"/>
      <c r="H506" s="84"/>
    </row>
    <row r="507" spans="1:8" ht="15.75" x14ac:dyDescent="0.25">
      <c r="A507" s="99"/>
      <c r="B507" s="99"/>
      <c r="C507" s="99"/>
      <c r="D507" s="99"/>
      <c r="E507" s="101"/>
      <c r="F507" s="99"/>
      <c r="G507" s="99"/>
      <c r="H507" s="84"/>
    </row>
    <row r="508" spans="1:8" ht="15.75" x14ac:dyDescent="0.25">
      <c r="A508" s="99"/>
      <c r="B508" s="99"/>
      <c r="C508" s="99"/>
      <c r="D508" s="99"/>
      <c r="E508" s="101"/>
      <c r="F508" s="99"/>
      <c r="G508" s="99"/>
      <c r="H508" s="84"/>
    </row>
    <row r="509" spans="1:8" ht="15.75" x14ac:dyDescent="0.25">
      <c r="A509" s="99"/>
      <c r="B509" s="99"/>
      <c r="C509" s="99"/>
      <c r="D509" s="99"/>
      <c r="E509" s="101"/>
      <c r="F509" s="99"/>
      <c r="G509" s="99"/>
      <c r="H509" s="84"/>
    </row>
    <row r="510" spans="1:8" ht="15.75" x14ac:dyDescent="0.25">
      <c r="A510" s="99"/>
      <c r="B510" s="99"/>
      <c r="C510" s="99"/>
      <c r="D510" s="99"/>
      <c r="E510" s="101"/>
      <c r="F510" s="99"/>
      <c r="G510" s="99"/>
      <c r="H510" s="84"/>
    </row>
    <row r="511" spans="1:8" ht="15.75" x14ac:dyDescent="0.25">
      <c r="A511" s="99"/>
      <c r="B511" s="99"/>
      <c r="C511" s="99"/>
      <c r="D511" s="99"/>
      <c r="E511" s="101"/>
      <c r="F511" s="99"/>
      <c r="G511" s="99"/>
      <c r="H511" s="84"/>
    </row>
    <row r="512" spans="1:8" ht="15.75" x14ac:dyDescent="0.25">
      <c r="A512" s="99"/>
      <c r="B512" s="99"/>
      <c r="C512" s="99"/>
      <c r="D512" s="99"/>
      <c r="E512" s="101"/>
      <c r="F512" s="99"/>
      <c r="G512" s="99"/>
      <c r="H512" s="84"/>
    </row>
    <row r="513" spans="1:8" ht="15.75" x14ac:dyDescent="0.25">
      <c r="A513" s="99"/>
      <c r="B513" s="99"/>
      <c r="C513" s="99"/>
      <c r="D513" s="99"/>
      <c r="E513" s="101"/>
      <c r="F513" s="99"/>
      <c r="G513" s="99"/>
      <c r="H513" s="84"/>
    </row>
    <row r="514" spans="1:8" ht="15.75" x14ac:dyDescent="0.25">
      <c r="A514" s="99"/>
      <c r="B514" s="99"/>
      <c r="C514" s="99"/>
      <c r="D514" s="99"/>
      <c r="E514" s="101"/>
      <c r="F514" s="99"/>
      <c r="G514" s="99"/>
      <c r="H514" s="84"/>
    </row>
    <row r="515" spans="1:8" ht="15.75" x14ac:dyDescent="0.25">
      <c r="A515" s="99"/>
      <c r="B515" s="99"/>
      <c r="C515" s="99"/>
      <c r="D515" s="99"/>
      <c r="E515" s="101"/>
      <c r="F515" s="99"/>
      <c r="G515" s="99"/>
      <c r="H515" s="84"/>
    </row>
    <row r="516" spans="1:8" ht="15.75" x14ac:dyDescent="0.25">
      <c r="A516" s="99"/>
      <c r="B516" s="99"/>
      <c r="C516" s="99"/>
      <c r="D516" s="99"/>
      <c r="E516" s="101"/>
      <c r="F516" s="99"/>
      <c r="G516" s="99"/>
      <c r="H516" s="84"/>
    </row>
    <row r="517" spans="1:8" ht="15.75" x14ac:dyDescent="0.25">
      <c r="A517" s="99"/>
      <c r="B517" s="99"/>
      <c r="C517" s="99"/>
      <c r="D517" s="99"/>
      <c r="E517" s="101"/>
      <c r="F517" s="99"/>
      <c r="G517" s="99"/>
      <c r="H517" s="84"/>
    </row>
    <row r="518" spans="1:8" ht="15.75" x14ac:dyDescent="0.25">
      <c r="A518" s="99"/>
      <c r="B518" s="99"/>
      <c r="C518" s="99"/>
      <c r="D518" s="99"/>
      <c r="E518" s="101"/>
      <c r="F518" s="99"/>
      <c r="G518" s="99"/>
      <c r="H518" s="84"/>
    </row>
    <row r="519" spans="1:8" ht="15.75" x14ac:dyDescent="0.25">
      <c r="A519" s="99"/>
      <c r="B519" s="99"/>
      <c r="C519" s="99"/>
      <c r="D519" s="99"/>
      <c r="E519" s="101"/>
      <c r="F519" s="99"/>
      <c r="G519" s="99"/>
      <c r="H519" s="84"/>
    </row>
    <row r="520" spans="1:8" ht="15.75" x14ac:dyDescent="0.25">
      <c r="A520" s="99"/>
      <c r="B520" s="99"/>
      <c r="C520" s="99"/>
      <c r="D520" s="99"/>
      <c r="E520" s="101"/>
      <c r="F520" s="99"/>
      <c r="G520" s="99"/>
      <c r="H520" s="84"/>
    </row>
    <row r="521" spans="1:8" ht="15.75" x14ac:dyDescent="0.25">
      <c r="A521" s="99"/>
      <c r="B521" s="99"/>
      <c r="C521" s="99"/>
      <c r="D521" s="99"/>
      <c r="E521" s="101"/>
      <c r="F521" s="99"/>
      <c r="G521" s="99"/>
      <c r="H521" s="84"/>
    </row>
    <row r="522" spans="1:8" ht="15.75" x14ac:dyDescent="0.25">
      <c r="A522" s="99"/>
      <c r="B522" s="99"/>
      <c r="C522" s="99"/>
      <c r="D522" s="99"/>
      <c r="E522" s="101"/>
      <c r="F522" s="99"/>
      <c r="G522" s="99"/>
      <c r="H522" s="84"/>
    </row>
    <row r="523" spans="1:8" ht="15.75" x14ac:dyDescent="0.25">
      <c r="A523" s="99"/>
      <c r="B523" s="99"/>
      <c r="C523" s="99"/>
      <c r="D523" s="99"/>
      <c r="E523" s="101"/>
      <c r="F523" s="99"/>
      <c r="G523" s="99"/>
      <c r="H523" s="84"/>
    </row>
    <row r="524" spans="1:8" ht="15.75" x14ac:dyDescent="0.25">
      <c r="A524" s="99"/>
      <c r="B524" s="99"/>
      <c r="C524" s="99"/>
      <c r="D524" s="99"/>
      <c r="E524" s="101"/>
      <c r="F524" s="99"/>
      <c r="G524" s="99"/>
      <c r="H524" s="84"/>
    </row>
    <row r="525" spans="1:8" ht="15.75" x14ac:dyDescent="0.25">
      <c r="A525" s="99"/>
      <c r="B525" s="99"/>
      <c r="C525" s="99"/>
      <c r="D525" s="99"/>
      <c r="E525" s="101"/>
      <c r="F525" s="99"/>
      <c r="G525" s="99"/>
      <c r="H525" s="84"/>
    </row>
    <row r="526" spans="1:8" ht="15.75" x14ac:dyDescent="0.25">
      <c r="A526" s="99"/>
      <c r="B526" s="99"/>
      <c r="C526" s="99"/>
      <c r="D526" s="99"/>
      <c r="E526" s="101"/>
      <c r="F526" s="99"/>
      <c r="G526" s="99"/>
      <c r="H526" s="84"/>
    </row>
    <row r="527" spans="1:8" ht="15.75" x14ac:dyDescent="0.25">
      <c r="A527" s="99"/>
      <c r="B527" s="99"/>
      <c r="C527" s="99"/>
      <c r="D527" s="99"/>
      <c r="E527" s="101"/>
      <c r="F527" s="99"/>
      <c r="G527" s="99"/>
      <c r="H527" s="84"/>
    </row>
    <row r="528" spans="1:8" ht="15.75" x14ac:dyDescent="0.25">
      <c r="A528" s="99"/>
      <c r="B528" s="99"/>
      <c r="C528" s="99"/>
      <c r="D528" s="99"/>
      <c r="E528" s="101"/>
      <c r="F528" s="99"/>
      <c r="G528" s="99"/>
      <c r="H528" s="84"/>
    </row>
    <row r="529" spans="1:8" ht="15.75" x14ac:dyDescent="0.25">
      <c r="A529" s="99"/>
      <c r="B529" s="99"/>
      <c r="C529" s="99"/>
      <c r="D529" s="99"/>
      <c r="E529" s="101"/>
      <c r="F529" s="99"/>
      <c r="G529" s="99"/>
      <c r="H529" s="84"/>
    </row>
    <row r="530" spans="1:8" ht="15.75" x14ac:dyDescent="0.25">
      <c r="A530" s="99"/>
      <c r="B530" s="99"/>
      <c r="C530" s="99"/>
      <c r="D530" s="99"/>
      <c r="E530" s="101"/>
      <c r="F530" s="99"/>
      <c r="G530" s="102"/>
      <c r="H530" s="84"/>
    </row>
    <row r="531" spans="1:8" ht="15.75" x14ac:dyDescent="0.25">
      <c r="A531" s="99"/>
      <c r="B531" s="99"/>
      <c r="C531" s="99"/>
      <c r="D531" s="99"/>
      <c r="E531" s="101"/>
      <c r="F531" s="99"/>
      <c r="G531" s="102"/>
      <c r="H531" s="84"/>
    </row>
    <row r="532" spans="1:8" ht="15.75" x14ac:dyDescent="0.25">
      <c r="A532" s="99"/>
      <c r="B532" s="99"/>
      <c r="C532" s="99"/>
      <c r="D532" s="99"/>
      <c r="E532" s="101"/>
      <c r="F532" s="99"/>
      <c r="G532" s="102"/>
      <c r="H532" s="84"/>
    </row>
    <row r="533" spans="1:8" ht="15.75" x14ac:dyDescent="0.25">
      <c r="A533" s="99"/>
      <c r="B533" s="99"/>
      <c r="C533" s="99"/>
      <c r="D533" s="99"/>
      <c r="E533" s="101"/>
      <c r="F533" s="99"/>
      <c r="G533" s="102"/>
      <c r="H533" s="84"/>
    </row>
    <row r="534" spans="1:8" ht="15.75" x14ac:dyDescent="0.25">
      <c r="A534" s="99"/>
      <c r="B534" s="99"/>
      <c r="C534" s="99"/>
      <c r="D534" s="99"/>
      <c r="E534" s="101"/>
      <c r="F534" s="99"/>
      <c r="G534" s="102"/>
      <c r="H534" s="84"/>
    </row>
    <row r="535" spans="1:8" ht="15.75" x14ac:dyDescent="0.25">
      <c r="A535" s="99"/>
      <c r="B535" s="99"/>
      <c r="C535" s="99"/>
      <c r="D535" s="99"/>
      <c r="E535" s="101"/>
      <c r="F535" s="99"/>
      <c r="G535" s="102"/>
      <c r="H535" s="84"/>
    </row>
    <row r="536" spans="1:8" ht="15.75" x14ac:dyDescent="0.25">
      <c r="A536" s="99"/>
      <c r="B536" s="99"/>
      <c r="C536" s="99"/>
      <c r="D536" s="99"/>
      <c r="E536" s="101"/>
      <c r="F536" s="99"/>
      <c r="G536" s="102"/>
      <c r="H536" s="84"/>
    </row>
    <row r="537" spans="1:8" ht="15.75" x14ac:dyDescent="0.25">
      <c r="A537" s="99"/>
      <c r="B537" s="99"/>
      <c r="C537" s="99"/>
      <c r="D537" s="99"/>
      <c r="E537" s="101"/>
      <c r="F537" s="99"/>
      <c r="G537" s="102"/>
      <c r="H537" s="84"/>
    </row>
    <row r="538" spans="1:8" ht="15.75" x14ac:dyDescent="0.25">
      <c r="A538" s="99"/>
      <c r="B538" s="99"/>
      <c r="C538" s="99"/>
      <c r="D538" s="99"/>
      <c r="E538" s="101"/>
      <c r="F538" s="99"/>
      <c r="G538" s="102"/>
      <c r="H538" s="84"/>
    </row>
    <row r="539" spans="1:8" ht="15.75" x14ac:dyDescent="0.25">
      <c r="A539" s="99"/>
      <c r="B539" s="99"/>
      <c r="C539" s="99"/>
      <c r="D539" s="99"/>
      <c r="E539" s="101"/>
      <c r="F539" s="99"/>
      <c r="G539" s="102"/>
      <c r="H539" s="84"/>
    </row>
    <row r="540" spans="1:8" ht="15.75" x14ac:dyDescent="0.25">
      <c r="A540" s="99"/>
      <c r="B540" s="99"/>
      <c r="C540" s="99"/>
      <c r="D540" s="99"/>
      <c r="E540" s="101"/>
      <c r="F540" s="99"/>
      <c r="G540" s="102"/>
      <c r="H540" s="84"/>
    </row>
    <row r="541" spans="1:8" ht="15.75" x14ac:dyDescent="0.25">
      <c r="A541" s="99"/>
      <c r="B541" s="99"/>
      <c r="C541" s="99"/>
      <c r="D541" s="99"/>
      <c r="E541" s="101"/>
      <c r="F541" s="99"/>
      <c r="G541" s="102"/>
      <c r="H541" s="84"/>
    </row>
    <row r="542" spans="1:8" ht="15.75" x14ac:dyDescent="0.25">
      <c r="A542" s="99"/>
      <c r="B542" s="99"/>
      <c r="C542" s="99"/>
      <c r="D542" s="99"/>
      <c r="E542" s="101"/>
      <c r="F542" s="99"/>
      <c r="G542" s="102"/>
      <c r="H542" s="84"/>
    </row>
    <row r="543" spans="1:8" ht="15.75" x14ac:dyDescent="0.25">
      <c r="A543" s="99"/>
      <c r="B543" s="99"/>
      <c r="C543" s="99"/>
      <c r="D543" s="99"/>
      <c r="E543" s="101"/>
      <c r="F543" s="99"/>
      <c r="G543" s="102"/>
      <c r="H543" s="84"/>
    </row>
    <row r="544" spans="1:8" ht="15.75" x14ac:dyDescent="0.25">
      <c r="A544" s="99"/>
      <c r="B544" s="99"/>
      <c r="C544" s="99"/>
      <c r="D544" s="99"/>
      <c r="E544" s="101"/>
      <c r="F544" s="99"/>
      <c r="G544" s="102"/>
      <c r="H544" s="84"/>
    </row>
    <row r="545" spans="1:8" ht="15.75" x14ac:dyDescent="0.25">
      <c r="A545" s="99"/>
      <c r="B545" s="99"/>
      <c r="C545" s="99"/>
      <c r="D545" s="99"/>
      <c r="E545" s="101"/>
      <c r="F545" s="99"/>
      <c r="G545" s="102"/>
      <c r="H545" s="84"/>
    </row>
    <row r="546" spans="1:8" ht="15.75" x14ac:dyDescent="0.25">
      <c r="A546" s="99"/>
      <c r="B546" s="99"/>
      <c r="C546" s="99"/>
      <c r="D546" s="99"/>
      <c r="E546" s="101"/>
      <c r="F546" s="99"/>
      <c r="G546" s="102"/>
      <c r="H546" s="84"/>
    </row>
    <row r="547" spans="1:8" ht="15.75" x14ac:dyDescent="0.25">
      <c r="A547" s="99"/>
      <c r="B547" s="99"/>
      <c r="C547" s="99"/>
      <c r="D547" s="99"/>
      <c r="E547" s="101"/>
      <c r="F547" s="99"/>
      <c r="G547" s="102"/>
      <c r="H547" s="84"/>
    </row>
    <row r="548" spans="1:8" ht="15.75" x14ac:dyDescent="0.25">
      <c r="A548" s="99"/>
      <c r="B548" s="99"/>
      <c r="C548" s="99"/>
      <c r="D548" s="99"/>
      <c r="E548" s="101"/>
      <c r="F548" s="99"/>
      <c r="G548" s="102"/>
      <c r="H548" s="84"/>
    </row>
    <row r="549" spans="1:8" ht="15.75" x14ac:dyDescent="0.25">
      <c r="A549" s="99"/>
      <c r="B549" s="99"/>
      <c r="C549" s="99"/>
      <c r="D549" s="99"/>
      <c r="E549" s="101"/>
      <c r="F549" s="99"/>
      <c r="G549" s="102"/>
      <c r="H549" s="84"/>
    </row>
    <row r="550" spans="1:8" ht="15.75" x14ac:dyDescent="0.25">
      <c r="A550" s="99"/>
      <c r="B550" s="99"/>
      <c r="C550" s="99"/>
      <c r="D550" s="99"/>
      <c r="E550" s="101"/>
      <c r="F550" s="99"/>
      <c r="G550" s="102"/>
      <c r="H550" s="84"/>
    </row>
    <row r="551" spans="1:8" ht="15.75" x14ac:dyDescent="0.25">
      <c r="A551" s="99"/>
      <c r="B551" s="99"/>
      <c r="C551" s="99"/>
      <c r="D551" s="99"/>
      <c r="E551" s="101"/>
      <c r="F551" s="99"/>
      <c r="G551" s="102"/>
      <c r="H551" s="84"/>
    </row>
    <row r="552" spans="1:8" ht="15.75" x14ac:dyDescent="0.25">
      <c r="A552" s="99"/>
      <c r="B552" s="99"/>
      <c r="C552" s="99"/>
      <c r="D552" s="99"/>
      <c r="E552" s="101"/>
      <c r="F552" s="99"/>
      <c r="G552" s="102"/>
      <c r="H552" s="84"/>
    </row>
    <row r="553" spans="1:8" ht="15.75" x14ac:dyDescent="0.25">
      <c r="A553" s="99"/>
      <c r="B553" s="99"/>
      <c r="C553" s="99"/>
      <c r="D553" s="99"/>
      <c r="E553" s="101"/>
      <c r="F553" s="99"/>
      <c r="G553" s="102"/>
      <c r="H553" s="84"/>
    </row>
    <row r="554" spans="1:8" ht="15.75" x14ac:dyDescent="0.25">
      <c r="A554" s="99"/>
      <c r="B554" s="99"/>
      <c r="C554" s="99"/>
      <c r="D554" s="99"/>
      <c r="E554" s="101"/>
      <c r="F554" s="99"/>
      <c r="G554" s="102"/>
      <c r="H554" s="84"/>
    </row>
    <row r="555" spans="1:8" ht="15.75" x14ac:dyDescent="0.25">
      <c r="A555" s="99"/>
      <c r="B555" s="99"/>
      <c r="C555" s="99"/>
      <c r="D555" s="99"/>
      <c r="E555" s="101"/>
      <c r="F555" s="99"/>
      <c r="G555" s="102"/>
      <c r="H555" s="84"/>
    </row>
    <row r="556" spans="1:8" ht="15.75" x14ac:dyDescent="0.25">
      <c r="A556" s="99"/>
      <c r="B556" s="99"/>
      <c r="C556" s="99"/>
      <c r="D556" s="99"/>
      <c r="E556" s="101"/>
      <c r="F556" s="99"/>
      <c r="G556" s="102"/>
      <c r="H556" s="84"/>
    </row>
    <row r="557" spans="1:8" ht="15.75" x14ac:dyDescent="0.25">
      <c r="A557" s="99"/>
      <c r="B557" s="99"/>
      <c r="C557" s="99"/>
      <c r="D557" s="99"/>
      <c r="E557" s="101"/>
      <c r="F557" s="99"/>
      <c r="G557" s="102"/>
      <c r="H557" s="84"/>
    </row>
    <row r="558" spans="1:8" ht="15.75" x14ac:dyDescent="0.25">
      <c r="A558" s="99"/>
      <c r="B558" s="99"/>
      <c r="C558" s="99"/>
      <c r="D558" s="99"/>
      <c r="E558" s="101"/>
      <c r="F558" s="99"/>
      <c r="G558" s="102"/>
      <c r="H558" s="84"/>
    </row>
    <row r="559" spans="1:8" ht="15.75" x14ac:dyDescent="0.25">
      <c r="A559" s="99"/>
      <c r="B559" s="99"/>
      <c r="C559" s="99"/>
      <c r="D559" s="99"/>
      <c r="E559" s="101"/>
      <c r="F559" s="99"/>
      <c r="G559" s="102"/>
      <c r="H559" s="84"/>
    </row>
    <row r="560" spans="1:8" ht="15.75" x14ac:dyDescent="0.25">
      <c r="A560" s="99"/>
      <c r="B560" s="99"/>
      <c r="C560" s="99"/>
      <c r="D560" s="99"/>
      <c r="E560" s="101"/>
      <c r="F560" s="99"/>
      <c r="G560" s="102"/>
      <c r="H560" s="84"/>
    </row>
    <row r="561" spans="1:8" ht="15.75" x14ac:dyDescent="0.25">
      <c r="A561" s="99"/>
      <c r="B561" s="99"/>
      <c r="C561" s="99"/>
      <c r="D561" s="99"/>
      <c r="E561" s="101"/>
      <c r="F561" s="99"/>
      <c r="G561" s="102"/>
      <c r="H561" s="84"/>
    </row>
    <row r="562" spans="1:8" ht="15.75" x14ac:dyDescent="0.25">
      <c r="A562" s="99"/>
      <c r="B562" s="99"/>
      <c r="C562" s="99"/>
      <c r="D562" s="99"/>
      <c r="E562" s="101"/>
      <c r="F562" s="99"/>
      <c r="G562" s="102"/>
      <c r="H562" s="84"/>
    </row>
    <row r="563" spans="1:8" ht="15.75" x14ac:dyDescent="0.25">
      <c r="A563" s="99"/>
      <c r="B563" s="99"/>
      <c r="C563" s="99"/>
      <c r="D563" s="99"/>
      <c r="E563" s="101"/>
      <c r="F563" s="99"/>
      <c r="G563" s="102"/>
      <c r="H563" s="84"/>
    </row>
    <row r="564" spans="1:8" ht="15.75" x14ac:dyDescent="0.25">
      <c r="A564" s="99"/>
      <c r="B564" s="99"/>
      <c r="C564" s="99"/>
      <c r="D564" s="99"/>
      <c r="E564" s="101"/>
      <c r="F564" s="99"/>
      <c r="G564" s="102"/>
      <c r="H564" s="84"/>
    </row>
    <row r="565" spans="1:8" ht="15.75" x14ac:dyDescent="0.25">
      <c r="A565" s="99"/>
      <c r="B565" s="99"/>
      <c r="C565" s="99"/>
      <c r="D565" s="99"/>
      <c r="E565" s="101"/>
      <c r="F565" s="99"/>
      <c r="G565" s="102"/>
      <c r="H565" s="84"/>
    </row>
    <row r="566" spans="1:8" ht="15.75" x14ac:dyDescent="0.25">
      <c r="A566" s="99"/>
      <c r="B566" s="99"/>
      <c r="C566" s="99"/>
      <c r="D566" s="99"/>
      <c r="E566" s="101"/>
      <c r="F566" s="99"/>
      <c r="G566" s="102"/>
      <c r="H566" s="84"/>
    </row>
    <row r="567" spans="1:8" ht="15.75" x14ac:dyDescent="0.25">
      <c r="A567" s="99"/>
      <c r="B567" s="99"/>
      <c r="C567" s="99"/>
      <c r="D567" s="99"/>
      <c r="E567" s="101"/>
      <c r="F567" s="99"/>
      <c r="G567" s="102"/>
      <c r="H567" s="84"/>
    </row>
    <row r="568" spans="1:8" ht="15.75" x14ac:dyDescent="0.25">
      <c r="A568" s="99"/>
      <c r="B568" s="99"/>
      <c r="C568" s="99"/>
      <c r="D568" s="99"/>
      <c r="E568" s="101"/>
      <c r="F568" s="99"/>
      <c r="G568" s="102"/>
      <c r="H568" s="84"/>
    </row>
    <row r="569" spans="1:8" ht="15.75" x14ac:dyDescent="0.25">
      <c r="A569" s="99"/>
      <c r="B569" s="99"/>
      <c r="C569" s="99"/>
      <c r="D569" s="99"/>
      <c r="E569" s="101"/>
      <c r="F569" s="99"/>
      <c r="G569" s="102"/>
      <c r="H569" s="84"/>
    </row>
    <row r="570" spans="1:8" ht="15.75" x14ac:dyDescent="0.25">
      <c r="A570" s="99"/>
      <c r="B570" s="99"/>
      <c r="C570" s="99"/>
      <c r="D570" s="99"/>
      <c r="E570" s="101"/>
      <c r="F570" s="99"/>
      <c r="G570" s="102"/>
      <c r="H570" s="84"/>
    </row>
    <row r="571" spans="1:8" ht="15.75" x14ac:dyDescent="0.25">
      <c r="A571" s="99"/>
      <c r="B571" s="99"/>
      <c r="C571" s="99"/>
      <c r="D571" s="99"/>
      <c r="E571" s="101"/>
      <c r="F571" s="99"/>
      <c r="G571" s="102"/>
      <c r="H571" s="84"/>
    </row>
    <row r="572" spans="1:8" ht="15.75" x14ac:dyDescent="0.25">
      <c r="A572" s="99"/>
      <c r="B572" s="99"/>
      <c r="C572" s="99"/>
      <c r="D572" s="99"/>
      <c r="E572" s="101"/>
      <c r="F572" s="99"/>
      <c r="G572" s="102"/>
      <c r="H572" s="84"/>
    </row>
    <row r="573" spans="1:8" ht="15.75" x14ac:dyDescent="0.25">
      <c r="A573" s="99"/>
      <c r="B573" s="99"/>
      <c r="C573" s="99"/>
      <c r="D573" s="99"/>
      <c r="E573" s="101"/>
      <c r="F573" s="99"/>
      <c r="G573" s="102"/>
      <c r="H573" s="84"/>
    </row>
    <row r="574" spans="1:8" ht="15.75" x14ac:dyDescent="0.25">
      <c r="A574" s="99"/>
      <c r="B574" s="99"/>
      <c r="C574" s="99"/>
      <c r="D574" s="99"/>
      <c r="E574" s="101"/>
      <c r="F574" s="99"/>
      <c r="G574" s="102"/>
      <c r="H574" s="84"/>
    </row>
    <row r="575" spans="1:8" ht="15.75" x14ac:dyDescent="0.25">
      <c r="A575" s="99"/>
      <c r="B575" s="99"/>
      <c r="C575" s="99"/>
      <c r="D575" s="99"/>
      <c r="E575" s="101"/>
      <c r="F575" s="99"/>
      <c r="G575" s="102"/>
      <c r="H575" s="84"/>
    </row>
    <row r="576" spans="1:8" ht="15.75" x14ac:dyDescent="0.25">
      <c r="A576" s="99"/>
      <c r="B576" s="99"/>
      <c r="C576" s="99"/>
      <c r="D576" s="99"/>
      <c r="E576" s="101"/>
      <c r="F576" s="99"/>
      <c r="G576" s="102"/>
      <c r="H576" s="84"/>
    </row>
    <row r="577" spans="1:8" ht="15.75" x14ac:dyDescent="0.25">
      <c r="A577" s="99"/>
      <c r="B577" s="99"/>
      <c r="C577" s="99"/>
      <c r="D577" s="99"/>
      <c r="E577" s="101"/>
      <c r="F577" s="99"/>
      <c r="G577" s="102"/>
      <c r="H577" s="84"/>
    </row>
    <row r="578" spans="1:8" ht="15.75" x14ac:dyDescent="0.25">
      <c r="A578" s="99"/>
      <c r="B578" s="99"/>
      <c r="C578" s="99"/>
      <c r="D578" s="99"/>
      <c r="E578" s="101"/>
      <c r="F578" s="99"/>
      <c r="G578" s="102"/>
      <c r="H578" s="84"/>
    </row>
    <row r="579" spans="1:8" ht="15.75" x14ac:dyDescent="0.25">
      <c r="A579" s="99"/>
      <c r="B579" s="99"/>
      <c r="C579" s="99"/>
      <c r="D579" s="99"/>
      <c r="E579" s="101"/>
      <c r="F579" s="99"/>
      <c r="G579" s="102"/>
      <c r="H579" s="84"/>
    </row>
    <row r="580" spans="1:8" ht="15.75" x14ac:dyDescent="0.25">
      <c r="A580" s="99"/>
      <c r="B580" s="99"/>
      <c r="C580" s="99"/>
      <c r="D580" s="99"/>
      <c r="E580" s="101"/>
      <c r="F580" s="99"/>
      <c r="G580" s="102"/>
      <c r="H580" s="84"/>
    </row>
    <row r="581" spans="1:8" ht="15.75" x14ac:dyDescent="0.25">
      <c r="A581" s="99"/>
      <c r="B581" s="99"/>
      <c r="C581" s="99"/>
      <c r="D581" s="99"/>
      <c r="E581" s="101"/>
      <c r="F581" s="99"/>
      <c r="G581" s="102"/>
      <c r="H581" s="84"/>
    </row>
    <row r="582" spans="1:8" ht="15.75" x14ac:dyDescent="0.25">
      <c r="A582" s="99"/>
      <c r="B582" s="99"/>
      <c r="C582" s="99"/>
      <c r="D582" s="99"/>
      <c r="E582" s="101"/>
      <c r="F582" s="99"/>
      <c r="G582" s="102"/>
      <c r="H582" s="84"/>
    </row>
    <row r="583" spans="1:8" ht="15.75" x14ac:dyDescent="0.25">
      <c r="A583" s="99"/>
      <c r="B583" s="99"/>
      <c r="C583" s="99"/>
      <c r="D583" s="99"/>
      <c r="E583" s="101"/>
      <c r="F583" s="99"/>
      <c r="G583" s="102"/>
      <c r="H583" s="84"/>
    </row>
    <row r="584" spans="1:8" ht="15.75" x14ac:dyDescent="0.25">
      <c r="A584" s="99"/>
      <c r="B584" s="99"/>
      <c r="C584" s="99"/>
      <c r="D584" s="99"/>
      <c r="E584" s="101"/>
      <c r="F584" s="99"/>
      <c r="G584" s="102"/>
      <c r="H584" s="84"/>
    </row>
    <row r="585" spans="1:8" ht="15.75" x14ac:dyDescent="0.25">
      <c r="A585" s="99"/>
      <c r="B585" s="99"/>
      <c r="C585" s="99"/>
      <c r="D585" s="99"/>
      <c r="E585" s="101"/>
      <c r="F585" s="99"/>
      <c r="G585" s="102"/>
      <c r="H585" s="84"/>
    </row>
    <row r="586" spans="1:8" ht="15.75" x14ac:dyDescent="0.25">
      <c r="A586" s="99"/>
      <c r="B586" s="99"/>
      <c r="C586" s="99"/>
      <c r="D586" s="99"/>
      <c r="E586" s="101"/>
      <c r="F586" s="99"/>
      <c r="G586" s="102"/>
      <c r="H586" s="84"/>
    </row>
    <row r="587" spans="1:8" ht="15.75" x14ac:dyDescent="0.25">
      <c r="A587" s="99"/>
      <c r="B587" s="99"/>
      <c r="C587" s="99"/>
      <c r="D587" s="99"/>
      <c r="E587" s="101"/>
      <c r="F587" s="99"/>
      <c r="G587" s="102"/>
      <c r="H587" s="84"/>
    </row>
    <row r="588" spans="1:8" ht="15.75" x14ac:dyDescent="0.25">
      <c r="A588" s="99"/>
      <c r="B588" s="99"/>
      <c r="C588" s="99"/>
      <c r="D588" s="99"/>
      <c r="E588" s="101"/>
      <c r="F588" s="99"/>
      <c r="G588" s="102"/>
      <c r="H588" s="84"/>
    </row>
    <row r="589" spans="1:8" ht="15.75" x14ac:dyDescent="0.25">
      <c r="A589" s="99"/>
      <c r="B589" s="99"/>
      <c r="C589" s="99"/>
      <c r="D589" s="99"/>
      <c r="E589" s="101"/>
      <c r="F589" s="99"/>
      <c r="G589" s="102"/>
      <c r="H589" s="84"/>
    </row>
    <row r="590" spans="1:8" ht="15.75" x14ac:dyDescent="0.25">
      <c r="A590" s="99"/>
      <c r="B590" s="99"/>
      <c r="C590" s="99"/>
      <c r="D590" s="99"/>
      <c r="E590" s="101"/>
      <c r="F590" s="99"/>
      <c r="G590" s="102"/>
      <c r="H590" s="84"/>
    </row>
    <row r="591" spans="1:8" ht="15.75" x14ac:dyDescent="0.25">
      <c r="A591" s="99"/>
      <c r="B591" s="99"/>
      <c r="C591" s="99"/>
      <c r="D591" s="99"/>
      <c r="E591" s="101"/>
      <c r="F591" s="99"/>
      <c r="G591" s="102"/>
      <c r="H591" s="84"/>
    </row>
    <row r="592" spans="1:8" ht="15.75" x14ac:dyDescent="0.25">
      <c r="A592" s="99"/>
      <c r="B592" s="99"/>
      <c r="C592" s="99"/>
      <c r="D592" s="99"/>
      <c r="E592" s="101"/>
      <c r="F592" s="99"/>
      <c r="G592" s="102"/>
      <c r="H592" s="84"/>
    </row>
    <row r="593" spans="1:8" ht="15.75" x14ac:dyDescent="0.25">
      <c r="A593" s="99"/>
      <c r="B593" s="99"/>
      <c r="C593" s="99"/>
      <c r="D593" s="99"/>
      <c r="E593" s="101"/>
      <c r="F593" s="99"/>
      <c r="G593" s="102"/>
      <c r="H593" s="84"/>
    </row>
    <row r="594" spans="1:8" ht="15.75" x14ac:dyDescent="0.25">
      <c r="A594" s="99"/>
      <c r="B594" s="99"/>
      <c r="C594" s="99"/>
      <c r="D594" s="99"/>
      <c r="E594" s="101"/>
      <c r="F594" s="99"/>
      <c r="G594" s="102"/>
      <c r="H594" s="84"/>
    </row>
    <row r="595" spans="1:8" ht="15.75" x14ac:dyDescent="0.25">
      <c r="A595" s="99"/>
      <c r="B595" s="99"/>
      <c r="C595" s="99"/>
      <c r="D595" s="99"/>
      <c r="E595" s="101"/>
      <c r="F595" s="99"/>
      <c r="G595" s="102"/>
      <c r="H595" s="84"/>
    </row>
    <row r="596" spans="1:8" ht="15.75" x14ac:dyDescent="0.25">
      <c r="A596" s="99"/>
      <c r="B596" s="99"/>
      <c r="C596" s="99"/>
      <c r="D596" s="99"/>
      <c r="E596" s="101"/>
      <c r="F596" s="99"/>
      <c r="G596" s="102"/>
      <c r="H596" s="84"/>
    </row>
    <row r="597" spans="1:8" ht="15.75" x14ac:dyDescent="0.25">
      <c r="A597" s="99"/>
      <c r="B597" s="99"/>
      <c r="C597" s="99"/>
      <c r="D597" s="99"/>
      <c r="E597" s="101"/>
      <c r="F597" s="99"/>
      <c r="G597" s="102"/>
      <c r="H597" s="84"/>
    </row>
    <row r="598" spans="1:8" ht="15.75" x14ac:dyDescent="0.25">
      <c r="A598" s="99"/>
      <c r="B598" s="99"/>
      <c r="C598" s="99"/>
      <c r="D598" s="99"/>
      <c r="E598" s="101"/>
      <c r="F598" s="99"/>
      <c r="G598" s="102"/>
      <c r="H598" s="84"/>
    </row>
    <row r="599" spans="1:8" ht="15.75" x14ac:dyDescent="0.25">
      <c r="A599" s="99"/>
      <c r="B599" s="99"/>
      <c r="C599" s="99"/>
      <c r="D599" s="99"/>
      <c r="E599" s="101"/>
      <c r="F599" s="99"/>
      <c r="G599" s="102"/>
      <c r="H599" s="84"/>
    </row>
    <row r="600" spans="1:8" ht="15.75" x14ac:dyDescent="0.25">
      <c r="A600" s="99"/>
      <c r="B600" s="99"/>
      <c r="C600" s="99"/>
      <c r="D600" s="99"/>
      <c r="E600" s="101"/>
      <c r="F600" s="99"/>
      <c r="G600" s="102"/>
      <c r="H600" s="84"/>
    </row>
    <row r="601" spans="1:8" ht="15.75" x14ac:dyDescent="0.25">
      <c r="A601" s="99"/>
      <c r="B601" s="99"/>
      <c r="C601" s="99"/>
      <c r="D601" s="99"/>
      <c r="E601" s="101"/>
      <c r="F601" s="99"/>
      <c r="G601" s="102"/>
      <c r="H601" s="84"/>
    </row>
    <row r="602" spans="1:8" ht="15.75" x14ac:dyDescent="0.25">
      <c r="A602" s="99"/>
      <c r="B602" s="99"/>
      <c r="C602" s="99"/>
      <c r="D602" s="99"/>
      <c r="E602" s="101"/>
      <c r="F602" s="99"/>
      <c r="G602" s="102"/>
      <c r="H602" s="84"/>
    </row>
    <row r="603" spans="1:8" ht="15.75" x14ac:dyDescent="0.25">
      <c r="A603" s="99"/>
      <c r="B603" s="99"/>
      <c r="C603" s="99"/>
      <c r="D603" s="99"/>
      <c r="E603" s="101"/>
      <c r="F603" s="99"/>
      <c r="G603" s="102"/>
      <c r="H603" s="84"/>
    </row>
    <row r="604" spans="1:8" ht="15.75" x14ac:dyDescent="0.25">
      <c r="A604" s="99"/>
      <c r="B604" s="99"/>
      <c r="C604" s="99"/>
      <c r="D604" s="99"/>
      <c r="E604" s="101"/>
      <c r="F604" s="99"/>
      <c r="G604" s="102"/>
      <c r="H604" s="84"/>
    </row>
    <row r="605" spans="1:8" ht="15.75" x14ac:dyDescent="0.25">
      <c r="A605" s="99"/>
      <c r="B605" s="99"/>
      <c r="C605" s="99"/>
      <c r="D605" s="99"/>
      <c r="E605" s="101"/>
      <c r="F605" s="99"/>
      <c r="G605" s="102"/>
      <c r="H605" s="84"/>
    </row>
    <row r="606" spans="1:8" ht="15.75" x14ac:dyDescent="0.25">
      <c r="A606" s="99"/>
      <c r="B606" s="99"/>
      <c r="C606" s="99"/>
      <c r="D606" s="99"/>
      <c r="E606" s="101"/>
      <c r="F606" s="99"/>
      <c r="G606" s="102"/>
      <c r="H606" s="84"/>
    </row>
    <row r="607" spans="1:8" ht="15.75" x14ac:dyDescent="0.25">
      <c r="A607" s="99"/>
      <c r="B607" s="99"/>
      <c r="C607" s="99"/>
      <c r="D607" s="99"/>
      <c r="E607" s="101"/>
      <c r="F607" s="99"/>
      <c r="G607" s="102"/>
      <c r="H607" s="84"/>
    </row>
    <row r="608" spans="1:8" ht="15.75" x14ac:dyDescent="0.25">
      <c r="A608" s="99"/>
      <c r="B608" s="99"/>
      <c r="C608" s="99"/>
      <c r="D608" s="99"/>
      <c r="E608" s="101"/>
      <c r="F608" s="99"/>
      <c r="G608" s="102"/>
      <c r="H608" s="84"/>
    </row>
    <row r="609" spans="1:8" ht="15.75" x14ac:dyDescent="0.25">
      <c r="A609" s="99"/>
      <c r="B609" s="99"/>
      <c r="C609" s="99"/>
      <c r="D609" s="99"/>
      <c r="E609" s="101"/>
      <c r="F609" s="99"/>
      <c r="G609" s="102"/>
      <c r="H609" s="84"/>
    </row>
    <row r="610" spans="1:8" ht="15.75" x14ac:dyDescent="0.25">
      <c r="A610" s="99"/>
      <c r="B610" s="99"/>
      <c r="C610" s="99"/>
      <c r="D610" s="99"/>
      <c r="E610" s="101"/>
      <c r="F610" s="99"/>
      <c r="G610" s="102"/>
      <c r="H610" s="84"/>
    </row>
    <row r="611" spans="1:8" ht="15.75" x14ac:dyDescent="0.25">
      <c r="A611" s="99"/>
      <c r="B611" s="99"/>
      <c r="C611" s="99"/>
      <c r="D611" s="99"/>
      <c r="E611" s="101"/>
      <c r="F611" s="99"/>
      <c r="G611" s="102"/>
      <c r="H611" s="84"/>
    </row>
    <row r="612" spans="1:8" ht="15.75" x14ac:dyDescent="0.25">
      <c r="A612" s="99"/>
      <c r="B612" s="99"/>
      <c r="C612" s="99"/>
      <c r="D612" s="99"/>
      <c r="E612" s="101"/>
      <c r="F612" s="99"/>
      <c r="G612" s="102"/>
      <c r="H612" s="84"/>
    </row>
    <row r="613" spans="1:8" ht="15.75" x14ac:dyDescent="0.25">
      <c r="A613" s="99"/>
      <c r="B613" s="99"/>
      <c r="C613" s="99"/>
      <c r="D613" s="99"/>
      <c r="E613" s="101"/>
      <c r="F613" s="99"/>
      <c r="G613" s="102"/>
      <c r="H613" s="84"/>
    </row>
    <row r="614" spans="1:8" ht="15.75" x14ac:dyDescent="0.25">
      <c r="A614" s="99"/>
      <c r="B614" s="99"/>
      <c r="C614" s="99"/>
      <c r="D614" s="99"/>
      <c r="E614" s="101"/>
      <c r="F614" s="99"/>
      <c r="G614" s="102"/>
      <c r="H614" s="84"/>
    </row>
    <row r="615" spans="1:8" ht="15.75" x14ac:dyDescent="0.25">
      <c r="A615" s="99"/>
      <c r="B615" s="99"/>
      <c r="C615" s="99"/>
      <c r="D615" s="99"/>
      <c r="E615" s="101"/>
      <c r="F615" s="99"/>
      <c r="G615" s="102"/>
      <c r="H615" s="84"/>
    </row>
    <row r="616" spans="1:8" ht="15.75" x14ac:dyDescent="0.25">
      <c r="A616" s="99"/>
      <c r="B616" s="99"/>
      <c r="C616" s="99"/>
      <c r="D616" s="99"/>
      <c r="E616" s="101"/>
      <c r="F616" s="99"/>
      <c r="G616" s="102"/>
      <c r="H616" s="84"/>
    </row>
    <row r="617" spans="1:8" ht="15.75" x14ac:dyDescent="0.25">
      <c r="A617" s="99"/>
      <c r="B617" s="99"/>
      <c r="C617" s="99"/>
      <c r="D617" s="99"/>
      <c r="E617" s="101"/>
      <c r="F617" s="99"/>
      <c r="G617" s="102"/>
      <c r="H617" s="84"/>
    </row>
    <row r="618" spans="1:8" ht="15.75" x14ac:dyDescent="0.25">
      <c r="A618" s="99"/>
      <c r="B618" s="99"/>
      <c r="C618" s="99"/>
      <c r="D618" s="99"/>
      <c r="E618" s="101"/>
      <c r="F618" s="99"/>
      <c r="G618" s="102"/>
      <c r="H618" s="84"/>
    </row>
    <row r="619" spans="1:8" ht="15.75" x14ac:dyDescent="0.25">
      <c r="A619" s="99"/>
      <c r="B619" s="99"/>
      <c r="C619" s="99"/>
      <c r="D619" s="99"/>
      <c r="E619" s="101"/>
      <c r="F619" s="99"/>
      <c r="G619" s="102"/>
      <c r="H619" s="84"/>
    </row>
    <row r="620" spans="1:8" ht="15.75" x14ac:dyDescent="0.25">
      <c r="A620" s="99"/>
      <c r="B620" s="99"/>
      <c r="C620" s="99"/>
      <c r="D620" s="99"/>
      <c r="E620" s="101"/>
      <c r="F620" s="99"/>
      <c r="G620" s="102"/>
      <c r="H620" s="84"/>
    </row>
    <row r="621" spans="1:8" ht="15.75" x14ac:dyDescent="0.25">
      <c r="A621" s="99"/>
      <c r="B621" s="99"/>
      <c r="C621" s="99"/>
      <c r="D621" s="99"/>
      <c r="E621" s="101"/>
      <c r="F621" s="99"/>
      <c r="G621" s="102"/>
      <c r="H621" s="84"/>
    </row>
    <row r="622" spans="1:8" ht="15.75" x14ac:dyDescent="0.25">
      <c r="A622" s="99"/>
      <c r="B622" s="99"/>
      <c r="C622" s="99"/>
      <c r="D622" s="99"/>
      <c r="E622" s="101"/>
      <c r="F622" s="99"/>
      <c r="G622" s="102"/>
      <c r="H622" s="84"/>
    </row>
    <row r="623" spans="1:8" ht="15.75" x14ac:dyDescent="0.25">
      <c r="A623" s="99"/>
      <c r="B623" s="99"/>
      <c r="C623" s="99"/>
      <c r="D623" s="99"/>
      <c r="E623" s="101"/>
      <c r="F623" s="99"/>
      <c r="G623" s="102"/>
      <c r="H623" s="84"/>
    </row>
    <row r="624" spans="1:8" ht="15.75" x14ac:dyDescent="0.25">
      <c r="A624" s="99"/>
      <c r="B624" s="99"/>
      <c r="C624" s="99"/>
      <c r="D624" s="99"/>
      <c r="E624" s="101"/>
      <c r="F624" s="99"/>
      <c r="G624" s="102"/>
      <c r="H624" s="84"/>
    </row>
    <row r="625" spans="1:8" ht="15.75" x14ac:dyDescent="0.25">
      <c r="A625" s="99"/>
      <c r="B625" s="99"/>
      <c r="C625" s="99"/>
      <c r="D625" s="99"/>
      <c r="E625" s="101"/>
      <c r="F625" s="99"/>
      <c r="G625" s="102"/>
      <c r="H625" s="84"/>
    </row>
    <row r="626" spans="1:8" ht="15.75" x14ac:dyDescent="0.25">
      <c r="A626" s="99"/>
      <c r="B626" s="99"/>
      <c r="C626" s="99"/>
      <c r="D626" s="99"/>
      <c r="E626" s="101"/>
      <c r="F626" s="99"/>
      <c r="G626" s="102"/>
      <c r="H626" s="84"/>
    </row>
    <row r="627" spans="1:8" ht="15.75" x14ac:dyDescent="0.25">
      <c r="A627" s="99"/>
      <c r="B627" s="99"/>
      <c r="C627" s="99"/>
      <c r="D627" s="99"/>
      <c r="E627" s="101"/>
      <c r="F627" s="99"/>
      <c r="G627" s="102"/>
      <c r="H627" s="84"/>
    </row>
    <row r="628" spans="1:8" ht="15.75" x14ac:dyDescent="0.25">
      <c r="A628" s="99"/>
      <c r="B628" s="99"/>
      <c r="C628" s="99"/>
      <c r="D628" s="99"/>
      <c r="E628" s="101"/>
      <c r="F628" s="99"/>
      <c r="G628" s="102"/>
      <c r="H628" s="84"/>
    </row>
    <row r="629" spans="1:8" ht="15.75" x14ac:dyDescent="0.25">
      <c r="A629" s="99"/>
      <c r="B629" s="99"/>
      <c r="C629" s="99"/>
      <c r="D629" s="99"/>
      <c r="E629" s="101"/>
      <c r="F629" s="99"/>
      <c r="G629" s="102"/>
      <c r="H629" s="84"/>
    </row>
    <row r="630" spans="1:8" ht="15.75" x14ac:dyDescent="0.25">
      <c r="A630" s="99"/>
      <c r="B630" s="99"/>
      <c r="C630" s="99"/>
      <c r="D630" s="99"/>
      <c r="E630" s="101"/>
      <c r="F630" s="99"/>
      <c r="G630" s="102"/>
      <c r="H630" s="84"/>
    </row>
    <row r="631" spans="1:8" ht="15.75" x14ac:dyDescent="0.25">
      <c r="A631" s="99"/>
      <c r="B631" s="99"/>
      <c r="C631" s="99"/>
      <c r="D631" s="99"/>
      <c r="E631" s="101"/>
      <c r="F631" s="99"/>
      <c r="G631" s="102"/>
      <c r="H631" s="84"/>
    </row>
    <row r="632" spans="1:8" ht="15.75" x14ac:dyDescent="0.25">
      <c r="A632" s="99"/>
      <c r="B632" s="99"/>
      <c r="C632" s="99"/>
      <c r="D632" s="99"/>
      <c r="E632" s="101"/>
      <c r="F632" s="99"/>
      <c r="G632" s="102"/>
      <c r="H632" s="84"/>
    </row>
    <row r="633" spans="1:8" ht="15.75" x14ac:dyDescent="0.25">
      <c r="A633" s="99"/>
      <c r="B633" s="99"/>
      <c r="C633" s="99"/>
      <c r="D633" s="99"/>
      <c r="E633" s="101"/>
      <c r="F633" s="99"/>
      <c r="G633" s="102"/>
      <c r="H633" s="84"/>
    </row>
    <row r="634" spans="1:8" ht="15.75" x14ac:dyDescent="0.25">
      <c r="A634" s="99"/>
      <c r="B634" s="99"/>
      <c r="C634" s="99"/>
      <c r="D634" s="99"/>
      <c r="E634" s="101"/>
      <c r="F634" s="99"/>
      <c r="G634" s="102"/>
      <c r="H634" s="84"/>
    </row>
    <row r="635" spans="1:8" ht="15.75" x14ac:dyDescent="0.25">
      <c r="A635" s="99"/>
      <c r="B635" s="99"/>
      <c r="C635" s="99"/>
      <c r="D635" s="99"/>
      <c r="E635" s="101"/>
      <c r="F635" s="99"/>
      <c r="G635" s="102"/>
      <c r="H635" s="84"/>
    </row>
    <row r="636" spans="1:8" ht="15.75" x14ac:dyDescent="0.25">
      <c r="A636" s="99"/>
      <c r="B636" s="99"/>
      <c r="C636" s="99"/>
      <c r="D636" s="99"/>
      <c r="E636" s="101"/>
      <c r="F636" s="99"/>
      <c r="G636" s="102"/>
      <c r="H636" s="84"/>
    </row>
    <row r="637" spans="1:8" ht="15.75" x14ac:dyDescent="0.25">
      <c r="A637" s="99"/>
      <c r="B637" s="99"/>
      <c r="C637" s="99"/>
      <c r="D637" s="99"/>
      <c r="E637" s="101"/>
      <c r="F637" s="99"/>
      <c r="G637" s="102"/>
      <c r="H637" s="84"/>
    </row>
    <row r="638" spans="1:8" ht="15.75" x14ac:dyDescent="0.25">
      <c r="A638" s="99"/>
      <c r="B638" s="99"/>
      <c r="C638" s="99"/>
      <c r="D638" s="99"/>
      <c r="E638" s="101"/>
      <c r="F638" s="99"/>
      <c r="G638" s="102"/>
      <c r="H638" s="84"/>
    </row>
    <row r="639" spans="1:8" ht="15.75" x14ac:dyDescent="0.25">
      <c r="A639" s="99"/>
      <c r="B639" s="99"/>
      <c r="C639" s="99"/>
      <c r="D639" s="99"/>
      <c r="E639" s="101"/>
      <c r="F639" s="99"/>
      <c r="G639" s="102"/>
      <c r="H639" s="84"/>
    </row>
    <row r="640" spans="1:8" ht="15.75" x14ac:dyDescent="0.25">
      <c r="A640" s="99"/>
      <c r="B640" s="99"/>
      <c r="C640" s="99"/>
      <c r="D640" s="99"/>
      <c r="E640" s="101"/>
      <c r="F640" s="99"/>
      <c r="G640" s="102"/>
      <c r="H640" s="84"/>
    </row>
    <row r="641" spans="1:8" ht="15.75" x14ac:dyDescent="0.25">
      <c r="A641" s="99"/>
      <c r="B641" s="99"/>
      <c r="C641" s="99"/>
      <c r="D641" s="99"/>
      <c r="E641" s="101"/>
      <c r="F641" s="99"/>
      <c r="G641" s="102"/>
      <c r="H641" s="84"/>
    </row>
    <row r="642" spans="1:8" ht="15.75" x14ac:dyDescent="0.25">
      <c r="A642" s="99"/>
      <c r="B642" s="99"/>
      <c r="C642" s="99"/>
      <c r="D642" s="99"/>
      <c r="E642" s="101"/>
      <c r="F642" s="99"/>
      <c r="G642" s="102"/>
      <c r="H642" s="84"/>
    </row>
    <row r="643" spans="1:8" ht="15.75" x14ac:dyDescent="0.25">
      <c r="A643" s="99"/>
      <c r="B643" s="99"/>
      <c r="C643" s="99"/>
      <c r="D643" s="99"/>
      <c r="E643" s="101"/>
      <c r="F643" s="99"/>
      <c r="G643" s="102"/>
      <c r="H643" s="84"/>
    </row>
    <row r="644" spans="1:8" ht="15.75" x14ac:dyDescent="0.25">
      <c r="A644" s="99"/>
      <c r="B644" s="99"/>
      <c r="C644" s="99"/>
      <c r="D644" s="99"/>
      <c r="E644" s="101"/>
      <c r="F644" s="99"/>
      <c r="G644" s="102"/>
      <c r="H644" s="84"/>
    </row>
    <row r="645" spans="1:8" ht="15.75" x14ac:dyDescent="0.25">
      <c r="A645" s="99"/>
      <c r="B645" s="99"/>
      <c r="C645" s="99"/>
      <c r="D645" s="99"/>
      <c r="E645" s="101"/>
      <c r="F645" s="99"/>
      <c r="G645" s="102"/>
      <c r="H645" s="84"/>
    </row>
    <row r="646" spans="1:8" ht="15.75" x14ac:dyDescent="0.25">
      <c r="A646" s="99"/>
      <c r="B646" s="99"/>
      <c r="C646" s="99"/>
      <c r="D646" s="99"/>
      <c r="E646" s="101"/>
      <c r="F646" s="99"/>
      <c r="G646" s="102"/>
      <c r="H646" s="84"/>
    </row>
    <row r="647" spans="1:8" ht="15.75" x14ac:dyDescent="0.25">
      <c r="A647" s="99"/>
      <c r="B647" s="99"/>
      <c r="C647" s="99"/>
      <c r="D647" s="99"/>
      <c r="E647" s="101"/>
      <c r="F647" s="99"/>
      <c r="G647" s="102"/>
      <c r="H647" s="84"/>
    </row>
    <row r="648" spans="1:8" ht="15.75" x14ac:dyDescent="0.25">
      <c r="A648" s="99"/>
      <c r="B648" s="99"/>
      <c r="C648" s="99"/>
      <c r="D648" s="99"/>
      <c r="E648" s="101"/>
      <c r="F648" s="99"/>
      <c r="G648" s="102"/>
      <c r="H648" s="84"/>
    </row>
    <row r="649" spans="1:8" ht="15.75" x14ac:dyDescent="0.25">
      <c r="A649" s="99"/>
      <c r="B649" s="99"/>
      <c r="C649" s="99"/>
      <c r="D649" s="99"/>
      <c r="E649" s="101"/>
      <c r="F649" s="99"/>
      <c r="G649" s="102"/>
      <c r="H649" s="84"/>
    </row>
    <row r="650" spans="1:8" ht="15.75" x14ac:dyDescent="0.25">
      <c r="A650" s="99"/>
      <c r="B650" s="99"/>
      <c r="C650" s="99"/>
      <c r="D650" s="99"/>
      <c r="E650" s="101"/>
      <c r="F650" s="99"/>
      <c r="G650" s="102"/>
      <c r="H650" s="84"/>
    </row>
    <row r="651" spans="1:8" ht="15.75" x14ac:dyDescent="0.25">
      <c r="A651" s="99"/>
      <c r="B651" s="99"/>
      <c r="C651" s="99"/>
      <c r="D651" s="99"/>
      <c r="E651" s="101"/>
      <c r="F651" s="99"/>
      <c r="G651" s="102"/>
      <c r="H651" s="84"/>
    </row>
    <row r="652" spans="1:8" ht="15.75" x14ac:dyDescent="0.25">
      <c r="A652" s="99"/>
      <c r="B652" s="99"/>
      <c r="C652" s="99"/>
      <c r="D652" s="99"/>
      <c r="E652" s="101"/>
      <c r="F652" s="99"/>
      <c r="G652" s="102"/>
      <c r="H652" s="84"/>
    </row>
    <row r="653" spans="1:8" ht="15.75" x14ac:dyDescent="0.25">
      <c r="A653" s="99"/>
      <c r="B653" s="99"/>
      <c r="C653" s="99"/>
      <c r="D653" s="99"/>
      <c r="E653" s="101"/>
      <c r="F653" s="99"/>
      <c r="G653" s="102"/>
      <c r="H653" s="84"/>
    </row>
    <row r="654" spans="1:8" ht="15.75" x14ac:dyDescent="0.25">
      <c r="A654" s="99"/>
      <c r="B654" s="99"/>
      <c r="C654" s="99"/>
      <c r="D654" s="99"/>
      <c r="E654" s="101"/>
      <c r="F654" s="99"/>
      <c r="G654" s="102"/>
      <c r="H654" s="84"/>
    </row>
    <row r="655" spans="1:8" ht="15.75" x14ac:dyDescent="0.25">
      <c r="A655" s="99"/>
      <c r="B655" s="99"/>
      <c r="C655" s="99"/>
      <c r="D655" s="99"/>
      <c r="E655" s="101"/>
      <c r="F655" s="99"/>
      <c r="G655" s="102"/>
      <c r="H655" s="84"/>
    </row>
    <row r="656" spans="1:8" ht="15.75" x14ac:dyDescent="0.25">
      <c r="A656" s="99"/>
      <c r="B656" s="99"/>
      <c r="C656" s="99"/>
      <c r="D656" s="99"/>
      <c r="E656" s="101"/>
      <c r="F656" s="99"/>
      <c r="G656" s="102"/>
      <c r="H656" s="84"/>
    </row>
    <row r="657" spans="1:8" ht="15.75" x14ac:dyDescent="0.25">
      <c r="A657" s="99"/>
      <c r="B657" s="99"/>
      <c r="C657" s="99"/>
      <c r="D657" s="99"/>
      <c r="E657" s="101"/>
      <c r="F657" s="99"/>
      <c r="G657" s="102"/>
      <c r="H657" s="84"/>
    </row>
    <row r="658" spans="1:8" ht="15.75" x14ac:dyDescent="0.25">
      <c r="A658" s="99"/>
      <c r="B658" s="99"/>
      <c r="C658" s="99"/>
      <c r="D658" s="99"/>
      <c r="E658" s="101"/>
      <c r="F658" s="99"/>
      <c r="G658" s="102"/>
      <c r="H658" s="84"/>
    </row>
    <row r="659" spans="1:8" ht="15.75" x14ac:dyDescent="0.25">
      <c r="A659" s="99"/>
      <c r="B659" s="99"/>
      <c r="C659" s="99"/>
      <c r="D659" s="99"/>
      <c r="E659" s="101"/>
      <c r="F659" s="99"/>
      <c r="G659" s="102"/>
      <c r="H659" s="84"/>
    </row>
    <row r="660" spans="1:8" ht="15.75" x14ac:dyDescent="0.25">
      <c r="A660" s="99"/>
      <c r="B660" s="99"/>
      <c r="C660" s="99"/>
      <c r="D660" s="99"/>
      <c r="E660" s="101"/>
      <c r="F660" s="99"/>
      <c r="G660" s="102"/>
      <c r="H660" s="84"/>
    </row>
    <row r="661" spans="1:8" ht="15.75" x14ac:dyDescent="0.25">
      <c r="A661" s="99"/>
      <c r="B661" s="99"/>
      <c r="C661" s="99"/>
      <c r="D661" s="99"/>
      <c r="E661" s="101"/>
      <c r="F661" s="99"/>
      <c r="G661" s="102"/>
      <c r="H661" s="84"/>
    </row>
    <row r="662" spans="1:8" ht="15.75" x14ac:dyDescent="0.25">
      <c r="A662" s="99"/>
      <c r="B662" s="99"/>
      <c r="C662" s="99"/>
      <c r="D662" s="99"/>
      <c r="E662" s="101"/>
      <c r="F662" s="99"/>
      <c r="G662" s="102"/>
      <c r="H662" s="84"/>
    </row>
    <row r="663" spans="1:8" ht="15.75" x14ac:dyDescent="0.25">
      <c r="A663" s="99"/>
      <c r="B663" s="99"/>
      <c r="C663" s="99"/>
      <c r="D663" s="99"/>
      <c r="E663" s="101"/>
      <c r="F663" s="99"/>
      <c r="G663" s="102"/>
      <c r="H663" s="84"/>
    </row>
    <row r="664" spans="1:8" ht="15.75" x14ac:dyDescent="0.25">
      <c r="A664" s="99"/>
      <c r="B664" s="99"/>
      <c r="C664" s="99"/>
      <c r="D664" s="99"/>
      <c r="E664" s="101"/>
      <c r="F664" s="99"/>
      <c r="G664" s="102"/>
      <c r="H664" s="84"/>
    </row>
    <row r="665" spans="1:8" ht="15.75" x14ac:dyDescent="0.25">
      <c r="A665" s="99"/>
      <c r="B665" s="99"/>
      <c r="C665" s="99"/>
      <c r="D665" s="99"/>
      <c r="E665" s="101"/>
      <c r="F665" s="99"/>
      <c r="G665" s="102"/>
      <c r="H665" s="84"/>
    </row>
    <row r="666" spans="1:8" ht="15.75" x14ac:dyDescent="0.25">
      <c r="A666" s="99"/>
      <c r="B666" s="99"/>
      <c r="C666" s="99"/>
      <c r="D666" s="99"/>
      <c r="E666" s="101"/>
      <c r="F666" s="99"/>
      <c r="G666" s="102"/>
      <c r="H666" s="84"/>
    </row>
    <row r="667" spans="1:8" ht="15.75" x14ac:dyDescent="0.25">
      <c r="A667" s="99"/>
      <c r="B667" s="99"/>
      <c r="C667" s="99"/>
      <c r="D667" s="99"/>
      <c r="E667" s="101"/>
      <c r="F667" s="99"/>
      <c r="G667" s="102"/>
      <c r="H667" s="84"/>
    </row>
    <row r="668" spans="1:8" ht="15.75" x14ac:dyDescent="0.25">
      <c r="A668" s="99"/>
      <c r="B668" s="99"/>
      <c r="C668" s="99"/>
      <c r="D668" s="99"/>
      <c r="E668" s="101"/>
      <c r="F668" s="99"/>
      <c r="G668" s="102"/>
      <c r="H668" s="84"/>
    </row>
    <row r="669" spans="1:8" ht="15.75" x14ac:dyDescent="0.25">
      <c r="A669" s="99"/>
      <c r="B669" s="99"/>
      <c r="C669" s="99"/>
      <c r="D669" s="99"/>
      <c r="E669" s="101"/>
      <c r="F669" s="99"/>
      <c r="G669" s="102"/>
      <c r="H669" s="84"/>
    </row>
    <row r="670" spans="1:8" ht="15.75" x14ac:dyDescent="0.25">
      <c r="A670" s="99"/>
      <c r="B670" s="99"/>
      <c r="C670" s="99"/>
      <c r="D670" s="99"/>
      <c r="E670" s="101"/>
      <c r="F670" s="99"/>
      <c r="G670" s="102"/>
      <c r="H670" s="84"/>
    </row>
    <row r="671" spans="1:8" ht="15.75" x14ac:dyDescent="0.25">
      <c r="A671" s="99"/>
      <c r="B671" s="99"/>
      <c r="C671" s="99"/>
      <c r="D671" s="99"/>
      <c r="E671" s="101"/>
      <c r="F671" s="99"/>
      <c r="G671" s="102"/>
      <c r="H671" s="84"/>
    </row>
    <row r="672" spans="1:8" ht="15.75" x14ac:dyDescent="0.25">
      <c r="A672" s="99"/>
      <c r="B672" s="99"/>
      <c r="C672" s="99"/>
      <c r="D672" s="99"/>
      <c r="E672" s="101"/>
      <c r="F672" s="99"/>
      <c r="G672" s="102"/>
      <c r="H672" s="84"/>
    </row>
    <row r="673" spans="1:8" ht="15.75" x14ac:dyDescent="0.25">
      <c r="A673" s="99"/>
      <c r="B673" s="99"/>
      <c r="C673" s="99"/>
      <c r="D673" s="99"/>
      <c r="E673" s="101"/>
      <c r="F673" s="99"/>
      <c r="G673" s="102"/>
      <c r="H673" s="84"/>
    </row>
    <row r="674" spans="1:8" ht="15.75" x14ac:dyDescent="0.25">
      <c r="A674" s="99"/>
      <c r="B674" s="99"/>
      <c r="C674" s="99"/>
      <c r="D674" s="99"/>
      <c r="E674" s="101"/>
      <c r="F674" s="99"/>
      <c r="G674" s="102"/>
      <c r="H674" s="84"/>
    </row>
    <row r="675" spans="1:8" ht="15.75" x14ac:dyDescent="0.25">
      <c r="A675" s="99"/>
      <c r="B675" s="99"/>
      <c r="C675" s="99"/>
      <c r="D675" s="99"/>
      <c r="E675" s="101"/>
      <c r="F675" s="99"/>
      <c r="G675" s="102"/>
      <c r="H675" s="84"/>
    </row>
    <row r="676" spans="1:8" ht="15.75" x14ac:dyDescent="0.25">
      <c r="A676" s="99"/>
      <c r="B676" s="99"/>
      <c r="C676" s="99"/>
      <c r="D676" s="99"/>
      <c r="E676" s="101"/>
      <c r="F676" s="99"/>
      <c r="G676" s="102"/>
      <c r="H676" s="84"/>
    </row>
    <row r="677" spans="1:8" ht="15.75" x14ac:dyDescent="0.25">
      <c r="A677" s="99"/>
      <c r="B677" s="99"/>
      <c r="C677" s="99"/>
      <c r="D677" s="99"/>
      <c r="E677" s="101"/>
      <c r="F677" s="99"/>
      <c r="G677" s="102"/>
      <c r="H677" s="84"/>
    </row>
    <row r="678" spans="1:8" ht="15.75" x14ac:dyDescent="0.25">
      <c r="A678" s="99"/>
      <c r="B678" s="99"/>
      <c r="C678" s="99"/>
      <c r="D678" s="99"/>
      <c r="E678" s="101"/>
      <c r="F678" s="99"/>
      <c r="G678" s="102"/>
      <c r="H678" s="84"/>
    </row>
    <row r="679" spans="1:8" ht="15.75" x14ac:dyDescent="0.25">
      <c r="A679" s="99"/>
      <c r="B679" s="99"/>
      <c r="C679" s="99"/>
      <c r="D679" s="99"/>
      <c r="E679" s="101"/>
      <c r="F679" s="99"/>
      <c r="G679" s="102"/>
      <c r="H679" s="84"/>
    </row>
    <row r="680" spans="1:8" ht="15.75" x14ac:dyDescent="0.25">
      <c r="A680" s="99"/>
      <c r="B680" s="99"/>
      <c r="C680" s="99"/>
      <c r="D680" s="99"/>
      <c r="E680" s="101"/>
      <c r="F680" s="99"/>
      <c r="G680" s="102"/>
      <c r="H680" s="84"/>
    </row>
    <row r="681" spans="1:8" ht="15.75" x14ac:dyDescent="0.25">
      <c r="A681" s="99"/>
      <c r="B681" s="99"/>
      <c r="C681" s="99"/>
      <c r="D681" s="99"/>
      <c r="E681" s="101"/>
      <c r="F681" s="99"/>
      <c r="G681" s="102"/>
      <c r="H681" s="84"/>
    </row>
    <row r="682" spans="1:8" ht="15.75" x14ac:dyDescent="0.25">
      <c r="A682" s="99"/>
      <c r="B682" s="99"/>
      <c r="C682" s="99"/>
      <c r="D682" s="99"/>
      <c r="E682" s="101"/>
      <c r="F682" s="99"/>
      <c r="G682" s="102"/>
      <c r="H682" s="84"/>
    </row>
    <row r="683" spans="1:8" ht="15.75" x14ac:dyDescent="0.25">
      <c r="A683" s="99"/>
      <c r="B683" s="99"/>
      <c r="C683" s="99"/>
      <c r="D683" s="99"/>
      <c r="E683" s="101"/>
      <c r="F683" s="99"/>
      <c r="G683" s="102"/>
      <c r="H683" s="84"/>
    </row>
    <row r="684" spans="1:8" ht="15.75" x14ac:dyDescent="0.25">
      <c r="A684" s="99"/>
      <c r="B684" s="99"/>
      <c r="C684" s="99"/>
      <c r="D684" s="99"/>
      <c r="E684" s="101"/>
      <c r="F684" s="99"/>
      <c r="G684" s="102"/>
      <c r="H684" s="84"/>
    </row>
    <row r="685" spans="1:8" ht="15.75" x14ac:dyDescent="0.25">
      <c r="A685" s="99"/>
      <c r="B685" s="99"/>
      <c r="C685" s="99"/>
      <c r="D685" s="99"/>
      <c r="E685" s="101"/>
      <c r="F685" s="99"/>
      <c r="G685" s="102"/>
      <c r="H685" s="84"/>
    </row>
    <row r="686" spans="1:8" ht="15.75" x14ac:dyDescent="0.25">
      <c r="A686" s="99"/>
      <c r="B686" s="99"/>
      <c r="C686" s="99"/>
      <c r="D686" s="99"/>
      <c r="E686" s="101"/>
      <c r="F686" s="99"/>
      <c r="G686" s="102"/>
      <c r="H686" s="84"/>
    </row>
    <row r="687" spans="1:8" ht="15.75" x14ac:dyDescent="0.25">
      <c r="A687" s="99"/>
      <c r="B687" s="99"/>
      <c r="C687" s="99"/>
      <c r="D687" s="99"/>
      <c r="E687" s="101"/>
      <c r="F687" s="99"/>
      <c r="G687" s="102"/>
      <c r="H687" s="84"/>
    </row>
    <row r="688" spans="1:8" ht="15.75" x14ac:dyDescent="0.25">
      <c r="A688" s="99"/>
      <c r="B688" s="99"/>
      <c r="C688" s="99"/>
      <c r="D688" s="99"/>
      <c r="E688" s="101"/>
      <c r="F688" s="99"/>
      <c r="G688" s="102"/>
      <c r="H688" s="84"/>
    </row>
    <row r="689" spans="1:8" ht="15.75" x14ac:dyDescent="0.25">
      <c r="A689" s="99"/>
      <c r="B689" s="99"/>
      <c r="C689" s="99"/>
      <c r="D689" s="99"/>
      <c r="E689" s="101"/>
      <c r="F689" s="99"/>
      <c r="G689" s="102"/>
      <c r="H689" s="84"/>
    </row>
    <row r="690" spans="1:8" ht="15.75" x14ac:dyDescent="0.25">
      <c r="A690" s="99"/>
      <c r="B690" s="99"/>
      <c r="C690" s="99"/>
      <c r="D690" s="99"/>
      <c r="E690" s="101"/>
      <c r="F690" s="99"/>
      <c r="G690" s="102"/>
      <c r="H690" s="84"/>
    </row>
    <row r="691" spans="1:8" ht="15.75" x14ac:dyDescent="0.25">
      <c r="A691" s="99"/>
      <c r="B691" s="99"/>
      <c r="C691" s="99"/>
      <c r="D691" s="99"/>
      <c r="E691" s="101"/>
      <c r="F691" s="99"/>
      <c r="G691" s="102"/>
      <c r="H691" s="84"/>
    </row>
    <row r="692" spans="1:8" ht="15.75" x14ac:dyDescent="0.25">
      <c r="A692" s="99"/>
      <c r="B692" s="99"/>
      <c r="C692" s="99"/>
      <c r="D692" s="99"/>
      <c r="E692" s="101"/>
      <c r="F692" s="99"/>
      <c r="G692" s="102"/>
      <c r="H692" s="84"/>
    </row>
    <row r="693" spans="1:8" ht="15.75" x14ac:dyDescent="0.25">
      <c r="A693" s="99"/>
      <c r="B693" s="99"/>
      <c r="C693" s="99"/>
      <c r="D693" s="99"/>
      <c r="E693" s="101"/>
      <c r="F693" s="99"/>
      <c r="G693" s="102"/>
      <c r="H693" s="84"/>
    </row>
    <row r="694" spans="1:8" ht="15.75" x14ac:dyDescent="0.25">
      <c r="A694" s="99"/>
      <c r="B694" s="99"/>
      <c r="C694" s="99"/>
      <c r="D694" s="99"/>
      <c r="E694" s="101"/>
      <c r="F694" s="99"/>
      <c r="G694" s="102"/>
      <c r="H694" s="84"/>
    </row>
    <row r="695" spans="1:8" ht="15.75" x14ac:dyDescent="0.25">
      <c r="A695" s="99"/>
      <c r="B695" s="99"/>
      <c r="C695" s="99"/>
      <c r="D695" s="99"/>
      <c r="E695" s="101"/>
      <c r="F695" s="99"/>
      <c r="G695" s="102"/>
      <c r="H695" s="84"/>
    </row>
    <row r="696" spans="1:8" ht="15.75" x14ac:dyDescent="0.25">
      <c r="A696" s="99"/>
      <c r="B696" s="99"/>
      <c r="C696" s="99"/>
      <c r="D696" s="99"/>
      <c r="E696" s="101"/>
      <c r="F696" s="99"/>
      <c r="G696" s="102"/>
      <c r="H696" s="84"/>
    </row>
    <row r="697" spans="1:8" ht="15.75" x14ac:dyDescent="0.25">
      <c r="A697" s="99"/>
      <c r="B697" s="99"/>
      <c r="C697" s="99"/>
      <c r="D697" s="99"/>
      <c r="E697" s="101"/>
      <c r="F697" s="99"/>
      <c r="G697" s="102"/>
      <c r="H697" s="84"/>
    </row>
    <row r="698" spans="1:8" ht="15.75" x14ac:dyDescent="0.25">
      <c r="A698" s="99"/>
      <c r="B698" s="99"/>
      <c r="C698" s="99"/>
      <c r="D698" s="99"/>
      <c r="E698" s="101"/>
      <c r="F698" s="99"/>
      <c r="G698" s="102"/>
      <c r="H698" s="84"/>
    </row>
    <row r="699" spans="1:8" ht="15.75" x14ac:dyDescent="0.25">
      <c r="A699" s="99"/>
      <c r="B699" s="99"/>
      <c r="C699" s="99"/>
      <c r="D699" s="99"/>
      <c r="E699" s="101"/>
      <c r="F699" s="99"/>
      <c r="G699" s="102"/>
      <c r="H699" s="84"/>
    </row>
    <row r="700" spans="1:8" ht="15.75" x14ac:dyDescent="0.25">
      <c r="A700" s="99"/>
      <c r="B700" s="99"/>
      <c r="C700" s="99"/>
      <c r="D700" s="99"/>
      <c r="E700" s="101"/>
      <c r="F700" s="99"/>
      <c r="G700" s="102"/>
      <c r="H700" s="84"/>
    </row>
    <row r="701" spans="1:8" ht="15.75" x14ac:dyDescent="0.25">
      <c r="A701" s="99"/>
      <c r="B701" s="99"/>
      <c r="C701" s="99"/>
      <c r="D701" s="99"/>
      <c r="E701" s="101"/>
      <c r="F701" s="99"/>
      <c r="G701" s="102"/>
      <c r="H701" s="84"/>
    </row>
    <row r="702" spans="1:8" ht="15.75" x14ac:dyDescent="0.25">
      <c r="A702" s="99"/>
      <c r="B702" s="99"/>
      <c r="C702" s="99"/>
      <c r="D702" s="99"/>
      <c r="E702" s="101"/>
      <c r="F702" s="99"/>
      <c r="G702" s="102"/>
      <c r="H702" s="84"/>
    </row>
    <row r="703" spans="1:8" ht="15.75" x14ac:dyDescent="0.25">
      <c r="A703" s="99"/>
      <c r="B703" s="99"/>
      <c r="C703" s="99"/>
      <c r="D703" s="99"/>
      <c r="E703" s="101"/>
      <c r="F703" s="99"/>
      <c r="G703" s="102"/>
      <c r="H703" s="84"/>
    </row>
    <row r="704" spans="1:8" ht="15.75" x14ac:dyDescent="0.25">
      <c r="A704" s="99"/>
      <c r="B704" s="99"/>
      <c r="C704" s="99"/>
      <c r="D704" s="99"/>
      <c r="E704" s="101"/>
      <c r="F704" s="99"/>
      <c r="G704" s="102"/>
      <c r="H704" s="84"/>
    </row>
    <row r="705" spans="1:8" ht="15.75" x14ac:dyDescent="0.25">
      <c r="A705" s="99"/>
      <c r="B705" s="99"/>
      <c r="C705" s="99"/>
      <c r="D705" s="99"/>
      <c r="E705" s="101"/>
      <c r="F705" s="99"/>
      <c r="G705" s="102"/>
      <c r="H705" s="84"/>
    </row>
    <row r="706" spans="1:8" ht="15.75" x14ac:dyDescent="0.25">
      <c r="A706" s="99"/>
      <c r="B706" s="99"/>
      <c r="C706" s="99"/>
      <c r="D706" s="99"/>
      <c r="E706" s="101"/>
      <c r="F706" s="99"/>
      <c r="G706" s="102"/>
      <c r="H706" s="84"/>
    </row>
    <row r="707" spans="1:8" ht="15.75" x14ac:dyDescent="0.25">
      <c r="A707" s="99"/>
      <c r="B707" s="99"/>
      <c r="C707" s="99"/>
      <c r="D707" s="99"/>
      <c r="E707" s="101"/>
      <c r="F707" s="99"/>
      <c r="G707" s="102"/>
      <c r="H707" s="84"/>
    </row>
    <row r="708" spans="1:8" ht="15.75" x14ac:dyDescent="0.25">
      <c r="A708" s="99"/>
      <c r="B708" s="99"/>
      <c r="C708" s="99"/>
      <c r="D708" s="99"/>
      <c r="E708" s="101"/>
      <c r="F708" s="99"/>
      <c r="G708" s="102"/>
      <c r="H708" s="84"/>
    </row>
    <row r="709" spans="1:8" ht="15.75" x14ac:dyDescent="0.25">
      <c r="A709" s="99"/>
      <c r="B709" s="99"/>
      <c r="C709" s="99"/>
      <c r="D709" s="99"/>
      <c r="E709" s="101"/>
      <c r="F709" s="99"/>
      <c r="G709" s="102"/>
      <c r="H709" s="84"/>
    </row>
    <row r="710" spans="1:8" ht="15.75" x14ac:dyDescent="0.25">
      <c r="A710" s="99"/>
      <c r="B710" s="99"/>
      <c r="C710" s="99"/>
      <c r="D710" s="99"/>
      <c r="E710" s="101"/>
      <c r="F710" s="99"/>
      <c r="G710" s="102"/>
      <c r="H710" s="84"/>
    </row>
    <row r="711" spans="1:8" ht="15.75" x14ac:dyDescent="0.25">
      <c r="A711" s="99"/>
      <c r="B711" s="99"/>
      <c r="C711" s="99"/>
      <c r="D711" s="99"/>
      <c r="E711" s="101"/>
      <c r="F711" s="99"/>
      <c r="G711" s="102"/>
      <c r="H711" s="84"/>
    </row>
    <row r="712" spans="1:8" ht="15.75" x14ac:dyDescent="0.25">
      <c r="A712" s="99"/>
      <c r="B712" s="99"/>
      <c r="C712" s="99"/>
      <c r="D712" s="99"/>
      <c r="E712" s="101"/>
      <c r="F712" s="99"/>
      <c r="G712" s="102"/>
      <c r="H712" s="84"/>
    </row>
    <row r="713" spans="1:8" ht="15.75" x14ac:dyDescent="0.25">
      <c r="A713" s="99"/>
      <c r="B713" s="99"/>
      <c r="C713" s="99"/>
      <c r="D713" s="99"/>
      <c r="E713" s="101"/>
      <c r="F713" s="99"/>
      <c r="G713" s="102"/>
      <c r="H713" s="84"/>
    </row>
    <row r="714" spans="1:8" ht="15.75" x14ac:dyDescent="0.25">
      <c r="A714" s="99"/>
      <c r="B714" s="99"/>
      <c r="C714" s="99"/>
      <c r="D714" s="99"/>
      <c r="E714" s="101"/>
      <c r="F714" s="99"/>
      <c r="G714" s="102"/>
      <c r="H714" s="84"/>
    </row>
    <row r="715" spans="1:8" ht="15.75" x14ac:dyDescent="0.25">
      <c r="A715" s="99"/>
      <c r="B715" s="99"/>
      <c r="C715" s="99"/>
      <c r="D715" s="99"/>
      <c r="E715" s="101"/>
      <c r="F715" s="99"/>
      <c r="G715" s="102"/>
      <c r="H715" s="84"/>
    </row>
    <row r="716" spans="1:8" ht="15.75" x14ac:dyDescent="0.25">
      <c r="A716" s="99"/>
      <c r="B716" s="99"/>
      <c r="C716" s="99"/>
      <c r="D716" s="99"/>
      <c r="E716" s="101"/>
      <c r="F716" s="99"/>
      <c r="G716" s="102"/>
      <c r="H716" s="84"/>
    </row>
    <row r="717" spans="1:8" ht="15.75" x14ac:dyDescent="0.25">
      <c r="A717" s="99"/>
      <c r="B717" s="99"/>
      <c r="C717" s="99"/>
      <c r="D717" s="99"/>
      <c r="E717" s="101"/>
      <c r="F717" s="99"/>
      <c r="G717" s="102"/>
      <c r="H717" s="84"/>
    </row>
    <row r="718" spans="1:8" ht="15.75" x14ac:dyDescent="0.25">
      <c r="A718" s="99"/>
      <c r="B718" s="99"/>
      <c r="C718" s="99"/>
      <c r="D718" s="99"/>
      <c r="E718" s="101"/>
      <c r="F718" s="99"/>
      <c r="G718" s="102"/>
      <c r="H718" s="84"/>
    </row>
    <row r="719" spans="1:8" ht="15.75" x14ac:dyDescent="0.25">
      <c r="A719" s="99"/>
      <c r="B719" s="99"/>
      <c r="C719" s="99"/>
      <c r="D719" s="99"/>
      <c r="E719" s="101"/>
      <c r="F719" s="99"/>
      <c r="G719" s="102"/>
      <c r="H719" s="84"/>
    </row>
    <row r="720" spans="1:8" ht="15.75" x14ac:dyDescent="0.25">
      <c r="A720" s="99"/>
      <c r="B720" s="99"/>
      <c r="C720" s="99"/>
      <c r="D720" s="99"/>
      <c r="E720" s="101"/>
      <c r="F720" s="99"/>
      <c r="G720" s="102"/>
      <c r="H720" s="84"/>
    </row>
    <row r="721" spans="1:8" ht="15.75" x14ac:dyDescent="0.25">
      <c r="A721" s="99"/>
      <c r="B721" s="99"/>
      <c r="C721" s="99"/>
      <c r="D721" s="99"/>
      <c r="E721" s="101"/>
      <c r="F721" s="99"/>
      <c r="G721" s="102"/>
      <c r="H721" s="84"/>
    </row>
    <row r="722" spans="1:8" x14ac:dyDescent="0.25">
      <c r="A722" s="99"/>
      <c r="B722" s="99"/>
      <c r="C722" s="99"/>
      <c r="D722" s="99"/>
      <c r="E722" s="101"/>
      <c r="F722" s="99"/>
      <c r="G722" s="102"/>
      <c r="H722" s="23"/>
    </row>
    <row r="723" spans="1:8" x14ac:dyDescent="0.25">
      <c r="A723" s="99"/>
      <c r="B723" s="99"/>
      <c r="C723" s="99"/>
      <c r="D723" s="99"/>
      <c r="E723" s="101"/>
      <c r="F723" s="99"/>
      <c r="G723" s="102"/>
      <c r="H723" s="23"/>
    </row>
    <row r="724" spans="1:8" x14ac:dyDescent="0.25">
      <c r="A724" s="99"/>
      <c r="B724" s="99"/>
      <c r="C724" s="99"/>
      <c r="D724" s="99"/>
      <c r="E724" s="101"/>
      <c r="F724" s="99"/>
      <c r="G724" s="102"/>
      <c r="H724" s="23"/>
    </row>
    <row r="725" spans="1:8" x14ac:dyDescent="0.25">
      <c r="A725" s="99"/>
      <c r="B725" s="99"/>
      <c r="C725" s="99"/>
      <c r="D725" s="99"/>
      <c r="E725" s="101"/>
      <c r="F725" s="99"/>
      <c r="G725" s="102"/>
      <c r="H725" s="23"/>
    </row>
    <row r="726" spans="1:8" x14ac:dyDescent="0.25">
      <c r="A726" s="99"/>
      <c r="B726" s="99"/>
      <c r="C726" s="99"/>
      <c r="D726" s="99"/>
      <c r="E726" s="101"/>
      <c r="F726" s="99"/>
      <c r="G726" s="102"/>
      <c r="H726" s="23"/>
    </row>
    <row r="727" spans="1:8" x14ac:dyDescent="0.25">
      <c r="A727" s="99"/>
      <c r="B727" s="99"/>
      <c r="C727" s="99"/>
      <c r="D727" s="99"/>
      <c r="E727" s="101"/>
      <c r="F727" s="99"/>
      <c r="G727" s="102"/>
      <c r="H727" s="23"/>
    </row>
    <row r="728" spans="1:8" x14ac:dyDescent="0.25">
      <c r="A728" s="99"/>
      <c r="B728" s="99"/>
      <c r="C728" s="99"/>
      <c r="D728" s="99"/>
      <c r="E728" s="101"/>
      <c r="F728" s="99"/>
      <c r="G728" s="102"/>
      <c r="H728" s="23"/>
    </row>
    <row r="729" spans="1:8" x14ac:dyDescent="0.25">
      <c r="A729" s="99"/>
      <c r="B729" s="99"/>
      <c r="C729" s="99"/>
      <c r="D729" s="99"/>
      <c r="E729" s="101"/>
      <c r="F729" s="99"/>
      <c r="G729" s="102"/>
      <c r="H729" s="23"/>
    </row>
    <row r="730" spans="1:8" x14ac:dyDescent="0.25">
      <c r="A730" s="99"/>
      <c r="B730" s="99"/>
      <c r="C730" s="99"/>
      <c r="D730" s="99"/>
      <c r="E730" s="101"/>
      <c r="F730" s="99"/>
      <c r="G730" s="102"/>
      <c r="H730" s="23"/>
    </row>
    <row r="731" spans="1:8" x14ac:dyDescent="0.25">
      <c r="A731" s="99"/>
      <c r="B731" s="99"/>
      <c r="C731" s="99"/>
      <c r="D731" s="99"/>
      <c r="E731" s="101"/>
      <c r="F731" s="99"/>
      <c r="G731" s="102"/>
      <c r="H731" s="23"/>
    </row>
    <row r="732" spans="1:8" x14ac:dyDescent="0.25">
      <c r="A732" s="99"/>
      <c r="B732" s="99"/>
      <c r="C732" s="99"/>
      <c r="D732" s="99"/>
      <c r="E732" s="101"/>
      <c r="F732" s="99"/>
      <c r="G732" s="102"/>
      <c r="H732" s="23"/>
    </row>
    <row r="733" spans="1:8" x14ac:dyDescent="0.25">
      <c r="A733" s="99"/>
      <c r="B733" s="99"/>
      <c r="C733" s="99"/>
      <c r="D733" s="99"/>
      <c r="E733" s="101"/>
      <c r="F733" s="99"/>
      <c r="G733" s="102"/>
      <c r="H733" s="23"/>
    </row>
    <row r="734" spans="1:8" x14ac:dyDescent="0.25">
      <c r="A734" s="99"/>
      <c r="B734" s="99"/>
      <c r="C734" s="99"/>
      <c r="D734" s="99"/>
      <c r="E734" s="101"/>
      <c r="F734" s="99"/>
      <c r="G734" s="102"/>
      <c r="H734" s="23"/>
    </row>
    <row r="735" spans="1:8" x14ac:dyDescent="0.25">
      <c r="A735" s="99"/>
      <c r="B735" s="99"/>
      <c r="C735" s="99"/>
      <c r="D735" s="99"/>
      <c r="E735" s="101"/>
      <c r="F735" s="99"/>
      <c r="G735" s="102"/>
      <c r="H735" s="23"/>
    </row>
    <row r="736" spans="1:8" x14ac:dyDescent="0.25">
      <c r="A736" s="99"/>
      <c r="B736" s="99"/>
      <c r="C736" s="99"/>
      <c r="D736" s="99"/>
      <c r="E736" s="101"/>
      <c r="F736" s="99"/>
      <c r="G736" s="102"/>
      <c r="H736" s="23"/>
    </row>
    <row r="737" spans="1:8" x14ac:dyDescent="0.25">
      <c r="A737" s="99"/>
      <c r="B737" s="99"/>
      <c r="C737" s="99"/>
      <c r="D737" s="99"/>
      <c r="E737" s="101"/>
      <c r="F737" s="99"/>
      <c r="G737" s="102"/>
      <c r="H737" s="23"/>
    </row>
    <row r="738" spans="1:8" x14ac:dyDescent="0.25">
      <c r="A738" s="99"/>
      <c r="B738" s="99"/>
      <c r="C738" s="99"/>
      <c r="D738" s="99"/>
      <c r="E738" s="101"/>
      <c r="F738" s="99"/>
      <c r="G738" s="102"/>
      <c r="H738" s="23"/>
    </row>
    <row r="739" spans="1:8" x14ac:dyDescent="0.25">
      <c r="A739" s="99"/>
      <c r="B739" s="99"/>
      <c r="C739" s="99"/>
      <c r="D739" s="99"/>
      <c r="E739" s="101"/>
      <c r="F739" s="99"/>
      <c r="G739" s="102"/>
      <c r="H739" s="23"/>
    </row>
    <row r="740" spans="1:8" x14ac:dyDescent="0.25">
      <c r="A740" s="99"/>
      <c r="B740" s="99"/>
      <c r="C740" s="99"/>
      <c r="D740" s="99"/>
      <c r="E740" s="101"/>
      <c r="F740" s="99"/>
      <c r="G740" s="102"/>
      <c r="H740" s="23"/>
    </row>
    <row r="741" spans="1:8" x14ac:dyDescent="0.25">
      <c r="A741" s="99"/>
      <c r="B741" s="99"/>
      <c r="C741" s="99"/>
      <c r="D741" s="99"/>
      <c r="E741" s="101"/>
      <c r="F741" s="99"/>
      <c r="G741" s="102"/>
      <c r="H741" s="23"/>
    </row>
    <row r="742" spans="1:8" x14ac:dyDescent="0.25">
      <c r="A742" s="99"/>
      <c r="B742" s="99"/>
      <c r="C742" s="99"/>
      <c r="D742" s="99"/>
      <c r="E742" s="101"/>
      <c r="F742" s="99"/>
      <c r="G742" s="102"/>
      <c r="H742" s="23"/>
    </row>
    <row r="743" spans="1:8" x14ac:dyDescent="0.25">
      <c r="A743" s="99"/>
      <c r="B743" s="99"/>
      <c r="C743" s="99"/>
      <c r="D743" s="99"/>
      <c r="E743" s="101"/>
      <c r="F743" s="99"/>
      <c r="G743" s="102"/>
      <c r="H743" s="23"/>
    </row>
    <row r="744" spans="1:8" x14ac:dyDescent="0.25">
      <c r="A744" s="99"/>
      <c r="B744" s="99"/>
      <c r="C744" s="99"/>
      <c r="D744" s="99"/>
      <c r="E744" s="101"/>
      <c r="F744" s="99"/>
      <c r="G744" s="102"/>
      <c r="H744" s="23"/>
    </row>
  </sheetData>
  <mergeCells count="1">
    <mergeCell ref="A1:F1"/>
  </mergeCells>
  <phoneticPr fontId="27" type="noConversion"/>
  <pageMargins left="0.70866141732283472" right="0.70866141732283472" top="0.74803149606299213" bottom="0.74803149606299213" header="0.31496062992125984" footer="0.31496062992125984"/>
  <pageSetup paperSize="9" scale="79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B0FAF-C434-43E3-8B4F-41EFC83423E2}">
  <sheetPr>
    <pageSetUpPr fitToPage="1"/>
  </sheetPr>
  <dimension ref="A1:L96"/>
  <sheetViews>
    <sheetView topLeftCell="A67" zoomScaleNormal="100" workbookViewId="0">
      <selection activeCell="F78" sqref="F78"/>
    </sheetView>
  </sheetViews>
  <sheetFormatPr baseColWidth="10" defaultColWidth="11.42578125" defaultRowHeight="11.25" x14ac:dyDescent="0.2"/>
  <cols>
    <col min="1" max="1" width="11.5703125" style="6" customWidth="1"/>
    <col min="2" max="2" width="67.42578125" style="19" customWidth="1"/>
    <col min="3" max="3" width="12.42578125" style="73" bestFit="1" customWidth="1"/>
    <col min="4" max="4" width="11.28515625" style="6" bestFit="1" customWidth="1"/>
    <col min="5" max="5" width="6.140625" style="6" bestFit="1" customWidth="1"/>
    <col min="6" max="6" width="13.140625" style="6" customWidth="1"/>
    <col min="7" max="7" width="3.5703125" style="6" customWidth="1"/>
    <col min="8" max="8" width="14" style="5" customWidth="1"/>
    <col min="9" max="9" width="11.42578125" style="5"/>
    <col min="10" max="10" width="17.28515625" style="5" customWidth="1"/>
    <col min="11" max="256" width="11.42578125" style="5"/>
    <col min="257" max="257" width="14.140625" style="5" customWidth="1"/>
    <col min="258" max="258" width="55.7109375" style="5" customWidth="1"/>
    <col min="259" max="259" width="12.42578125" style="5" bestFit="1" customWidth="1"/>
    <col min="260" max="260" width="11.28515625" style="5" bestFit="1" customWidth="1"/>
    <col min="261" max="261" width="6.140625" style="5" bestFit="1" customWidth="1"/>
    <col min="262" max="262" width="13.140625" style="5" customWidth="1"/>
    <col min="263" max="263" width="3.5703125" style="5" customWidth="1"/>
    <col min="264" max="264" width="14" style="5" customWidth="1"/>
    <col min="265" max="265" width="11.42578125" style="5"/>
    <col min="266" max="266" width="17.28515625" style="5" customWidth="1"/>
    <col min="267" max="512" width="11.42578125" style="5"/>
    <col min="513" max="513" width="14.140625" style="5" customWidth="1"/>
    <col min="514" max="514" width="55.7109375" style="5" customWidth="1"/>
    <col min="515" max="515" width="12.42578125" style="5" bestFit="1" customWidth="1"/>
    <col min="516" max="516" width="11.28515625" style="5" bestFit="1" customWidth="1"/>
    <col min="517" max="517" width="6.140625" style="5" bestFit="1" customWidth="1"/>
    <col min="518" max="518" width="13.140625" style="5" customWidth="1"/>
    <col min="519" max="519" width="3.5703125" style="5" customWidth="1"/>
    <col min="520" max="520" width="14" style="5" customWidth="1"/>
    <col min="521" max="521" width="11.42578125" style="5"/>
    <col min="522" max="522" width="17.28515625" style="5" customWidth="1"/>
    <col min="523" max="768" width="11.42578125" style="5"/>
    <col min="769" max="769" width="14.140625" style="5" customWidth="1"/>
    <col min="770" max="770" width="55.7109375" style="5" customWidth="1"/>
    <col min="771" max="771" width="12.42578125" style="5" bestFit="1" customWidth="1"/>
    <col min="772" max="772" width="11.28515625" style="5" bestFit="1" customWidth="1"/>
    <col min="773" max="773" width="6.140625" style="5" bestFit="1" customWidth="1"/>
    <col min="774" max="774" width="13.140625" style="5" customWidth="1"/>
    <col min="775" max="775" width="3.5703125" style="5" customWidth="1"/>
    <col min="776" max="776" width="14" style="5" customWidth="1"/>
    <col min="777" max="777" width="11.42578125" style="5"/>
    <col min="778" max="778" width="17.28515625" style="5" customWidth="1"/>
    <col min="779" max="1024" width="11.42578125" style="5"/>
    <col min="1025" max="1025" width="14.140625" style="5" customWidth="1"/>
    <col min="1026" max="1026" width="55.7109375" style="5" customWidth="1"/>
    <col min="1027" max="1027" width="12.42578125" style="5" bestFit="1" customWidth="1"/>
    <col min="1028" max="1028" width="11.28515625" style="5" bestFit="1" customWidth="1"/>
    <col min="1029" max="1029" width="6.140625" style="5" bestFit="1" customWidth="1"/>
    <col min="1030" max="1030" width="13.140625" style="5" customWidth="1"/>
    <col min="1031" max="1031" width="3.5703125" style="5" customWidth="1"/>
    <col min="1032" max="1032" width="14" style="5" customWidth="1"/>
    <col min="1033" max="1033" width="11.42578125" style="5"/>
    <col min="1034" max="1034" width="17.28515625" style="5" customWidth="1"/>
    <col min="1035" max="1280" width="11.42578125" style="5"/>
    <col min="1281" max="1281" width="14.140625" style="5" customWidth="1"/>
    <col min="1282" max="1282" width="55.7109375" style="5" customWidth="1"/>
    <col min="1283" max="1283" width="12.42578125" style="5" bestFit="1" customWidth="1"/>
    <col min="1284" max="1284" width="11.28515625" style="5" bestFit="1" customWidth="1"/>
    <col min="1285" max="1285" width="6.140625" style="5" bestFit="1" customWidth="1"/>
    <col min="1286" max="1286" width="13.140625" style="5" customWidth="1"/>
    <col min="1287" max="1287" width="3.5703125" style="5" customWidth="1"/>
    <col min="1288" max="1288" width="14" style="5" customWidth="1"/>
    <col min="1289" max="1289" width="11.42578125" style="5"/>
    <col min="1290" max="1290" width="17.28515625" style="5" customWidth="1"/>
    <col min="1291" max="1536" width="11.42578125" style="5"/>
    <col min="1537" max="1537" width="14.140625" style="5" customWidth="1"/>
    <col min="1538" max="1538" width="55.7109375" style="5" customWidth="1"/>
    <col min="1539" max="1539" width="12.42578125" style="5" bestFit="1" customWidth="1"/>
    <col min="1540" max="1540" width="11.28515625" style="5" bestFit="1" customWidth="1"/>
    <col min="1541" max="1541" width="6.140625" style="5" bestFit="1" customWidth="1"/>
    <col min="1542" max="1542" width="13.140625" style="5" customWidth="1"/>
    <col min="1543" max="1543" width="3.5703125" style="5" customWidth="1"/>
    <col min="1544" max="1544" width="14" style="5" customWidth="1"/>
    <col min="1545" max="1545" width="11.42578125" style="5"/>
    <col min="1546" max="1546" width="17.28515625" style="5" customWidth="1"/>
    <col min="1547" max="1792" width="11.42578125" style="5"/>
    <col min="1793" max="1793" width="14.140625" style="5" customWidth="1"/>
    <col min="1794" max="1794" width="55.7109375" style="5" customWidth="1"/>
    <col min="1795" max="1795" width="12.42578125" style="5" bestFit="1" customWidth="1"/>
    <col min="1796" max="1796" width="11.28515625" style="5" bestFit="1" customWidth="1"/>
    <col min="1797" max="1797" width="6.140625" style="5" bestFit="1" customWidth="1"/>
    <col min="1798" max="1798" width="13.140625" style="5" customWidth="1"/>
    <col min="1799" max="1799" width="3.5703125" style="5" customWidth="1"/>
    <col min="1800" max="1800" width="14" style="5" customWidth="1"/>
    <col min="1801" max="1801" width="11.42578125" style="5"/>
    <col min="1802" max="1802" width="17.28515625" style="5" customWidth="1"/>
    <col min="1803" max="2048" width="11.42578125" style="5"/>
    <col min="2049" max="2049" width="14.140625" style="5" customWidth="1"/>
    <col min="2050" max="2050" width="55.7109375" style="5" customWidth="1"/>
    <col min="2051" max="2051" width="12.42578125" style="5" bestFit="1" customWidth="1"/>
    <col min="2052" max="2052" width="11.28515625" style="5" bestFit="1" customWidth="1"/>
    <col min="2053" max="2053" width="6.140625" style="5" bestFit="1" customWidth="1"/>
    <col min="2054" max="2054" width="13.140625" style="5" customWidth="1"/>
    <col min="2055" max="2055" width="3.5703125" style="5" customWidth="1"/>
    <col min="2056" max="2056" width="14" style="5" customWidth="1"/>
    <col min="2057" max="2057" width="11.42578125" style="5"/>
    <col min="2058" max="2058" width="17.28515625" style="5" customWidth="1"/>
    <col min="2059" max="2304" width="11.42578125" style="5"/>
    <col min="2305" max="2305" width="14.140625" style="5" customWidth="1"/>
    <col min="2306" max="2306" width="55.7109375" style="5" customWidth="1"/>
    <col min="2307" max="2307" width="12.42578125" style="5" bestFit="1" customWidth="1"/>
    <col min="2308" max="2308" width="11.28515625" style="5" bestFit="1" customWidth="1"/>
    <col min="2309" max="2309" width="6.140625" style="5" bestFit="1" customWidth="1"/>
    <col min="2310" max="2310" width="13.140625" style="5" customWidth="1"/>
    <col min="2311" max="2311" width="3.5703125" style="5" customWidth="1"/>
    <col min="2312" max="2312" width="14" style="5" customWidth="1"/>
    <col min="2313" max="2313" width="11.42578125" style="5"/>
    <col min="2314" max="2314" width="17.28515625" style="5" customWidth="1"/>
    <col min="2315" max="2560" width="11.42578125" style="5"/>
    <col min="2561" max="2561" width="14.140625" style="5" customWidth="1"/>
    <col min="2562" max="2562" width="55.7109375" style="5" customWidth="1"/>
    <col min="2563" max="2563" width="12.42578125" style="5" bestFit="1" customWidth="1"/>
    <col min="2564" max="2564" width="11.28515625" style="5" bestFit="1" customWidth="1"/>
    <col min="2565" max="2565" width="6.140625" style="5" bestFit="1" customWidth="1"/>
    <col min="2566" max="2566" width="13.140625" style="5" customWidth="1"/>
    <col min="2567" max="2567" width="3.5703125" style="5" customWidth="1"/>
    <col min="2568" max="2568" width="14" style="5" customWidth="1"/>
    <col min="2569" max="2569" width="11.42578125" style="5"/>
    <col min="2570" max="2570" width="17.28515625" style="5" customWidth="1"/>
    <col min="2571" max="2816" width="11.42578125" style="5"/>
    <col min="2817" max="2817" width="14.140625" style="5" customWidth="1"/>
    <col min="2818" max="2818" width="55.7109375" style="5" customWidth="1"/>
    <col min="2819" max="2819" width="12.42578125" style="5" bestFit="1" customWidth="1"/>
    <col min="2820" max="2820" width="11.28515625" style="5" bestFit="1" customWidth="1"/>
    <col min="2821" max="2821" width="6.140625" style="5" bestFit="1" customWidth="1"/>
    <col min="2822" max="2822" width="13.140625" style="5" customWidth="1"/>
    <col min="2823" max="2823" width="3.5703125" style="5" customWidth="1"/>
    <col min="2824" max="2824" width="14" style="5" customWidth="1"/>
    <col min="2825" max="2825" width="11.42578125" style="5"/>
    <col min="2826" max="2826" width="17.28515625" style="5" customWidth="1"/>
    <col min="2827" max="3072" width="11.42578125" style="5"/>
    <col min="3073" max="3073" width="14.140625" style="5" customWidth="1"/>
    <col min="3074" max="3074" width="55.7109375" style="5" customWidth="1"/>
    <col min="3075" max="3075" width="12.42578125" style="5" bestFit="1" customWidth="1"/>
    <col min="3076" max="3076" width="11.28515625" style="5" bestFit="1" customWidth="1"/>
    <col min="3077" max="3077" width="6.140625" style="5" bestFit="1" customWidth="1"/>
    <col min="3078" max="3078" width="13.140625" style="5" customWidth="1"/>
    <col min="3079" max="3079" width="3.5703125" style="5" customWidth="1"/>
    <col min="3080" max="3080" width="14" style="5" customWidth="1"/>
    <col min="3081" max="3081" width="11.42578125" style="5"/>
    <col min="3082" max="3082" width="17.28515625" style="5" customWidth="1"/>
    <col min="3083" max="3328" width="11.42578125" style="5"/>
    <col min="3329" max="3329" width="14.140625" style="5" customWidth="1"/>
    <col min="3330" max="3330" width="55.7109375" style="5" customWidth="1"/>
    <col min="3331" max="3331" width="12.42578125" style="5" bestFit="1" customWidth="1"/>
    <col min="3332" max="3332" width="11.28515625" style="5" bestFit="1" customWidth="1"/>
    <col min="3333" max="3333" width="6.140625" style="5" bestFit="1" customWidth="1"/>
    <col min="3334" max="3334" width="13.140625" style="5" customWidth="1"/>
    <col min="3335" max="3335" width="3.5703125" style="5" customWidth="1"/>
    <col min="3336" max="3336" width="14" style="5" customWidth="1"/>
    <col min="3337" max="3337" width="11.42578125" style="5"/>
    <col min="3338" max="3338" width="17.28515625" style="5" customWidth="1"/>
    <col min="3339" max="3584" width="11.42578125" style="5"/>
    <col min="3585" max="3585" width="14.140625" style="5" customWidth="1"/>
    <col min="3586" max="3586" width="55.7109375" style="5" customWidth="1"/>
    <col min="3587" max="3587" width="12.42578125" style="5" bestFit="1" customWidth="1"/>
    <col min="3588" max="3588" width="11.28515625" style="5" bestFit="1" customWidth="1"/>
    <col min="3589" max="3589" width="6.140625" style="5" bestFit="1" customWidth="1"/>
    <col min="3590" max="3590" width="13.140625" style="5" customWidth="1"/>
    <col min="3591" max="3591" width="3.5703125" style="5" customWidth="1"/>
    <col min="3592" max="3592" width="14" style="5" customWidth="1"/>
    <col min="3593" max="3593" width="11.42578125" style="5"/>
    <col min="3594" max="3594" width="17.28515625" style="5" customWidth="1"/>
    <col min="3595" max="3840" width="11.42578125" style="5"/>
    <col min="3841" max="3841" width="14.140625" style="5" customWidth="1"/>
    <col min="3842" max="3842" width="55.7109375" style="5" customWidth="1"/>
    <col min="3843" max="3843" width="12.42578125" style="5" bestFit="1" customWidth="1"/>
    <col min="3844" max="3844" width="11.28515625" style="5" bestFit="1" customWidth="1"/>
    <col min="3845" max="3845" width="6.140625" style="5" bestFit="1" customWidth="1"/>
    <col min="3846" max="3846" width="13.140625" style="5" customWidth="1"/>
    <col min="3847" max="3847" width="3.5703125" style="5" customWidth="1"/>
    <col min="3848" max="3848" width="14" style="5" customWidth="1"/>
    <col min="3849" max="3849" width="11.42578125" style="5"/>
    <col min="3850" max="3850" width="17.28515625" style="5" customWidth="1"/>
    <col min="3851" max="4096" width="11.42578125" style="5"/>
    <col min="4097" max="4097" width="14.140625" style="5" customWidth="1"/>
    <col min="4098" max="4098" width="55.7109375" style="5" customWidth="1"/>
    <col min="4099" max="4099" width="12.42578125" style="5" bestFit="1" customWidth="1"/>
    <col min="4100" max="4100" width="11.28515625" style="5" bestFit="1" customWidth="1"/>
    <col min="4101" max="4101" width="6.140625" style="5" bestFit="1" customWidth="1"/>
    <col min="4102" max="4102" width="13.140625" style="5" customWidth="1"/>
    <col min="4103" max="4103" width="3.5703125" style="5" customWidth="1"/>
    <col min="4104" max="4104" width="14" style="5" customWidth="1"/>
    <col min="4105" max="4105" width="11.42578125" style="5"/>
    <col min="4106" max="4106" width="17.28515625" style="5" customWidth="1"/>
    <col min="4107" max="4352" width="11.42578125" style="5"/>
    <col min="4353" max="4353" width="14.140625" style="5" customWidth="1"/>
    <col min="4354" max="4354" width="55.7109375" style="5" customWidth="1"/>
    <col min="4355" max="4355" width="12.42578125" style="5" bestFit="1" customWidth="1"/>
    <col min="4356" max="4356" width="11.28515625" style="5" bestFit="1" customWidth="1"/>
    <col min="4357" max="4357" width="6.140625" style="5" bestFit="1" customWidth="1"/>
    <col min="4358" max="4358" width="13.140625" style="5" customWidth="1"/>
    <col min="4359" max="4359" width="3.5703125" style="5" customWidth="1"/>
    <col min="4360" max="4360" width="14" style="5" customWidth="1"/>
    <col min="4361" max="4361" width="11.42578125" style="5"/>
    <col min="4362" max="4362" width="17.28515625" style="5" customWidth="1"/>
    <col min="4363" max="4608" width="11.42578125" style="5"/>
    <col min="4609" max="4609" width="14.140625" style="5" customWidth="1"/>
    <col min="4610" max="4610" width="55.7109375" style="5" customWidth="1"/>
    <col min="4611" max="4611" width="12.42578125" style="5" bestFit="1" customWidth="1"/>
    <col min="4612" max="4612" width="11.28515625" style="5" bestFit="1" customWidth="1"/>
    <col min="4613" max="4613" width="6.140625" style="5" bestFit="1" customWidth="1"/>
    <col min="4614" max="4614" width="13.140625" style="5" customWidth="1"/>
    <col min="4615" max="4615" width="3.5703125" style="5" customWidth="1"/>
    <col min="4616" max="4616" width="14" style="5" customWidth="1"/>
    <col min="4617" max="4617" width="11.42578125" style="5"/>
    <col min="4618" max="4618" width="17.28515625" style="5" customWidth="1"/>
    <col min="4619" max="4864" width="11.42578125" style="5"/>
    <col min="4865" max="4865" width="14.140625" style="5" customWidth="1"/>
    <col min="4866" max="4866" width="55.7109375" style="5" customWidth="1"/>
    <col min="4867" max="4867" width="12.42578125" style="5" bestFit="1" customWidth="1"/>
    <col min="4868" max="4868" width="11.28515625" style="5" bestFit="1" customWidth="1"/>
    <col min="4869" max="4869" width="6.140625" style="5" bestFit="1" customWidth="1"/>
    <col min="4870" max="4870" width="13.140625" style="5" customWidth="1"/>
    <col min="4871" max="4871" width="3.5703125" style="5" customWidth="1"/>
    <col min="4872" max="4872" width="14" style="5" customWidth="1"/>
    <col min="4873" max="4873" width="11.42578125" style="5"/>
    <col min="4874" max="4874" width="17.28515625" style="5" customWidth="1"/>
    <col min="4875" max="5120" width="11.42578125" style="5"/>
    <col min="5121" max="5121" width="14.140625" style="5" customWidth="1"/>
    <col min="5122" max="5122" width="55.7109375" style="5" customWidth="1"/>
    <col min="5123" max="5123" width="12.42578125" style="5" bestFit="1" customWidth="1"/>
    <col min="5124" max="5124" width="11.28515625" style="5" bestFit="1" customWidth="1"/>
    <col min="5125" max="5125" width="6.140625" style="5" bestFit="1" customWidth="1"/>
    <col min="5126" max="5126" width="13.140625" style="5" customWidth="1"/>
    <col min="5127" max="5127" width="3.5703125" style="5" customWidth="1"/>
    <col min="5128" max="5128" width="14" style="5" customWidth="1"/>
    <col min="5129" max="5129" width="11.42578125" style="5"/>
    <col min="5130" max="5130" width="17.28515625" style="5" customWidth="1"/>
    <col min="5131" max="5376" width="11.42578125" style="5"/>
    <col min="5377" max="5377" width="14.140625" style="5" customWidth="1"/>
    <col min="5378" max="5378" width="55.7109375" style="5" customWidth="1"/>
    <col min="5379" max="5379" width="12.42578125" style="5" bestFit="1" customWidth="1"/>
    <col min="5380" max="5380" width="11.28515625" style="5" bestFit="1" customWidth="1"/>
    <col min="5381" max="5381" width="6.140625" style="5" bestFit="1" customWidth="1"/>
    <col min="5382" max="5382" width="13.140625" style="5" customWidth="1"/>
    <col min="5383" max="5383" width="3.5703125" style="5" customWidth="1"/>
    <col min="5384" max="5384" width="14" style="5" customWidth="1"/>
    <col min="5385" max="5385" width="11.42578125" style="5"/>
    <col min="5386" max="5386" width="17.28515625" style="5" customWidth="1"/>
    <col min="5387" max="5632" width="11.42578125" style="5"/>
    <col min="5633" max="5633" width="14.140625" style="5" customWidth="1"/>
    <col min="5634" max="5634" width="55.7109375" style="5" customWidth="1"/>
    <col min="5635" max="5635" width="12.42578125" style="5" bestFit="1" customWidth="1"/>
    <col min="5636" max="5636" width="11.28515625" style="5" bestFit="1" customWidth="1"/>
    <col min="5637" max="5637" width="6.140625" style="5" bestFit="1" customWidth="1"/>
    <col min="5638" max="5638" width="13.140625" style="5" customWidth="1"/>
    <col min="5639" max="5639" width="3.5703125" style="5" customWidth="1"/>
    <col min="5640" max="5640" width="14" style="5" customWidth="1"/>
    <col min="5641" max="5641" width="11.42578125" style="5"/>
    <col min="5642" max="5642" width="17.28515625" style="5" customWidth="1"/>
    <col min="5643" max="5888" width="11.42578125" style="5"/>
    <col min="5889" max="5889" width="14.140625" style="5" customWidth="1"/>
    <col min="5890" max="5890" width="55.7109375" style="5" customWidth="1"/>
    <col min="5891" max="5891" width="12.42578125" style="5" bestFit="1" customWidth="1"/>
    <col min="5892" max="5892" width="11.28515625" style="5" bestFit="1" customWidth="1"/>
    <col min="5893" max="5893" width="6.140625" style="5" bestFit="1" customWidth="1"/>
    <col min="5894" max="5894" width="13.140625" style="5" customWidth="1"/>
    <col min="5895" max="5895" width="3.5703125" style="5" customWidth="1"/>
    <col min="5896" max="5896" width="14" style="5" customWidth="1"/>
    <col min="5897" max="5897" width="11.42578125" style="5"/>
    <col min="5898" max="5898" width="17.28515625" style="5" customWidth="1"/>
    <col min="5899" max="6144" width="11.42578125" style="5"/>
    <col min="6145" max="6145" width="14.140625" style="5" customWidth="1"/>
    <col min="6146" max="6146" width="55.7109375" style="5" customWidth="1"/>
    <col min="6147" max="6147" width="12.42578125" style="5" bestFit="1" customWidth="1"/>
    <col min="6148" max="6148" width="11.28515625" style="5" bestFit="1" customWidth="1"/>
    <col min="6149" max="6149" width="6.140625" style="5" bestFit="1" customWidth="1"/>
    <col min="6150" max="6150" width="13.140625" style="5" customWidth="1"/>
    <col min="6151" max="6151" width="3.5703125" style="5" customWidth="1"/>
    <col min="6152" max="6152" width="14" style="5" customWidth="1"/>
    <col min="6153" max="6153" width="11.42578125" style="5"/>
    <col min="6154" max="6154" width="17.28515625" style="5" customWidth="1"/>
    <col min="6155" max="6400" width="11.42578125" style="5"/>
    <col min="6401" max="6401" width="14.140625" style="5" customWidth="1"/>
    <col min="6402" max="6402" width="55.7109375" style="5" customWidth="1"/>
    <col min="6403" max="6403" width="12.42578125" style="5" bestFit="1" customWidth="1"/>
    <col min="6404" max="6404" width="11.28515625" style="5" bestFit="1" customWidth="1"/>
    <col min="6405" max="6405" width="6.140625" style="5" bestFit="1" customWidth="1"/>
    <col min="6406" max="6406" width="13.140625" style="5" customWidth="1"/>
    <col min="6407" max="6407" width="3.5703125" style="5" customWidth="1"/>
    <col min="6408" max="6408" width="14" style="5" customWidth="1"/>
    <col min="6409" max="6409" width="11.42578125" style="5"/>
    <col min="6410" max="6410" width="17.28515625" style="5" customWidth="1"/>
    <col min="6411" max="6656" width="11.42578125" style="5"/>
    <col min="6657" max="6657" width="14.140625" style="5" customWidth="1"/>
    <col min="6658" max="6658" width="55.7109375" style="5" customWidth="1"/>
    <col min="6659" max="6659" width="12.42578125" style="5" bestFit="1" customWidth="1"/>
    <col min="6660" max="6660" width="11.28515625" style="5" bestFit="1" customWidth="1"/>
    <col min="6661" max="6661" width="6.140625" style="5" bestFit="1" customWidth="1"/>
    <col min="6662" max="6662" width="13.140625" style="5" customWidth="1"/>
    <col min="6663" max="6663" width="3.5703125" style="5" customWidth="1"/>
    <col min="6664" max="6664" width="14" style="5" customWidth="1"/>
    <col min="6665" max="6665" width="11.42578125" style="5"/>
    <col min="6666" max="6666" width="17.28515625" style="5" customWidth="1"/>
    <col min="6667" max="6912" width="11.42578125" style="5"/>
    <col min="6913" max="6913" width="14.140625" style="5" customWidth="1"/>
    <col min="6914" max="6914" width="55.7109375" style="5" customWidth="1"/>
    <col min="6915" max="6915" width="12.42578125" style="5" bestFit="1" customWidth="1"/>
    <col min="6916" max="6916" width="11.28515625" style="5" bestFit="1" customWidth="1"/>
    <col min="6917" max="6917" width="6.140625" style="5" bestFit="1" customWidth="1"/>
    <col min="6918" max="6918" width="13.140625" style="5" customWidth="1"/>
    <col min="6919" max="6919" width="3.5703125" style="5" customWidth="1"/>
    <col min="6920" max="6920" width="14" style="5" customWidth="1"/>
    <col min="6921" max="6921" width="11.42578125" style="5"/>
    <col min="6922" max="6922" width="17.28515625" style="5" customWidth="1"/>
    <col min="6923" max="7168" width="11.42578125" style="5"/>
    <col min="7169" max="7169" width="14.140625" style="5" customWidth="1"/>
    <col min="7170" max="7170" width="55.7109375" style="5" customWidth="1"/>
    <col min="7171" max="7171" width="12.42578125" style="5" bestFit="1" customWidth="1"/>
    <col min="7172" max="7172" width="11.28515625" style="5" bestFit="1" customWidth="1"/>
    <col min="7173" max="7173" width="6.140625" style="5" bestFit="1" customWidth="1"/>
    <col min="7174" max="7174" width="13.140625" style="5" customWidth="1"/>
    <col min="7175" max="7175" width="3.5703125" style="5" customWidth="1"/>
    <col min="7176" max="7176" width="14" style="5" customWidth="1"/>
    <col min="7177" max="7177" width="11.42578125" style="5"/>
    <col min="7178" max="7178" width="17.28515625" style="5" customWidth="1"/>
    <col min="7179" max="7424" width="11.42578125" style="5"/>
    <col min="7425" max="7425" width="14.140625" style="5" customWidth="1"/>
    <col min="7426" max="7426" width="55.7109375" style="5" customWidth="1"/>
    <col min="7427" max="7427" width="12.42578125" style="5" bestFit="1" customWidth="1"/>
    <col min="7428" max="7428" width="11.28515625" style="5" bestFit="1" customWidth="1"/>
    <col min="7429" max="7429" width="6.140625" style="5" bestFit="1" customWidth="1"/>
    <col min="7430" max="7430" width="13.140625" style="5" customWidth="1"/>
    <col min="7431" max="7431" width="3.5703125" style="5" customWidth="1"/>
    <col min="7432" max="7432" width="14" style="5" customWidth="1"/>
    <col min="7433" max="7433" width="11.42578125" style="5"/>
    <col min="7434" max="7434" width="17.28515625" style="5" customWidth="1"/>
    <col min="7435" max="7680" width="11.42578125" style="5"/>
    <col min="7681" max="7681" width="14.140625" style="5" customWidth="1"/>
    <col min="7682" max="7682" width="55.7109375" style="5" customWidth="1"/>
    <col min="7683" max="7683" width="12.42578125" style="5" bestFit="1" customWidth="1"/>
    <col min="7684" max="7684" width="11.28515625" style="5" bestFit="1" customWidth="1"/>
    <col min="7685" max="7685" width="6.140625" style="5" bestFit="1" customWidth="1"/>
    <col min="7686" max="7686" width="13.140625" style="5" customWidth="1"/>
    <col min="7687" max="7687" width="3.5703125" style="5" customWidth="1"/>
    <col min="7688" max="7688" width="14" style="5" customWidth="1"/>
    <col min="7689" max="7689" width="11.42578125" style="5"/>
    <col min="7690" max="7690" width="17.28515625" style="5" customWidth="1"/>
    <col min="7691" max="7936" width="11.42578125" style="5"/>
    <col min="7937" max="7937" width="14.140625" style="5" customWidth="1"/>
    <col min="7938" max="7938" width="55.7109375" style="5" customWidth="1"/>
    <col min="7939" max="7939" width="12.42578125" style="5" bestFit="1" customWidth="1"/>
    <col min="7940" max="7940" width="11.28515625" style="5" bestFit="1" customWidth="1"/>
    <col min="7941" max="7941" width="6.140625" style="5" bestFit="1" customWidth="1"/>
    <col min="7942" max="7942" width="13.140625" style="5" customWidth="1"/>
    <col min="7943" max="7943" width="3.5703125" style="5" customWidth="1"/>
    <col min="7944" max="7944" width="14" style="5" customWidth="1"/>
    <col min="7945" max="7945" width="11.42578125" style="5"/>
    <col min="7946" max="7946" width="17.28515625" style="5" customWidth="1"/>
    <col min="7947" max="8192" width="11.42578125" style="5"/>
    <col min="8193" max="8193" width="14.140625" style="5" customWidth="1"/>
    <col min="8194" max="8194" width="55.7109375" style="5" customWidth="1"/>
    <col min="8195" max="8195" width="12.42578125" style="5" bestFit="1" customWidth="1"/>
    <col min="8196" max="8196" width="11.28515625" style="5" bestFit="1" customWidth="1"/>
    <col min="8197" max="8197" width="6.140625" style="5" bestFit="1" customWidth="1"/>
    <col min="8198" max="8198" width="13.140625" style="5" customWidth="1"/>
    <col min="8199" max="8199" width="3.5703125" style="5" customWidth="1"/>
    <col min="8200" max="8200" width="14" style="5" customWidth="1"/>
    <col min="8201" max="8201" width="11.42578125" style="5"/>
    <col min="8202" max="8202" width="17.28515625" style="5" customWidth="1"/>
    <col min="8203" max="8448" width="11.42578125" style="5"/>
    <col min="8449" max="8449" width="14.140625" style="5" customWidth="1"/>
    <col min="8450" max="8450" width="55.7109375" style="5" customWidth="1"/>
    <col min="8451" max="8451" width="12.42578125" style="5" bestFit="1" customWidth="1"/>
    <col min="8452" max="8452" width="11.28515625" style="5" bestFit="1" customWidth="1"/>
    <col min="8453" max="8453" width="6.140625" style="5" bestFit="1" customWidth="1"/>
    <col min="8454" max="8454" width="13.140625" style="5" customWidth="1"/>
    <col min="8455" max="8455" width="3.5703125" style="5" customWidth="1"/>
    <col min="8456" max="8456" width="14" style="5" customWidth="1"/>
    <col min="8457" max="8457" width="11.42578125" style="5"/>
    <col min="8458" max="8458" width="17.28515625" style="5" customWidth="1"/>
    <col min="8459" max="8704" width="11.42578125" style="5"/>
    <col min="8705" max="8705" width="14.140625" style="5" customWidth="1"/>
    <col min="8706" max="8706" width="55.7109375" style="5" customWidth="1"/>
    <col min="8707" max="8707" width="12.42578125" style="5" bestFit="1" customWidth="1"/>
    <col min="8708" max="8708" width="11.28515625" style="5" bestFit="1" customWidth="1"/>
    <col min="8709" max="8709" width="6.140625" style="5" bestFit="1" customWidth="1"/>
    <col min="8710" max="8710" width="13.140625" style="5" customWidth="1"/>
    <col min="8711" max="8711" width="3.5703125" style="5" customWidth="1"/>
    <col min="8712" max="8712" width="14" style="5" customWidth="1"/>
    <col min="8713" max="8713" width="11.42578125" style="5"/>
    <col min="8714" max="8714" width="17.28515625" style="5" customWidth="1"/>
    <col min="8715" max="8960" width="11.42578125" style="5"/>
    <col min="8961" max="8961" width="14.140625" style="5" customWidth="1"/>
    <col min="8962" max="8962" width="55.7109375" style="5" customWidth="1"/>
    <col min="8963" max="8963" width="12.42578125" style="5" bestFit="1" customWidth="1"/>
    <col min="8964" max="8964" width="11.28515625" style="5" bestFit="1" customWidth="1"/>
    <col min="8965" max="8965" width="6.140625" style="5" bestFit="1" customWidth="1"/>
    <col min="8966" max="8966" width="13.140625" style="5" customWidth="1"/>
    <col min="8967" max="8967" width="3.5703125" style="5" customWidth="1"/>
    <col min="8968" max="8968" width="14" style="5" customWidth="1"/>
    <col min="8969" max="8969" width="11.42578125" style="5"/>
    <col min="8970" max="8970" width="17.28515625" style="5" customWidth="1"/>
    <col min="8971" max="9216" width="11.42578125" style="5"/>
    <col min="9217" max="9217" width="14.140625" style="5" customWidth="1"/>
    <col min="9218" max="9218" width="55.7109375" style="5" customWidth="1"/>
    <col min="9219" max="9219" width="12.42578125" style="5" bestFit="1" customWidth="1"/>
    <col min="9220" max="9220" width="11.28515625" style="5" bestFit="1" customWidth="1"/>
    <col min="9221" max="9221" width="6.140625" style="5" bestFit="1" customWidth="1"/>
    <col min="9222" max="9222" width="13.140625" style="5" customWidth="1"/>
    <col min="9223" max="9223" width="3.5703125" style="5" customWidth="1"/>
    <col min="9224" max="9224" width="14" style="5" customWidth="1"/>
    <col min="9225" max="9225" width="11.42578125" style="5"/>
    <col min="9226" max="9226" width="17.28515625" style="5" customWidth="1"/>
    <col min="9227" max="9472" width="11.42578125" style="5"/>
    <col min="9473" max="9473" width="14.140625" style="5" customWidth="1"/>
    <col min="9474" max="9474" width="55.7109375" style="5" customWidth="1"/>
    <col min="9475" max="9475" width="12.42578125" style="5" bestFit="1" customWidth="1"/>
    <col min="9476" max="9476" width="11.28515625" style="5" bestFit="1" customWidth="1"/>
    <col min="9477" max="9477" width="6.140625" style="5" bestFit="1" customWidth="1"/>
    <col min="9478" max="9478" width="13.140625" style="5" customWidth="1"/>
    <col min="9479" max="9479" width="3.5703125" style="5" customWidth="1"/>
    <col min="9480" max="9480" width="14" style="5" customWidth="1"/>
    <col min="9481" max="9481" width="11.42578125" style="5"/>
    <col min="9482" max="9482" width="17.28515625" style="5" customWidth="1"/>
    <col min="9483" max="9728" width="11.42578125" style="5"/>
    <col min="9729" max="9729" width="14.140625" style="5" customWidth="1"/>
    <col min="9730" max="9730" width="55.7109375" style="5" customWidth="1"/>
    <col min="9731" max="9731" width="12.42578125" style="5" bestFit="1" customWidth="1"/>
    <col min="9732" max="9732" width="11.28515625" style="5" bestFit="1" customWidth="1"/>
    <col min="9733" max="9733" width="6.140625" style="5" bestFit="1" customWidth="1"/>
    <col min="9734" max="9734" width="13.140625" style="5" customWidth="1"/>
    <col min="9735" max="9735" width="3.5703125" style="5" customWidth="1"/>
    <col min="9736" max="9736" width="14" style="5" customWidth="1"/>
    <col min="9737" max="9737" width="11.42578125" style="5"/>
    <col min="9738" max="9738" width="17.28515625" style="5" customWidth="1"/>
    <col min="9739" max="9984" width="11.42578125" style="5"/>
    <col min="9985" max="9985" width="14.140625" style="5" customWidth="1"/>
    <col min="9986" max="9986" width="55.7109375" style="5" customWidth="1"/>
    <col min="9987" max="9987" width="12.42578125" style="5" bestFit="1" customWidth="1"/>
    <col min="9988" max="9988" width="11.28515625" style="5" bestFit="1" customWidth="1"/>
    <col min="9989" max="9989" width="6.140625" style="5" bestFit="1" customWidth="1"/>
    <col min="9990" max="9990" width="13.140625" style="5" customWidth="1"/>
    <col min="9991" max="9991" width="3.5703125" style="5" customWidth="1"/>
    <col min="9992" max="9992" width="14" style="5" customWidth="1"/>
    <col min="9993" max="9993" width="11.42578125" style="5"/>
    <col min="9994" max="9994" width="17.28515625" style="5" customWidth="1"/>
    <col min="9995" max="10240" width="11.42578125" style="5"/>
    <col min="10241" max="10241" width="14.140625" style="5" customWidth="1"/>
    <col min="10242" max="10242" width="55.7109375" style="5" customWidth="1"/>
    <col min="10243" max="10243" width="12.42578125" style="5" bestFit="1" customWidth="1"/>
    <col min="10244" max="10244" width="11.28515625" style="5" bestFit="1" customWidth="1"/>
    <col min="10245" max="10245" width="6.140625" style="5" bestFit="1" customWidth="1"/>
    <col min="10246" max="10246" width="13.140625" style="5" customWidth="1"/>
    <col min="10247" max="10247" width="3.5703125" style="5" customWidth="1"/>
    <col min="10248" max="10248" width="14" style="5" customWidth="1"/>
    <col min="10249" max="10249" width="11.42578125" style="5"/>
    <col min="10250" max="10250" width="17.28515625" style="5" customWidth="1"/>
    <col min="10251" max="10496" width="11.42578125" style="5"/>
    <col min="10497" max="10497" width="14.140625" style="5" customWidth="1"/>
    <col min="10498" max="10498" width="55.7109375" style="5" customWidth="1"/>
    <col min="10499" max="10499" width="12.42578125" style="5" bestFit="1" customWidth="1"/>
    <col min="10500" max="10500" width="11.28515625" style="5" bestFit="1" customWidth="1"/>
    <col min="10501" max="10501" width="6.140625" style="5" bestFit="1" customWidth="1"/>
    <col min="10502" max="10502" width="13.140625" style="5" customWidth="1"/>
    <col min="10503" max="10503" width="3.5703125" style="5" customWidth="1"/>
    <col min="10504" max="10504" width="14" style="5" customWidth="1"/>
    <col min="10505" max="10505" width="11.42578125" style="5"/>
    <col min="10506" max="10506" width="17.28515625" style="5" customWidth="1"/>
    <col min="10507" max="10752" width="11.42578125" style="5"/>
    <col min="10753" max="10753" width="14.140625" style="5" customWidth="1"/>
    <col min="10754" max="10754" width="55.7109375" style="5" customWidth="1"/>
    <col min="10755" max="10755" width="12.42578125" style="5" bestFit="1" customWidth="1"/>
    <col min="10756" max="10756" width="11.28515625" style="5" bestFit="1" customWidth="1"/>
    <col min="10757" max="10757" width="6.140625" style="5" bestFit="1" customWidth="1"/>
    <col min="10758" max="10758" width="13.140625" style="5" customWidth="1"/>
    <col min="10759" max="10759" width="3.5703125" style="5" customWidth="1"/>
    <col min="10760" max="10760" width="14" style="5" customWidth="1"/>
    <col min="10761" max="10761" width="11.42578125" style="5"/>
    <col min="10762" max="10762" width="17.28515625" style="5" customWidth="1"/>
    <col min="10763" max="11008" width="11.42578125" style="5"/>
    <col min="11009" max="11009" width="14.140625" style="5" customWidth="1"/>
    <col min="11010" max="11010" width="55.7109375" style="5" customWidth="1"/>
    <col min="11011" max="11011" width="12.42578125" style="5" bestFit="1" customWidth="1"/>
    <col min="11012" max="11012" width="11.28515625" style="5" bestFit="1" customWidth="1"/>
    <col min="11013" max="11013" width="6.140625" style="5" bestFit="1" customWidth="1"/>
    <col min="11014" max="11014" width="13.140625" style="5" customWidth="1"/>
    <col min="11015" max="11015" width="3.5703125" style="5" customWidth="1"/>
    <col min="11016" max="11016" width="14" style="5" customWidth="1"/>
    <col min="11017" max="11017" width="11.42578125" style="5"/>
    <col min="11018" max="11018" width="17.28515625" style="5" customWidth="1"/>
    <col min="11019" max="11264" width="11.42578125" style="5"/>
    <col min="11265" max="11265" width="14.140625" style="5" customWidth="1"/>
    <col min="11266" max="11266" width="55.7109375" style="5" customWidth="1"/>
    <col min="11267" max="11267" width="12.42578125" style="5" bestFit="1" customWidth="1"/>
    <col min="11268" max="11268" width="11.28515625" style="5" bestFit="1" customWidth="1"/>
    <col min="11269" max="11269" width="6.140625" style="5" bestFit="1" customWidth="1"/>
    <col min="11270" max="11270" width="13.140625" style="5" customWidth="1"/>
    <col min="11271" max="11271" width="3.5703125" style="5" customWidth="1"/>
    <col min="11272" max="11272" width="14" style="5" customWidth="1"/>
    <col min="11273" max="11273" width="11.42578125" style="5"/>
    <col min="11274" max="11274" width="17.28515625" style="5" customWidth="1"/>
    <col min="11275" max="11520" width="11.42578125" style="5"/>
    <col min="11521" max="11521" width="14.140625" style="5" customWidth="1"/>
    <col min="11522" max="11522" width="55.7109375" style="5" customWidth="1"/>
    <col min="11523" max="11523" width="12.42578125" style="5" bestFit="1" customWidth="1"/>
    <col min="11524" max="11524" width="11.28515625" style="5" bestFit="1" customWidth="1"/>
    <col min="11525" max="11525" width="6.140625" style="5" bestFit="1" customWidth="1"/>
    <col min="11526" max="11526" width="13.140625" style="5" customWidth="1"/>
    <col min="11527" max="11527" width="3.5703125" style="5" customWidth="1"/>
    <col min="11528" max="11528" width="14" style="5" customWidth="1"/>
    <col min="11529" max="11529" width="11.42578125" style="5"/>
    <col min="11530" max="11530" width="17.28515625" style="5" customWidth="1"/>
    <col min="11531" max="11776" width="11.42578125" style="5"/>
    <col min="11777" max="11777" width="14.140625" style="5" customWidth="1"/>
    <col min="11778" max="11778" width="55.7109375" style="5" customWidth="1"/>
    <col min="11779" max="11779" width="12.42578125" style="5" bestFit="1" customWidth="1"/>
    <col min="11780" max="11780" width="11.28515625" style="5" bestFit="1" customWidth="1"/>
    <col min="11781" max="11781" width="6.140625" style="5" bestFit="1" customWidth="1"/>
    <col min="11782" max="11782" width="13.140625" style="5" customWidth="1"/>
    <col min="11783" max="11783" width="3.5703125" style="5" customWidth="1"/>
    <col min="11784" max="11784" width="14" style="5" customWidth="1"/>
    <col min="11785" max="11785" width="11.42578125" style="5"/>
    <col min="11786" max="11786" width="17.28515625" style="5" customWidth="1"/>
    <col min="11787" max="12032" width="11.42578125" style="5"/>
    <col min="12033" max="12033" width="14.140625" style="5" customWidth="1"/>
    <col min="12034" max="12034" width="55.7109375" style="5" customWidth="1"/>
    <col min="12035" max="12035" width="12.42578125" style="5" bestFit="1" customWidth="1"/>
    <col min="12036" max="12036" width="11.28515625" style="5" bestFit="1" customWidth="1"/>
    <col min="12037" max="12037" width="6.140625" style="5" bestFit="1" customWidth="1"/>
    <col min="12038" max="12038" width="13.140625" style="5" customWidth="1"/>
    <col min="12039" max="12039" width="3.5703125" style="5" customWidth="1"/>
    <col min="12040" max="12040" width="14" style="5" customWidth="1"/>
    <col min="12041" max="12041" width="11.42578125" style="5"/>
    <col min="12042" max="12042" width="17.28515625" style="5" customWidth="1"/>
    <col min="12043" max="12288" width="11.42578125" style="5"/>
    <col min="12289" max="12289" width="14.140625" style="5" customWidth="1"/>
    <col min="12290" max="12290" width="55.7109375" style="5" customWidth="1"/>
    <col min="12291" max="12291" width="12.42578125" style="5" bestFit="1" customWidth="1"/>
    <col min="12292" max="12292" width="11.28515625" style="5" bestFit="1" customWidth="1"/>
    <col min="12293" max="12293" width="6.140625" style="5" bestFit="1" customWidth="1"/>
    <col min="12294" max="12294" width="13.140625" style="5" customWidth="1"/>
    <col min="12295" max="12295" width="3.5703125" style="5" customWidth="1"/>
    <col min="12296" max="12296" width="14" style="5" customWidth="1"/>
    <col min="12297" max="12297" width="11.42578125" style="5"/>
    <col min="12298" max="12298" width="17.28515625" style="5" customWidth="1"/>
    <col min="12299" max="12544" width="11.42578125" style="5"/>
    <col min="12545" max="12545" width="14.140625" style="5" customWidth="1"/>
    <col min="12546" max="12546" width="55.7109375" style="5" customWidth="1"/>
    <col min="12547" max="12547" width="12.42578125" style="5" bestFit="1" customWidth="1"/>
    <col min="12548" max="12548" width="11.28515625" style="5" bestFit="1" customWidth="1"/>
    <col min="12549" max="12549" width="6.140625" style="5" bestFit="1" customWidth="1"/>
    <col min="12550" max="12550" width="13.140625" style="5" customWidth="1"/>
    <col min="12551" max="12551" width="3.5703125" style="5" customWidth="1"/>
    <col min="12552" max="12552" width="14" style="5" customWidth="1"/>
    <col min="12553" max="12553" width="11.42578125" style="5"/>
    <col min="12554" max="12554" width="17.28515625" style="5" customWidth="1"/>
    <col min="12555" max="12800" width="11.42578125" style="5"/>
    <col min="12801" max="12801" width="14.140625" style="5" customWidth="1"/>
    <col min="12802" max="12802" width="55.7109375" style="5" customWidth="1"/>
    <col min="12803" max="12803" width="12.42578125" style="5" bestFit="1" customWidth="1"/>
    <col min="12804" max="12804" width="11.28515625" style="5" bestFit="1" customWidth="1"/>
    <col min="12805" max="12805" width="6.140625" style="5" bestFit="1" customWidth="1"/>
    <col min="12806" max="12806" width="13.140625" style="5" customWidth="1"/>
    <col min="12807" max="12807" width="3.5703125" style="5" customWidth="1"/>
    <col min="12808" max="12808" width="14" style="5" customWidth="1"/>
    <col min="12809" max="12809" width="11.42578125" style="5"/>
    <col min="12810" max="12810" width="17.28515625" style="5" customWidth="1"/>
    <col min="12811" max="13056" width="11.42578125" style="5"/>
    <col min="13057" max="13057" width="14.140625" style="5" customWidth="1"/>
    <col min="13058" max="13058" width="55.7109375" style="5" customWidth="1"/>
    <col min="13059" max="13059" width="12.42578125" style="5" bestFit="1" customWidth="1"/>
    <col min="13060" max="13060" width="11.28515625" style="5" bestFit="1" customWidth="1"/>
    <col min="13061" max="13061" width="6.140625" style="5" bestFit="1" customWidth="1"/>
    <col min="13062" max="13062" width="13.140625" style="5" customWidth="1"/>
    <col min="13063" max="13063" width="3.5703125" style="5" customWidth="1"/>
    <col min="13064" max="13064" width="14" style="5" customWidth="1"/>
    <col min="13065" max="13065" width="11.42578125" style="5"/>
    <col min="13066" max="13066" width="17.28515625" style="5" customWidth="1"/>
    <col min="13067" max="13312" width="11.42578125" style="5"/>
    <col min="13313" max="13313" width="14.140625" style="5" customWidth="1"/>
    <col min="13314" max="13314" width="55.7109375" style="5" customWidth="1"/>
    <col min="13315" max="13315" width="12.42578125" style="5" bestFit="1" customWidth="1"/>
    <col min="13316" max="13316" width="11.28515625" style="5" bestFit="1" customWidth="1"/>
    <col min="13317" max="13317" width="6.140625" style="5" bestFit="1" customWidth="1"/>
    <col min="13318" max="13318" width="13.140625" style="5" customWidth="1"/>
    <col min="13319" max="13319" width="3.5703125" style="5" customWidth="1"/>
    <col min="13320" max="13320" width="14" style="5" customWidth="1"/>
    <col min="13321" max="13321" width="11.42578125" style="5"/>
    <col min="13322" max="13322" width="17.28515625" style="5" customWidth="1"/>
    <col min="13323" max="13568" width="11.42578125" style="5"/>
    <col min="13569" max="13569" width="14.140625" style="5" customWidth="1"/>
    <col min="13570" max="13570" width="55.7109375" style="5" customWidth="1"/>
    <col min="13571" max="13571" width="12.42578125" style="5" bestFit="1" customWidth="1"/>
    <col min="13572" max="13572" width="11.28515625" style="5" bestFit="1" customWidth="1"/>
    <col min="13573" max="13573" width="6.140625" style="5" bestFit="1" customWidth="1"/>
    <col min="13574" max="13574" width="13.140625" style="5" customWidth="1"/>
    <col min="13575" max="13575" width="3.5703125" style="5" customWidth="1"/>
    <col min="13576" max="13576" width="14" style="5" customWidth="1"/>
    <col min="13577" max="13577" width="11.42578125" style="5"/>
    <col min="13578" max="13578" width="17.28515625" style="5" customWidth="1"/>
    <col min="13579" max="13824" width="11.42578125" style="5"/>
    <col min="13825" max="13825" width="14.140625" style="5" customWidth="1"/>
    <col min="13826" max="13826" width="55.7109375" style="5" customWidth="1"/>
    <col min="13827" max="13827" width="12.42578125" style="5" bestFit="1" customWidth="1"/>
    <col min="13828" max="13828" width="11.28515625" style="5" bestFit="1" customWidth="1"/>
    <col min="13829" max="13829" width="6.140625" style="5" bestFit="1" customWidth="1"/>
    <col min="13830" max="13830" width="13.140625" style="5" customWidth="1"/>
    <col min="13831" max="13831" width="3.5703125" style="5" customWidth="1"/>
    <col min="13832" max="13832" width="14" style="5" customWidth="1"/>
    <col min="13833" max="13833" width="11.42578125" style="5"/>
    <col min="13834" max="13834" width="17.28515625" style="5" customWidth="1"/>
    <col min="13835" max="14080" width="11.42578125" style="5"/>
    <col min="14081" max="14081" width="14.140625" style="5" customWidth="1"/>
    <col min="14082" max="14082" width="55.7109375" style="5" customWidth="1"/>
    <col min="14083" max="14083" width="12.42578125" style="5" bestFit="1" customWidth="1"/>
    <col min="14084" max="14084" width="11.28515625" style="5" bestFit="1" customWidth="1"/>
    <col min="14085" max="14085" width="6.140625" style="5" bestFit="1" customWidth="1"/>
    <col min="14086" max="14086" width="13.140625" style="5" customWidth="1"/>
    <col min="14087" max="14087" width="3.5703125" style="5" customWidth="1"/>
    <col min="14088" max="14088" width="14" style="5" customWidth="1"/>
    <col min="14089" max="14089" width="11.42578125" style="5"/>
    <col min="14090" max="14090" width="17.28515625" style="5" customWidth="1"/>
    <col min="14091" max="14336" width="11.42578125" style="5"/>
    <col min="14337" max="14337" width="14.140625" style="5" customWidth="1"/>
    <col min="14338" max="14338" width="55.7109375" style="5" customWidth="1"/>
    <col min="14339" max="14339" width="12.42578125" style="5" bestFit="1" customWidth="1"/>
    <col min="14340" max="14340" width="11.28515625" style="5" bestFit="1" customWidth="1"/>
    <col min="14341" max="14341" width="6.140625" style="5" bestFit="1" customWidth="1"/>
    <col min="14342" max="14342" width="13.140625" style="5" customWidth="1"/>
    <col min="14343" max="14343" width="3.5703125" style="5" customWidth="1"/>
    <col min="14344" max="14344" width="14" style="5" customWidth="1"/>
    <col min="14345" max="14345" width="11.42578125" style="5"/>
    <col min="14346" max="14346" width="17.28515625" style="5" customWidth="1"/>
    <col min="14347" max="14592" width="11.42578125" style="5"/>
    <col min="14593" max="14593" width="14.140625" style="5" customWidth="1"/>
    <col min="14594" max="14594" width="55.7109375" style="5" customWidth="1"/>
    <col min="14595" max="14595" width="12.42578125" style="5" bestFit="1" customWidth="1"/>
    <col min="14596" max="14596" width="11.28515625" style="5" bestFit="1" customWidth="1"/>
    <col min="14597" max="14597" width="6.140625" style="5" bestFit="1" customWidth="1"/>
    <col min="14598" max="14598" width="13.140625" style="5" customWidth="1"/>
    <col min="14599" max="14599" width="3.5703125" style="5" customWidth="1"/>
    <col min="14600" max="14600" width="14" style="5" customWidth="1"/>
    <col min="14601" max="14601" width="11.42578125" style="5"/>
    <col min="14602" max="14602" width="17.28515625" style="5" customWidth="1"/>
    <col min="14603" max="14848" width="11.42578125" style="5"/>
    <col min="14849" max="14849" width="14.140625" style="5" customWidth="1"/>
    <col min="14850" max="14850" width="55.7109375" style="5" customWidth="1"/>
    <col min="14851" max="14851" width="12.42578125" style="5" bestFit="1" customWidth="1"/>
    <col min="14852" max="14852" width="11.28515625" style="5" bestFit="1" customWidth="1"/>
    <col min="14853" max="14853" width="6.140625" style="5" bestFit="1" customWidth="1"/>
    <col min="14854" max="14854" width="13.140625" style="5" customWidth="1"/>
    <col min="14855" max="14855" width="3.5703125" style="5" customWidth="1"/>
    <col min="14856" max="14856" width="14" style="5" customWidth="1"/>
    <col min="14857" max="14857" width="11.42578125" style="5"/>
    <col min="14858" max="14858" width="17.28515625" style="5" customWidth="1"/>
    <col min="14859" max="15104" width="11.42578125" style="5"/>
    <col min="15105" max="15105" width="14.140625" style="5" customWidth="1"/>
    <col min="15106" max="15106" width="55.7109375" style="5" customWidth="1"/>
    <col min="15107" max="15107" width="12.42578125" style="5" bestFit="1" customWidth="1"/>
    <col min="15108" max="15108" width="11.28515625" style="5" bestFit="1" customWidth="1"/>
    <col min="15109" max="15109" width="6.140625" style="5" bestFit="1" customWidth="1"/>
    <col min="15110" max="15110" width="13.140625" style="5" customWidth="1"/>
    <col min="15111" max="15111" width="3.5703125" style="5" customWidth="1"/>
    <col min="15112" max="15112" width="14" style="5" customWidth="1"/>
    <col min="15113" max="15113" width="11.42578125" style="5"/>
    <col min="15114" max="15114" width="17.28515625" style="5" customWidth="1"/>
    <col min="15115" max="15360" width="11.42578125" style="5"/>
    <col min="15361" max="15361" width="14.140625" style="5" customWidth="1"/>
    <col min="15362" max="15362" width="55.7109375" style="5" customWidth="1"/>
    <col min="15363" max="15363" width="12.42578125" style="5" bestFit="1" customWidth="1"/>
    <col min="15364" max="15364" width="11.28515625" style="5" bestFit="1" customWidth="1"/>
    <col min="15365" max="15365" width="6.140625" style="5" bestFit="1" customWidth="1"/>
    <col min="15366" max="15366" width="13.140625" style="5" customWidth="1"/>
    <col min="15367" max="15367" width="3.5703125" style="5" customWidth="1"/>
    <col min="15368" max="15368" width="14" style="5" customWidth="1"/>
    <col min="15369" max="15369" width="11.42578125" style="5"/>
    <col min="15370" max="15370" width="17.28515625" style="5" customWidth="1"/>
    <col min="15371" max="15616" width="11.42578125" style="5"/>
    <col min="15617" max="15617" width="14.140625" style="5" customWidth="1"/>
    <col min="15618" max="15618" width="55.7109375" style="5" customWidth="1"/>
    <col min="15619" max="15619" width="12.42578125" style="5" bestFit="1" customWidth="1"/>
    <col min="15620" max="15620" width="11.28515625" style="5" bestFit="1" customWidth="1"/>
    <col min="15621" max="15621" width="6.140625" style="5" bestFit="1" customWidth="1"/>
    <col min="15622" max="15622" width="13.140625" style="5" customWidth="1"/>
    <col min="15623" max="15623" width="3.5703125" style="5" customWidth="1"/>
    <col min="15624" max="15624" width="14" style="5" customWidth="1"/>
    <col min="15625" max="15625" width="11.42578125" style="5"/>
    <col min="15626" max="15626" width="17.28515625" style="5" customWidth="1"/>
    <col min="15627" max="15872" width="11.42578125" style="5"/>
    <col min="15873" max="15873" width="14.140625" style="5" customWidth="1"/>
    <col min="15874" max="15874" width="55.7109375" style="5" customWidth="1"/>
    <col min="15875" max="15875" width="12.42578125" style="5" bestFit="1" customWidth="1"/>
    <col min="15876" max="15876" width="11.28515625" style="5" bestFit="1" customWidth="1"/>
    <col min="15877" max="15877" width="6.140625" style="5" bestFit="1" customWidth="1"/>
    <col min="15878" max="15878" width="13.140625" style="5" customWidth="1"/>
    <col min="15879" max="15879" width="3.5703125" style="5" customWidth="1"/>
    <col min="15880" max="15880" width="14" style="5" customWidth="1"/>
    <col min="15881" max="15881" width="11.42578125" style="5"/>
    <col min="15882" max="15882" width="17.28515625" style="5" customWidth="1"/>
    <col min="15883" max="16128" width="11.42578125" style="5"/>
    <col min="16129" max="16129" width="14.140625" style="5" customWidth="1"/>
    <col min="16130" max="16130" width="55.7109375" style="5" customWidth="1"/>
    <col min="16131" max="16131" width="12.42578125" style="5" bestFit="1" customWidth="1"/>
    <col min="16132" max="16132" width="11.28515625" style="5" bestFit="1" customWidth="1"/>
    <col min="16133" max="16133" width="6.140625" style="5" bestFit="1" customWidth="1"/>
    <col min="16134" max="16134" width="13.140625" style="5" customWidth="1"/>
    <col min="16135" max="16135" width="3.5703125" style="5" customWidth="1"/>
    <col min="16136" max="16136" width="14" style="5" customWidth="1"/>
    <col min="16137" max="16137" width="11.42578125" style="5"/>
    <col min="16138" max="16138" width="17.28515625" style="5" customWidth="1"/>
    <col min="16139" max="16384" width="11.42578125" style="5"/>
  </cols>
  <sheetData>
    <row r="1" spans="1:8" x14ac:dyDescent="0.2">
      <c r="A1" s="1" t="s">
        <v>0</v>
      </c>
      <c r="B1" s="2"/>
      <c r="C1" s="7"/>
      <c r="D1" s="3"/>
      <c r="E1" s="3"/>
      <c r="F1" s="3"/>
      <c r="G1" s="3"/>
      <c r="H1" s="4"/>
    </row>
    <row r="2" spans="1:8" x14ac:dyDescent="0.2">
      <c r="A2" s="1"/>
      <c r="B2" s="2"/>
      <c r="C2" s="7"/>
      <c r="D2" s="3"/>
      <c r="E2" s="3"/>
      <c r="F2" s="3"/>
      <c r="G2" s="3"/>
      <c r="H2" s="4"/>
    </row>
    <row r="3" spans="1:8" x14ac:dyDescent="0.2">
      <c r="A3" s="1"/>
      <c r="B3" s="2"/>
      <c r="C3" s="7"/>
      <c r="D3" s="3"/>
      <c r="E3" s="3"/>
      <c r="F3" s="3"/>
      <c r="G3" s="3"/>
      <c r="H3" s="4"/>
    </row>
    <row r="4" spans="1:8" x14ac:dyDescent="0.2">
      <c r="A4" s="1" t="s">
        <v>1</v>
      </c>
      <c r="B4" s="1"/>
      <c r="D4" s="5"/>
      <c r="E4" s="5"/>
      <c r="G4" s="5"/>
    </row>
    <row r="5" spans="1:8" x14ac:dyDescent="0.2">
      <c r="A5" s="7"/>
      <c r="B5" s="2"/>
      <c r="C5" s="7"/>
      <c r="D5" s="3"/>
      <c r="E5" s="3"/>
      <c r="F5" s="3"/>
      <c r="G5" s="3"/>
      <c r="H5" s="4"/>
    </row>
    <row r="6" spans="1:8" x14ac:dyDescent="0.2">
      <c r="A6" s="7"/>
      <c r="B6" s="2"/>
      <c r="C6" s="7"/>
      <c r="D6" s="3"/>
      <c r="E6" s="3"/>
      <c r="F6" s="3"/>
      <c r="G6" s="3"/>
      <c r="H6" s="4"/>
    </row>
    <row r="7" spans="1:8" x14ac:dyDescent="0.2">
      <c r="A7" s="7"/>
      <c r="B7" s="8" t="s">
        <v>2</v>
      </c>
      <c r="C7" s="7"/>
      <c r="D7" s="3"/>
      <c r="E7" s="3"/>
      <c r="F7" s="3"/>
      <c r="G7" s="3"/>
      <c r="H7" s="4"/>
    </row>
    <row r="8" spans="1:8" x14ac:dyDescent="0.2">
      <c r="A8" s="7"/>
      <c r="B8" s="2"/>
      <c r="C8" s="7"/>
      <c r="D8" s="3"/>
      <c r="E8" s="3"/>
      <c r="F8" s="3"/>
      <c r="G8" s="3"/>
      <c r="H8" s="4"/>
    </row>
    <row r="9" spans="1:8" ht="13.5" customHeight="1" x14ac:dyDescent="0.2">
      <c r="A9" s="9" t="s">
        <v>7474</v>
      </c>
      <c r="B9" s="9"/>
      <c r="C9" s="74"/>
      <c r="D9" s="3"/>
      <c r="E9" s="3"/>
      <c r="F9" s="3"/>
      <c r="G9" s="10" t="s">
        <v>3</v>
      </c>
      <c r="H9" s="11">
        <v>60511.87</v>
      </c>
    </row>
    <row r="10" spans="1:8" x14ac:dyDescent="0.2">
      <c r="A10" s="3"/>
      <c r="B10" s="8"/>
      <c r="C10" s="7"/>
      <c r="D10" s="3"/>
      <c r="E10" s="3"/>
      <c r="F10" s="3"/>
      <c r="G10" s="3"/>
      <c r="H10" s="4"/>
    </row>
    <row r="11" spans="1:8" x14ac:dyDescent="0.2">
      <c r="A11" s="12"/>
      <c r="B11" s="13" t="s">
        <v>4</v>
      </c>
      <c r="C11" s="7"/>
      <c r="D11" s="14"/>
      <c r="E11" s="14"/>
      <c r="F11" s="15"/>
      <c r="G11" s="3"/>
      <c r="H11" s="4"/>
    </row>
    <row r="12" spans="1:8" ht="12.75" customHeight="1" x14ac:dyDescent="0.2">
      <c r="A12" s="12"/>
      <c r="B12" s="16" t="s">
        <v>1553</v>
      </c>
      <c r="C12" s="7"/>
      <c r="D12" s="14"/>
      <c r="E12" s="14"/>
      <c r="F12" s="15"/>
      <c r="G12" s="3"/>
      <c r="H12" s="4"/>
    </row>
    <row r="13" spans="1:8" x14ac:dyDescent="0.2">
      <c r="A13" s="12"/>
      <c r="B13" s="8"/>
      <c r="C13" s="7"/>
      <c r="D13" s="14"/>
      <c r="E13" s="14"/>
      <c r="F13" s="15"/>
      <c r="G13" s="3"/>
      <c r="H13" s="4"/>
    </row>
    <row r="14" spans="1:8" ht="12.75" x14ac:dyDescent="0.2">
      <c r="A14" s="38" t="s">
        <v>5</v>
      </c>
      <c r="B14" s="39" t="s">
        <v>6</v>
      </c>
      <c r="C14" s="75" t="s">
        <v>7</v>
      </c>
      <c r="D14" s="41" t="s">
        <v>8</v>
      </c>
      <c r="E14" s="41"/>
      <c r="F14" s="41" t="s">
        <v>9</v>
      </c>
      <c r="G14" s="42"/>
      <c r="H14" s="36"/>
    </row>
    <row r="15" spans="1:8" ht="12.75" x14ac:dyDescent="0.2">
      <c r="A15" s="90"/>
      <c r="B15" s="89"/>
      <c r="C15" s="91"/>
      <c r="D15" s="45"/>
      <c r="E15" s="41"/>
      <c r="F15" s="46"/>
      <c r="G15" s="42"/>
      <c r="H15" s="36"/>
    </row>
    <row r="16" spans="1:8" ht="12.75" x14ac:dyDescent="0.2">
      <c r="A16" s="47"/>
      <c r="B16" s="48"/>
      <c r="C16" s="77"/>
      <c r="D16" s="34"/>
      <c r="E16" s="41"/>
      <c r="F16" s="68"/>
      <c r="G16" s="42"/>
      <c r="H16" s="49">
        <f>SUM(F15:F15)</f>
        <v>0</v>
      </c>
    </row>
    <row r="17" spans="1:9" ht="12.75" x14ac:dyDescent="0.2">
      <c r="A17" s="38"/>
      <c r="B17" s="50"/>
      <c r="C17" s="78"/>
      <c r="D17" s="41"/>
      <c r="E17" s="41"/>
      <c r="F17" s="51"/>
      <c r="G17" s="52"/>
      <c r="H17" s="36"/>
    </row>
    <row r="18" spans="1:9" ht="12.75" x14ac:dyDescent="0.2">
      <c r="A18" s="42"/>
      <c r="B18" s="53" t="s">
        <v>4</v>
      </c>
      <c r="C18" s="78"/>
      <c r="D18" s="54"/>
      <c r="E18" s="54"/>
      <c r="F18" s="41" t="s">
        <v>9</v>
      </c>
      <c r="G18" s="42"/>
      <c r="H18" s="36"/>
    </row>
    <row r="19" spans="1:9" ht="13.5" customHeight="1" x14ac:dyDescent="0.2">
      <c r="A19" s="40" t="s">
        <v>5</v>
      </c>
      <c r="B19" s="55" t="s">
        <v>10</v>
      </c>
      <c r="C19" s="78"/>
      <c r="D19" s="54"/>
      <c r="E19" s="54"/>
      <c r="F19" s="51"/>
      <c r="G19" s="42"/>
      <c r="H19" s="36"/>
    </row>
    <row r="20" spans="1:9" ht="12.75" x14ac:dyDescent="0.2">
      <c r="A20" s="155"/>
      <c r="B20" s="156"/>
      <c r="C20" s="157"/>
      <c r="D20" s="158"/>
      <c r="E20" s="154"/>
      <c r="F20" s="268"/>
      <c r="G20" s="42"/>
    </row>
    <row r="21" spans="1:9" ht="12.75" x14ac:dyDescent="0.2">
      <c r="A21" s="155"/>
      <c r="B21" s="156"/>
      <c r="C21" s="157"/>
      <c r="D21" s="158"/>
      <c r="E21" s="154"/>
      <c r="F21" s="159"/>
      <c r="G21" s="42"/>
      <c r="H21" s="49">
        <f>SUM(F20:F20)</f>
        <v>0</v>
      </c>
    </row>
    <row r="22" spans="1:9" s="20" customFormat="1" ht="12.75" x14ac:dyDescent="0.2">
      <c r="A22" s="58"/>
      <c r="B22" s="59" t="s">
        <v>12</v>
      </c>
      <c r="C22" s="75"/>
      <c r="D22" s="40"/>
      <c r="E22" s="40"/>
      <c r="F22" s="42"/>
      <c r="G22" s="60"/>
      <c r="H22" s="37"/>
    </row>
    <row r="23" spans="1:9" s="20" customFormat="1" ht="12.75" x14ac:dyDescent="0.2">
      <c r="A23" s="40" t="s">
        <v>5</v>
      </c>
      <c r="B23" s="59" t="s">
        <v>13</v>
      </c>
      <c r="C23" s="75"/>
      <c r="D23" s="40"/>
      <c r="E23" s="40"/>
      <c r="F23" s="41" t="s">
        <v>9</v>
      </c>
      <c r="G23" s="60"/>
      <c r="H23" s="37"/>
    </row>
    <row r="24" spans="1:9" ht="12.75" x14ac:dyDescent="0.2">
      <c r="A24" s="43"/>
      <c r="B24" s="44"/>
      <c r="C24" s="78"/>
      <c r="D24" s="54"/>
      <c r="E24" s="54"/>
      <c r="F24" s="69"/>
      <c r="G24" s="42"/>
      <c r="H24" s="36"/>
    </row>
    <row r="25" spans="1:9" ht="12.75" x14ac:dyDescent="0.2">
      <c r="A25" s="61"/>
      <c r="B25" s="57"/>
      <c r="C25" s="78"/>
      <c r="D25" s="54"/>
      <c r="E25" s="54"/>
      <c r="F25" s="51"/>
      <c r="G25" s="42"/>
      <c r="H25" s="49">
        <f>SUM(F24:F24)</f>
        <v>0</v>
      </c>
    </row>
    <row r="26" spans="1:9" ht="12.75" x14ac:dyDescent="0.2">
      <c r="A26" s="42"/>
      <c r="B26" s="57"/>
      <c r="C26" s="78"/>
      <c r="D26" s="54"/>
      <c r="E26" s="54"/>
      <c r="F26" s="51"/>
      <c r="G26" s="42"/>
      <c r="H26" s="36"/>
    </row>
    <row r="27" spans="1:9" ht="12.75" x14ac:dyDescent="0.2">
      <c r="A27" s="42"/>
      <c r="B27" s="59" t="s">
        <v>12</v>
      </c>
      <c r="C27" s="78"/>
      <c r="D27" s="54"/>
      <c r="E27" s="54"/>
      <c r="F27" s="41" t="s">
        <v>9</v>
      </c>
      <c r="G27" s="42"/>
      <c r="H27" s="36"/>
    </row>
    <row r="28" spans="1:9" ht="12.75" x14ac:dyDescent="0.2">
      <c r="A28" s="40" t="s">
        <v>5</v>
      </c>
      <c r="B28" s="55" t="s">
        <v>14</v>
      </c>
      <c r="C28" s="78"/>
      <c r="D28" s="54"/>
      <c r="E28" s="54"/>
      <c r="F28" s="52"/>
      <c r="G28" s="42"/>
      <c r="H28" s="36"/>
    </row>
    <row r="29" spans="1:9" ht="12.75" x14ac:dyDescent="0.2">
      <c r="A29" s="90">
        <v>44253</v>
      </c>
      <c r="B29" s="89" t="s">
        <v>6283</v>
      </c>
      <c r="C29" s="91" t="s">
        <v>6284</v>
      </c>
      <c r="D29" s="161" t="s">
        <v>3577</v>
      </c>
      <c r="F29" s="88">
        <v>5.27</v>
      </c>
      <c r="H29" s="37"/>
      <c r="I29" s="17"/>
    </row>
    <row r="30" spans="1:9" ht="12.75" x14ac:dyDescent="0.2">
      <c r="A30" s="90">
        <v>44253</v>
      </c>
      <c r="B30" s="89" t="s">
        <v>6281</v>
      </c>
      <c r="C30" s="91" t="s">
        <v>6282</v>
      </c>
      <c r="D30" s="149" t="s">
        <v>3577</v>
      </c>
      <c r="E30" s="35"/>
      <c r="F30" s="88">
        <v>21.43</v>
      </c>
      <c r="G30" s="42"/>
      <c r="H30" s="37"/>
      <c r="I30" s="17"/>
    </row>
    <row r="31" spans="1:9" ht="12.75" x14ac:dyDescent="0.2">
      <c r="A31" s="90">
        <v>44253</v>
      </c>
      <c r="B31" s="89" t="s">
        <v>6279</v>
      </c>
      <c r="C31" s="91" t="s">
        <v>6280</v>
      </c>
      <c r="D31" s="149" t="s">
        <v>3577</v>
      </c>
      <c r="E31" s="35"/>
      <c r="F31" s="88">
        <v>5.04</v>
      </c>
      <c r="G31" s="42"/>
      <c r="H31" s="37"/>
      <c r="I31" s="17"/>
    </row>
    <row r="32" spans="1:9" ht="12.75" x14ac:dyDescent="0.2">
      <c r="A32" s="90">
        <v>44253</v>
      </c>
      <c r="B32" s="89" t="s">
        <v>6277</v>
      </c>
      <c r="C32" s="91" t="s">
        <v>6278</v>
      </c>
      <c r="D32" s="161" t="s">
        <v>3577</v>
      </c>
      <c r="E32" s="35"/>
      <c r="F32" s="88">
        <v>3.89</v>
      </c>
      <c r="G32" s="42"/>
      <c r="H32" s="37"/>
      <c r="I32" s="17"/>
    </row>
    <row r="33" spans="1:9" ht="12.75" x14ac:dyDescent="0.2">
      <c r="A33" s="90">
        <v>44253</v>
      </c>
      <c r="B33" s="89" t="s">
        <v>6275</v>
      </c>
      <c r="C33" s="91" t="s">
        <v>6276</v>
      </c>
      <c r="D33" s="149" t="s">
        <v>3577</v>
      </c>
      <c r="E33" s="154"/>
      <c r="F33" s="88">
        <v>14.74</v>
      </c>
      <c r="I33" s="17"/>
    </row>
    <row r="34" spans="1:9" ht="12.75" x14ac:dyDescent="0.2">
      <c r="A34" s="90">
        <v>44253</v>
      </c>
      <c r="B34" s="89" t="s">
        <v>6273</v>
      </c>
      <c r="C34" s="91" t="s">
        <v>6274</v>
      </c>
      <c r="D34" s="149" t="s">
        <v>3577</v>
      </c>
      <c r="E34" s="35"/>
      <c r="F34" s="88">
        <v>3.9</v>
      </c>
      <c r="G34" s="42"/>
      <c r="H34" s="37"/>
      <c r="I34" s="17"/>
    </row>
    <row r="35" spans="1:9" ht="12.75" x14ac:dyDescent="0.2">
      <c r="A35" s="90">
        <v>44253</v>
      </c>
      <c r="B35" s="89" t="s">
        <v>6271</v>
      </c>
      <c r="C35" s="91" t="s">
        <v>6272</v>
      </c>
      <c r="D35" s="161" t="s">
        <v>3577</v>
      </c>
      <c r="E35" s="35"/>
      <c r="F35" s="88">
        <v>2.35</v>
      </c>
      <c r="G35" s="42"/>
      <c r="H35" s="37"/>
      <c r="I35" s="17"/>
    </row>
    <row r="36" spans="1:9" ht="12.75" x14ac:dyDescent="0.2">
      <c r="A36" s="90">
        <v>44253</v>
      </c>
      <c r="B36" s="89" t="s">
        <v>6269</v>
      </c>
      <c r="C36" s="91" t="s">
        <v>6270</v>
      </c>
      <c r="D36" s="149" t="s">
        <v>3577</v>
      </c>
      <c r="E36" s="35"/>
      <c r="F36" s="88">
        <v>5.08</v>
      </c>
      <c r="G36" s="42"/>
      <c r="H36" s="37"/>
      <c r="I36" s="17"/>
    </row>
    <row r="37" spans="1:9" ht="12.75" x14ac:dyDescent="0.2">
      <c r="A37" s="90">
        <v>44253</v>
      </c>
      <c r="B37" s="89" t="s">
        <v>6267</v>
      </c>
      <c r="C37" s="91" t="s">
        <v>6268</v>
      </c>
      <c r="D37" s="149" t="s">
        <v>3577</v>
      </c>
      <c r="E37" s="35"/>
      <c r="F37" s="88">
        <v>6.31</v>
      </c>
      <c r="G37" s="42"/>
      <c r="H37" s="37"/>
      <c r="I37" s="17"/>
    </row>
    <row r="38" spans="1:9" ht="12.75" x14ac:dyDescent="0.2">
      <c r="A38" s="90">
        <v>44253</v>
      </c>
      <c r="B38" s="89" t="s">
        <v>6265</v>
      </c>
      <c r="C38" s="91" t="s">
        <v>6266</v>
      </c>
      <c r="D38" s="161" t="s">
        <v>3577</v>
      </c>
      <c r="E38" s="35"/>
      <c r="F38" s="88">
        <v>6.24</v>
      </c>
      <c r="G38" s="42"/>
      <c r="H38" s="37"/>
      <c r="I38" s="17"/>
    </row>
    <row r="39" spans="1:9" ht="12.75" x14ac:dyDescent="0.2">
      <c r="A39" s="90">
        <v>44253</v>
      </c>
      <c r="B39" s="89" t="s">
        <v>6263</v>
      </c>
      <c r="C39" s="91" t="s">
        <v>6264</v>
      </c>
      <c r="D39" s="149" t="s">
        <v>3577</v>
      </c>
      <c r="E39" s="35"/>
      <c r="F39" s="88">
        <v>6.84</v>
      </c>
      <c r="G39" s="42"/>
      <c r="H39" s="37"/>
      <c r="I39" s="17"/>
    </row>
    <row r="40" spans="1:9" ht="12.75" x14ac:dyDescent="0.2">
      <c r="A40" s="90">
        <v>44253</v>
      </c>
      <c r="B40" s="89" t="s">
        <v>6259</v>
      </c>
      <c r="C40" s="91" t="s">
        <v>6260</v>
      </c>
      <c r="D40" s="149" t="s">
        <v>3577</v>
      </c>
      <c r="E40" s="35"/>
      <c r="F40" s="88">
        <v>1.7</v>
      </c>
      <c r="G40" s="42"/>
      <c r="H40" s="37"/>
      <c r="I40" s="17"/>
    </row>
    <row r="41" spans="1:9" ht="12.75" x14ac:dyDescent="0.2">
      <c r="A41" s="90">
        <v>44253</v>
      </c>
      <c r="B41" s="89" t="s">
        <v>6257</v>
      </c>
      <c r="C41" s="91" t="s">
        <v>6258</v>
      </c>
      <c r="D41" s="161" t="s">
        <v>3577</v>
      </c>
      <c r="E41" s="35"/>
      <c r="F41" s="88">
        <v>0.62</v>
      </c>
      <c r="G41" s="42"/>
      <c r="H41" s="37"/>
      <c r="I41" s="17"/>
    </row>
    <row r="42" spans="1:9" ht="12.75" x14ac:dyDescent="0.2">
      <c r="A42" s="90">
        <v>44253</v>
      </c>
      <c r="B42" s="89" t="s">
        <v>6255</v>
      </c>
      <c r="C42" s="91" t="s">
        <v>6256</v>
      </c>
      <c r="D42" s="149" t="s">
        <v>3577</v>
      </c>
      <c r="E42" s="35"/>
      <c r="F42" s="88">
        <v>7.25</v>
      </c>
      <c r="G42" s="42"/>
      <c r="H42" s="37"/>
      <c r="I42" s="17"/>
    </row>
    <row r="43" spans="1:9" ht="12.75" x14ac:dyDescent="0.2">
      <c r="A43" s="90">
        <v>44253</v>
      </c>
      <c r="B43" s="89" t="s">
        <v>6253</v>
      </c>
      <c r="C43" s="91" t="s">
        <v>6254</v>
      </c>
      <c r="D43" s="149" t="s">
        <v>3577</v>
      </c>
      <c r="E43" s="35"/>
      <c r="F43" s="88">
        <v>1.68</v>
      </c>
      <c r="G43" s="42"/>
      <c r="H43" s="37"/>
      <c r="I43" s="17"/>
    </row>
    <row r="44" spans="1:9" ht="12.75" x14ac:dyDescent="0.2">
      <c r="A44" s="90">
        <v>44253</v>
      </c>
      <c r="B44" s="89" t="s">
        <v>6251</v>
      </c>
      <c r="C44" s="91" t="s">
        <v>6252</v>
      </c>
      <c r="D44" s="161" t="s">
        <v>3577</v>
      </c>
      <c r="E44" s="35"/>
      <c r="F44" s="88">
        <v>5.05</v>
      </c>
      <c r="G44" s="42"/>
      <c r="H44" s="37"/>
      <c r="I44" s="17"/>
    </row>
    <row r="45" spans="1:9" ht="12.75" x14ac:dyDescent="0.2">
      <c r="A45" s="90">
        <v>44253</v>
      </c>
      <c r="B45" s="89" t="s">
        <v>6249</v>
      </c>
      <c r="C45" s="91" t="s">
        <v>6250</v>
      </c>
      <c r="D45" s="149" t="s">
        <v>3577</v>
      </c>
      <c r="E45" s="35"/>
      <c r="F45" s="88">
        <v>3.11</v>
      </c>
      <c r="G45" s="42"/>
      <c r="H45" s="37"/>
      <c r="I45" s="17"/>
    </row>
    <row r="46" spans="1:9" ht="12.75" x14ac:dyDescent="0.2">
      <c r="A46" s="90">
        <v>44253</v>
      </c>
      <c r="B46" s="89" t="s">
        <v>6247</v>
      </c>
      <c r="C46" s="91" t="s">
        <v>6248</v>
      </c>
      <c r="D46" s="149" t="s">
        <v>3577</v>
      </c>
      <c r="E46" s="35"/>
      <c r="F46" s="88">
        <v>10.65</v>
      </c>
      <c r="G46" s="42"/>
      <c r="H46" s="37"/>
      <c r="I46" s="17"/>
    </row>
    <row r="47" spans="1:9" ht="12.75" x14ac:dyDescent="0.2">
      <c r="A47" s="90">
        <v>44253</v>
      </c>
      <c r="B47" s="89" t="s">
        <v>6245</v>
      </c>
      <c r="C47" s="91" t="s">
        <v>6246</v>
      </c>
      <c r="D47" s="161" t="s">
        <v>3577</v>
      </c>
      <c r="E47" s="35"/>
      <c r="F47" s="88">
        <v>10.7</v>
      </c>
      <c r="G47" s="42"/>
      <c r="H47" s="37"/>
      <c r="I47" s="17"/>
    </row>
    <row r="48" spans="1:9" ht="12.75" x14ac:dyDescent="0.2">
      <c r="A48" s="90">
        <v>44253</v>
      </c>
      <c r="B48" s="89" t="s">
        <v>6243</v>
      </c>
      <c r="C48" s="91" t="s">
        <v>6244</v>
      </c>
      <c r="D48" s="149" t="s">
        <v>3577</v>
      </c>
      <c r="E48" s="35"/>
      <c r="F48" s="88">
        <v>4.78</v>
      </c>
      <c r="G48" s="42"/>
      <c r="H48" s="37"/>
      <c r="I48" s="17"/>
    </row>
    <row r="49" spans="1:9" ht="12.75" x14ac:dyDescent="0.2">
      <c r="A49" s="151">
        <v>44253</v>
      </c>
      <c r="B49" s="152" t="s">
        <v>6241</v>
      </c>
      <c r="C49" s="150" t="s">
        <v>6242</v>
      </c>
      <c r="D49" s="149" t="s">
        <v>3577</v>
      </c>
      <c r="E49" s="35"/>
      <c r="F49" s="170">
        <v>5.82</v>
      </c>
      <c r="G49" s="42"/>
      <c r="H49" s="37"/>
      <c r="I49" s="17"/>
    </row>
    <row r="50" spans="1:9" ht="12.75" x14ac:dyDescent="0.2">
      <c r="A50" s="90">
        <v>44253</v>
      </c>
      <c r="B50" s="89" t="s">
        <v>6239</v>
      </c>
      <c r="C50" s="91" t="s">
        <v>6240</v>
      </c>
      <c r="D50" s="161" t="s">
        <v>3577</v>
      </c>
      <c r="E50" s="35"/>
      <c r="F50" s="88">
        <v>14.57</v>
      </c>
      <c r="G50" s="42"/>
      <c r="H50" s="37"/>
      <c r="I50" s="17"/>
    </row>
    <row r="51" spans="1:9" ht="12.75" x14ac:dyDescent="0.2">
      <c r="A51" s="90">
        <v>44253</v>
      </c>
      <c r="B51" s="89" t="s">
        <v>6237</v>
      </c>
      <c r="C51" s="91" t="s">
        <v>6238</v>
      </c>
      <c r="D51" s="149" t="s">
        <v>3577</v>
      </c>
      <c r="E51" s="35"/>
      <c r="F51" s="88">
        <v>5.04</v>
      </c>
      <c r="G51" s="42"/>
      <c r="H51" s="37"/>
      <c r="I51" s="17"/>
    </row>
    <row r="52" spans="1:9" ht="12.75" x14ac:dyDescent="0.2">
      <c r="A52" s="90">
        <v>44253</v>
      </c>
      <c r="B52" s="89" t="s">
        <v>6235</v>
      </c>
      <c r="C52" s="91" t="s">
        <v>6236</v>
      </c>
      <c r="D52" s="149" t="s">
        <v>3577</v>
      </c>
      <c r="E52" s="35"/>
      <c r="F52" s="88">
        <v>5.93</v>
      </c>
      <c r="G52" s="42"/>
      <c r="H52" s="37"/>
      <c r="I52" s="17"/>
    </row>
    <row r="53" spans="1:9" ht="12.75" x14ac:dyDescent="0.2">
      <c r="A53" s="90">
        <v>44253</v>
      </c>
      <c r="B53" s="89" t="s">
        <v>6233</v>
      </c>
      <c r="C53" s="91" t="s">
        <v>6234</v>
      </c>
      <c r="D53" s="161" t="s">
        <v>3577</v>
      </c>
      <c r="E53" s="35"/>
      <c r="F53" s="88">
        <v>20.6</v>
      </c>
      <c r="G53" s="42"/>
      <c r="H53" s="37"/>
      <c r="I53" s="17"/>
    </row>
    <row r="54" spans="1:9" ht="12.75" x14ac:dyDescent="0.2">
      <c r="A54" s="90">
        <v>44253</v>
      </c>
      <c r="B54" s="89" t="s">
        <v>6231</v>
      </c>
      <c r="C54" s="91" t="s">
        <v>6232</v>
      </c>
      <c r="D54" s="149" t="s">
        <v>3577</v>
      </c>
      <c r="E54" s="35"/>
      <c r="F54" s="88">
        <v>6.08</v>
      </c>
      <c r="G54" s="42"/>
      <c r="H54" s="37"/>
      <c r="I54" s="17"/>
    </row>
    <row r="55" spans="1:9" ht="12.75" x14ac:dyDescent="0.2">
      <c r="A55" s="90">
        <v>44253</v>
      </c>
      <c r="B55" s="89" t="s">
        <v>6229</v>
      </c>
      <c r="C55" s="91" t="s">
        <v>6230</v>
      </c>
      <c r="D55" s="149" t="s">
        <v>3577</v>
      </c>
      <c r="E55" s="35"/>
      <c r="F55" s="88">
        <v>2.2200000000000002</v>
      </c>
      <c r="G55" s="42"/>
      <c r="H55" s="37"/>
      <c r="I55" s="17"/>
    </row>
    <row r="56" spans="1:9" ht="12.75" x14ac:dyDescent="0.2">
      <c r="A56" s="90">
        <v>44253</v>
      </c>
      <c r="B56" s="89" t="s">
        <v>6227</v>
      </c>
      <c r="C56" s="91" t="s">
        <v>6228</v>
      </c>
      <c r="D56" s="161" t="s">
        <v>3577</v>
      </c>
      <c r="E56" s="35"/>
      <c r="F56" s="88">
        <v>3.53</v>
      </c>
      <c r="G56" s="42"/>
      <c r="H56" s="37"/>
      <c r="I56" s="17"/>
    </row>
    <row r="57" spans="1:9" ht="12.75" x14ac:dyDescent="0.2">
      <c r="A57" s="90">
        <v>44253</v>
      </c>
      <c r="B57" s="89" t="s">
        <v>6225</v>
      </c>
      <c r="C57" s="91" t="s">
        <v>6226</v>
      </c>
      <c r="D57" s="149" t="s">
        <v>3577</v>
      </c>
      <c r="E57" s="35"/>
      <c r="F57" s="88">
        <v>17.899999999999999</v>
      </c>
      <c r="G57" s="42"/>
      <c r="H57" s="37"/>
      <c r="I57" s="17"/>
    </row>
    <row r="58" spans="1:9" ht="12.75" x14ac:dyDescent="0.2">
      <c r="A58" s="90">
        <v>44253</v>
      </c>
      <c r="B58" s="89" t="s">
        <v>6223</v>
      </c>
      <c r="C58" s="91" t="s">
        <v>6224</v>
      </c>
      <c r="D58" s="149" t="s">
        <v>3577</v>
      </c>
      <c r="E58" s="35"/>
      <c r="F58" s="88">
        <v>4.01</v>
      </c>
      <c r="G58" s="42"/>
      <c r="H58" s="37"/>
      <c r="I58" s="17"/>
    </row>
    <row r="59" spans="1:9" ht="12.75" x14ac:dyDescent="0.2">
      <c r="A59" s="90">
        <v>44253</v>
      </c>
      <c r="B59" s="89" t="s">
        <v>6221</v>
      </c>
      <c r="C59" s="91" t="s">
        <v>6222</v>
      </c>
      <c r="D59" s="161" t="s">
        <v>3577</v>
      </c>
      <c r="E59" s="35"/>
      <c r="F59" s="88">
        <v>1.99</v>
      </c>
      <c r="G59" s="42"/>
      <c r="H59" s="37"/>
      <c r="I59" s="17"/>
    </row>
    <row r="60" spans="1:9" ht="12.75" x14ac:dyDescent="0.2">
      <c r="A60" s="90">
        <v>44253</v>
      </c>
      <c r="B60" s="89" t="s">
        <v>6219</v>
      </c>
      <c r="C60" s="91" t="s">
        <v>6220</v>
      </c>
      <c r="D60" s="149" t="s">
        <v>3577</v>
      </c>
      <c r="E60" s="35"/>
      <c r="F60" s="88">
        <v>6.37</v>
      </c>
      <c r="G60" s="42"/>
      <c r="H60" s="37"/>
      <c r="I60" s="17"/>
    </row>
    <row r="61" spans="1:9" ht="12.75" x14ac:dyDescent="0.2">
      <c r="A61" s="90">
        <v>44254</v>
      </c>
      <c r="B61" s="89" t="s">
        <v>6171</v>
      </c>
      <c r="C61" s="91" t="s">
        <v>6172</v>
      </c>
      <c r="D61" s="149" t="s">
        <v>3577</v>
      </c>
      <c r="E61" s="35"/>
      <c r="F61" s="88">
        <v>2.12</v>
      </c>
      <c r="G61" s="42"/>
      <c r="H61" s="37"/>
      <c r="I61" s="17"/>
    </row>
    <row r="62" spans="1:9" ht="12.75" x14ac:dyDescent="0.2">
      <c r="A62" s="90">
        <v>44254</v>
      </c>
      <c r="B62" s="89" t="s">
        <v>6169</v>
      </c>
      <c r="C62" s="91" t="s">
        <v>6170</v>
      </c>
      <c r="D62" s="161" t="s">
        <v>3577</v>
      </c>
      <c r="E62" s="35"/>
      <c r="F62" s="88">
        <v>8.8699999999999992</v>
      </c>
      <c r="G62" s="42"/>
      <c r="H62" s="37"/>
      <c r="I62" s="17"/>
    </row>
    <row r="63" spans="1:9" ht="12.75" x14ac:dyDescent="0.2">
      <c r="A63" s="90">
        <v>44254</v>
      </c>
      <c r="B63" s="89" t="s">
        <v>6167</v>
      </c>
      <c r="C63" s="91" t="s">
        <v>6168</v>
      </c>
      <c r="D63" s="149" t="s">
        <v>3577</v>
      </c>
      <c r="E63" s="35"/>
      <c r="F63" s="88">
        <v>3.48</v>
      </c>
      <c r="G63" s="42"/>
      <c r="H63" s="37"/>
      <c r="I63" s="17"/>
    </row>
    <row r="64" spans="1:9" ht="12.75" x14ac:dyDescent="0.2">
      <c r="A64" s="90">
        <v>44254</v>
      </c>
      <c r="B64" s="89" t="s">
        <v>6165</v>
      </c>
      <c r="C64" s="91" t="s">
        <v>6166</v>
      </c>
      <c r="D64" s="149" t="s">
        <v>3577</v>
      </c>
      <c r="E64" s="35"/>
      <c r="F64" s="88">
        <v>4.76</v>
      </c>
      <c r="G64" s="42"/>
      <c r="H64" s="37"/>
      <c r="I64" s="17"/>
    </row>
    <row r="65" spans="1:9" ht="12.75" x14ac:dyDescent="0.2">
      <c r="A65" s="90">
        <v>44254</v>
      </c>
      <c r="B65" s="89" t="s">
        <v>6163</v>
      </c>
      <c r="C65" s="91" t="s">
        <v>6164</v>
      </c>
      <c r="D65" s="161" t="s">
        <v>3577</v>
      </c>
      <c r="E65" s="35"/>
      <c r="F65" s="88">
        <v>5.48</v>
      </c>
      <c r="G65" s="42"/>
      <c r="H65" s="37"/>
      <c r="I65" s="17"/>
    </row>
    <row r="66" spans="1:9" ht="12.75" x14ac:dyDescent="0.2">
      <c r="A66" s="90">
        <v>44254</v>
      </c>
      <c r="B66" s="89" t="s">
        <v>6161</v>
      </c>
      <c r="C66" s="91" t="s">
        <v>6162</v>
      </c>
      <c r="D66" s="149" t="s">
        <v>3577</v>
      </c>
      <c r="E66" s="35"/>
      <c r="F66" s="88">
        <v>1.75</v>
      </c>
      <c r="G66" s="42"/>
      <c r="H66" s="37"/>
      <c r="I66" s="17"/>
    </row>
    <row r="67" spans="1:9" ht="12.75" x14ac:dyDescent="0.2">
      <c r="A67" s="90">
        <v>44254</v>
      </c>
      <c r="B67" s="89" t="s">
        <v>6159</v>
      </c>
      <c r="C67" s="91" t="s">
        <v>6160</v>
      </c>
      <c r="D67" s="149" t="s">
        <v>3577</v>
      </c>
      <c r="E67" s="35"/>
      <c r="F67" s="88">
        <v>5.94</v>
      </c>
      <c r="G67" s="42"/>
      <c r="H67" s="37"/>
      <c r="I67" s="17"/>
    </row>
    <row r="68" spans="1:9" ht="12.75" x14ac:dyDescent="0.2">
      <c r="A68" s="90">
        <v>44254</v>
      </c>
      <c r="B68" s="89" t="s">
        <v>6157</v>
      </c>
      <c r="C68" s="91" t="s">
        <v>6158</v>
      </c>
      <c r="D68" s="161" t="s">
        <v>3577</v>
      </c>
      <c r="E68" s="35"/>
      <c r="F68" s="88">
        <v>3.96</v>
      </c>
      <c r="G68" s="42"/>
      <c r="H68" s="37"/>
      <c r="I68" s="17"/>
    </row>
    <row r="69" spans="1:9" ht="12.75" x14ac:dyDescent="0.2">
      <c r="A69" s="90">
        <v>44254</v>
      </c>
      <c r="B69" s="89" t="s">
        <v>6155</v>
      </c>
      <c r="C69" s="91" t="s">
        <v>6156</v>
      </c>
      <c r="D69" s="149" t="s">
        <v>3577</v>
      </c>
      <c r="E69" s="35"/>
      <c r="F69" s="88">
        <v>3.16</v>
      </c>
      <c r="G69" s="42"/>
      <c r="H69" s="37"/>
      <c r="I69" s="17"/>
    </row>
    <row r="70" spans="1:9" ht="12.75" x14ac:dyDescent="0.2">
      <c r="A70" s="90">
        <v>44254</v>
      </c>
      <c r="B70" s="89" t="s">
        <v>6153</v>
      </c>
      <c r="C70" s="91" t="s">
        <v>6154</v>
      </c>
      <c r="D70" s="149" t="s">
        <v>3577</v>
      </c>
      <c r="E70" s="35"/>
      <c r="F70" s="88">
        <v>5.0599999999999996</v>
      </c>
      <c r="G70" s="42"/>
      <c r="H70" s="37"/>
      <c r="I70" s="17"/>
    </row>
    <row r="71" spans="1:9" ht="12.75" x14ac:dyDescent="0.2">
      <c r="A71" s="90">
        <v>44254</v>
      </c>
      <c r="B71" s="89" t="s">
        <v>6151</v>
      </c>
      <c r="C71" s="91" t="s">
        <v>6152</v>
      </c>
      <c r="D71" s="161" t="s">
        <v>3577</v>
      </c>
      <c r="E71" s="35"/>
      <c r="F71" s="88">
        <v>2.4500000000000002</v>
      </c>
      <c r="G71" s="42"/>
      <c r="H71" s="37"/>
      <c r="I71" s="17"/>
    </row>
    <row r="72" spans="1:9" ht="12.75" x14ac:dyDescent="0.2">
      <c r="A72" s="90">
        <v>44254</v>
      </c>
      <c r="B72" s="89" t="s">
        <v>6149</v>
      </c>
      <c r="C72" s="91" t="s">
        <v>6150</v>
      </c>
      <c r="D72" s="149" t="s">
        <v>3577</v>
      </c>
      <c r="E72" s="35"/>
      <c r="F72" s="88">
        <v>15.1</v>
      </c>
      <c r="G72" s="42"/>
      <c r="H72" s="37"/>
      <c r="I72" s="17"/>
    </row>
    <row r="73" spans="1:9" ht="12.75" x14ac:dyDescent="0.2">
      <c r="A73" s="90">
        <v>44253</v>
      </c>
      <c r="B73" s="89" t="s">
        <v>6181</v>
      </c>
      <c r="C73" s="91" t="s">
        <v>6182</v>
      </c>
      <c r="D73" s="149" t="s">
        <v>3577</v>
      </c>
      <c r="E73" s="35"/>
      <c r="F73" s="88">
        <v>1.68</v>
      </c>
      <c r="G73" s="42"/>
      <c r="H73" s="37"/>
      <c r="I73" s="17"/>
    </row>
    <row r="74" spans="1:9" ht="12.75" x14ac:dyDescent="0.2">
      <c r="A74" s="90">
        <v>44255</v>
      </c>
      <c r="B74" s="89" t="s">
        <v>6145</v>
      </c>
      <c r="C74" s="91" t="s">
        <v>6146</v>
      </c>
      <c r="D74" s="161" t="s">
        <v>3577</v>
      </c>
      <c r="E74" s="35"/>
      <c r="F74" s="88">
        <v>5.24</v>
      </c>
      <c r="G74" s="42"/>
      <c r="H74" s="37"/>
      <c r="I74" s="17"/>
    </row>
    <row r="75" spans="1:9" ht="12.75" x14ac:dyDescent="0.2">
      <c r="A75" s="90">
        <v>44255</v>
      </c>
      <c r="B75" s="89" t="s">
        <v>6143</v>
      </c>
      <c r="C75" s="91" t="s">
        <v>6144</v>
      </c>
      <c r="D75" s="149" t="s">
        <v>3577</v>
      </c>
      <c r="E75" s="35"/>
      <c r="F75" s="88">
        <v>6.23</v>
      </c>
      <c r="G75" s="42"/>
      <c r="H75" s="37"/>
      <c r="I75" s="17"/>
    </row>
    <row r="76" spans="1:9" ht="12.75" x14ac:dyDescent="0.2">
      <c r="A76" s="90">
        <v>44255</v>
      </c>
      <c r="B76" s="89" t="s">
        <v>6141</v>
      </c>
      <c r="C76" s="91" t="s">
        <v>6142</v>
      </c>
      <c r="D76" s="149" t="s">
        <v>3577</v>
      </c>
      <c r="E76" s="35"/>
      <c r="F76" s="88">
        <v>1.83</v>
      </c>
      <c r="G76" s="42"/>
      <c r="H76" s="37"/>
      <c r="I76" s="17"/>
    </row>
    <row r="77" spans="1:9" ht="12.75" x14ac:dyDescent="0.2">
      <c r="A77" s="90">
        <v>44255</v>
      </c>
      <c r="B77" s="89" t="s">
        <v>6139</v>
      </c>
      <c r="C77" s="91" t="s">
        <v>6140</v>
      </c>
      <c r="D77" s="161" t="s">
        <v>3577</v>
      </c>
      <c r="E77" s="35"/>
      <c r="F77" s="88">
        <v>9.1300000000000008</v>
      </c>
      <c r="G77" s="42"/>
      <c r="H77" s="37"/>
      <c r="I77" s="17"/>
    </row>
    <row r="78" spans="1:9" ht="12.75" x14ac:dyDescent="0.2">
      <c r="A78" s="90">
        <v>44255</v>
      </c>
      <c r="B78" s="89" t="s">
        <v>6137</v>
      </c>
      <c r="C78" s="91" t="s">
        <v>6138</v>
      </c>
      <c r="D78" s="149" t="s">
        <v>3577</v>
      </c>
      <c r="E78" s="35"/>
      <c r="F78" s="88">
        <v>2.15</v>
      </c>
      <c r="G78" s="42"/>
      <c r="H78" s="37"/>
      <c r="I78" s="17"/>
    </row>
    <row r="79" spans="1:9" ht="12.75" x14ac:dyDescent="0.2">
      <c r="A79" s="90">
        <v>44255</v>
      </c>
      <c r="B79" s="89" t="s">
        <v>6135</v>
      </c>
      <c r="C79" s="91" t="s">
        <v>6136</v>
      </c>
      <c r="D79" s="149" t="s">
        <v>3577</v>
      </c>
      <c r="E79" s="35"/>
      <c r="F79" s="88">
        <v>7.77</v>
      </c>
      <c r="G79" s="42"/>
      <c r="H79" s="37"/>
      <c r="I79" s="17"/>
    </row>
    <row r="80" spans="1:9" ht="12.75" x14ac:dyDescent="0.2">
      <c r="A80" s="90">
        <v>44255</v>
      </c>
      <c r="B80" s="89" t="s">
        <v>6133</v>
      </c>
      <c r="C80" s="91" t="s">
        <v>6134</v>
      </c>
      <c r="D80" s="161" t="s">
        <v>3577</v>
      </c>
      <c r="E80" s="35"/>
      <c r="F80" s="88">
        <v>2.02</v>
      </c>
      <c r="G80" s="42"/>
      <c r="H80" s="37"/>
      <c r="I80" s="17"/>
    </row>
    <row r="81" spans="1:12" ht="12.75" x14ac:dyDescent="0.2">
      <c r="A81" s="90">
        <v>44255</v>
      </c>
      <c r="B81" s="89" t="s">
        <v>6131</v>
      </c>
      <c r="C81" s="91" t="s">
        <v>6132</v>
      </c>
      <c r="D81" s="149" t="s">
        <v>3577</v>
      </c>
      <c r="E81" s="35"/>
      <c r="F81" s="88">
        <v>5.19</v>
      </c>
      <c r="G81" s="42"/>
      <c r="H81" s="37"/>
      <c r="I81" s="17"/>
    </row>
    <row r="82" spans="1:12" ht="12.75" x14ac:dyDescent="0.2">
      <c r="A82" s="90">
        <v>44254</v>
      </c>
      <c r="B82" s="89" t="s">
        <v>6147</v>
      </c>
      <c r="C82" s="150" t="s">
        <v>6148</v>
      </c>
      <c r="D82" s="149" t="s">
        <v>7476</v>
      </c>
      <c r="E82" s="35"/>
      <c r="F82" s="170">
        <v>10.47</v>
      </c>
      <c r="G82" s="42"/>
      <c r="H82" s="37"/>
      <c r="I82" s="17"/>
    </row>
    <row r="83" spans="1:12" ht="12.75" x14ac:dyDescent="0.2">
      <c r="A83" s="90">
        <v>44255</v>
      </c>
      <c r="B83" s="89" t="s">
        <v>6129</v>
      </c>
      <c r="C83" s="150" t="s">
        <v>6130</v>
      </c>
      <c r="D83" s="149" t="s">
        <v>7477</v>
      </c>
      <c r="E83" s="35"/>
      <c r="F83" s="269">
        <v>1.42</v>
      </c>
      <c r="G83" s="42"/>
      <c r="H83" s="37"/>
      <c r="I83" s="17"/>
    </row>
    <row r="84" spans="1:12" ht="12.75" x14ac:dyDescent="0.2">
      <c r="A84" s="62"/>
      <c r="B84" s="63"/>
      <c r="C84" s="63"/>
      <c r="D84" s="54"/>
      <c r="E84" s="54"/>
      <c r="F84" s="70"/>
      <c r="G84" s="42"/>
      <c r="H84" s="82">
        <f>SUM(F29:F83)</f>
        <v>335.95000000000005</v>
      </c>
    </row>
    <row r="85" spans="1:12" ht="12.75" x14ac:dyDescent="0.2">
      <c r="A85" s="42"/>
      <c r="B85" s="57"/>
      <c r="C85" s="78"/>
      <c r="D85" s="42"/>
      <c r="E85" s="42"/>
      <c r="F85" s="51"/>
      <c r="G85" s="42"/>
      <c r="H85" s="36"/>
    </row>
    <row r="86" spans="1:12" s="21" customFormat="1" ht="20.25" customHeight="1" thickBot="1" x14ac:dyDescent="0.3">
      <c r="A86" s="64"/>
      <c r="B86" s="65" t="s">
        <v>7475</v>
      </c>
      <c r="C86" s="79"/>
      <c r="D86" s="64"/>
      <c r="E86" s="64"/>
      <c r="F86" s="71"/>
      <c r="G86" s="66" t="s">
        <v>3</v>
      </c>
      <c r="H86" s="81">
        <f>+H9-H16-H21+H25+H84</f>
        <v>60847.82</v>
      </c>
      <c r="I86" s="28"/>
      <c r="J86" s="28"/>
    </row>
    <row r="87" spans="1:12" ht="13.5" thickTop="1" x14ac:dyDescent="0.2">
      <c r="A87" s="42"/>
      <c r="B87" s="57"/>
      <c r="C87" s="78"/>
      <c r="D87" s="42"/>
      <c r="E87" s="42"/>
      <c r="F87" s="51"/>
      <c r="G87" s="42"/>
      <c r="H87" s="36"/>
      <c r="I87" s="30"/>
      <c r="J87" s="31" t="e">
        <f>+#REF!</f>
        <v>#REF!</v>
      </c>
    </row>
    <row r="88" spans="1:12" ht="12.75" x14ac:dyDescent="0.2">
      <c r="A88" s="42"/>
      <c r="B88" s="57"/>
      <c r="C88" s="78"/>
      <c r="D88" s="42"/>
      <c r="E88" s="42"/>
      <c r="F88" s="51"/>
      <c r="G88" s="42"/>
      <c r="H88" s="37"/>
      <c r="I88" s="30"/>
      <c r="J88" s="29"/>
    </row>
    <row r="89" spans="1:12" ht="12.75" x14ac:dyDescent="0.2">
      <c r="A89" s="42"/>
      <c r="B89" s="57"/>
      <c r="C89" s="78"/>
      <c r="D89" s="42"/>
      <c r="E89" s="42"/>
      <c r="F89" s="42"/>
      <c r="G89" s="42"/>
      <c r="H89" s="37"/>
      <c r="I89" s="30"/>
      <c r="J89" s="29"/>
    </row>
    <row r="90" spans="1:12" ht="23.25" customHeight="1" thickBot="1" x14ac:dyDescent="0.25">
      <c r="A90" s="42"/>
      <c r="B90" s="57"/>
      <c r="C90" s="80"/>
      <c r="D90" s="67"/>
      <c r="E90" s="42"/>
      <c r="F90" s="69"/>
      <c r="G90" s="42"/>
      <c r="H90" s="36"/>
      <c r="I90" s="30"/>
      <c r="J90" s="27" t="e">
        <f>+H86-J87</f>
        <v>#REF!</v>
      </c>
      <c r="L90" s="18"/>
    </row>
    <row r="91" spans="1:12" ht="26.25" customHeight="1" thickTop="1" x14ac:dyDescent="0.2">
      <c r="A91" s="42"/>
      <c r="B91" s="57"/>
      <c r="C91" s="293" t="s">
        <v>15</v>
      </c>
      <c r="D91" s="293"/>
      <c r="E91" s="42"/>
      <c r="F91" s="293" t="s">
        <v>16</v>
      </c>
      <c r="G91" s="293"/>
      <c r="H91" s="36"/>
      <c r="I91" s="30"/>
      <c r="J91" s="30"/>
    </row>
    <row r="92" spans="1:12" ht="23.25" customHeight="1" thickBot="1" x14ac:dyDescent="0.25">
      <c r="A92" s="42"/>
      <c r="B92" s="57"/>
      <c r="C92" s="78"/>
      <c r="D92" s="42"/>
      <c r="E92" s="42"/>
      <c r="F92" s="42"/>
      <c r="G92" s="42"/>
      <c r="H92" s="37"/>
      <c r="I92" s="30"/>
      <c r="J92" s="27" t="e">
        <f>+H86-J90</f>
        <v>#REF!</v>
      </c>
    </row>
    <row r="93" spans="1:12" ht="13.5" thickTop="1" x14ac:dyDescent="0.2">
      <c r="B93" s="5"/>
      <c r="D93" s="5"/>
      <c r="E93" s="32"/>
      <c r="F93" s="72"/>
      <c r="G93" s="33"/>
      <c r="I93" s="30"/>
      <c r="J93" s="30"/>
      <c r="L93" s="18"/>
    </row>
    <row r="95" spans="1:12" x14ac:dyDescent="0.2">
      <c r="L95" s="18"/>
    </row>
    <row r="96" spans="1:12" x14ac:dyDescent="0.2">
      <c r="A96" s="5"/>
      <c r="B96" s="5"/>
      <c r="D96" s="5"/>
      <c r="E96" s="5"/>
      <c r="G96" s="5"/>
      <c r="J96" s="18"/>
    </row>
  </sheetData>
  <mergeCells count="2">
    <mergeCell ref="C91:D91"/>
    <mergeCell ref="F91:G91"/>
  </mergeCells>
  <phoneticPr fontId="27" type="noConversion"/>
  <pageMargins left="0.70866141732283472" right="0.70866141732283472" top="0.74803149606299213" bottom="0.74803149606299213" header="0.31496062992125984" footer="0.31496062992125984"/>
  <pageSetup paperSize="9" scale="68" fitToHeight="3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F53B8-0676-420A-B6E6-435F06672EA4}">
  <dimension ref="A2:K813"/>
  <sheetViews>
    <sheetView topLeftCell="A794" workbookViewId="0">
      <selection activeCell="D37" sqref="D37"/>
    </sheetView>
  </sheetViews>
  <sheetFormatPr baseColWidth="10" defaultRowHeight="12.75" x14ac:dyDescent="0.2"/>
  <cols>
    <col min="1" max="16384" width="11.42578125" style="22"/>
  </cols>
  <sheetData>
    <row r="2" spans="1:11" ht="19.5" x14ac:dyDescent="0.2">
      <c r="F2" s="95" t="s">
        <v>541</v>
      </c>
      <c r="J2" s="197" t="s">
        <v>540</v>
      </c>
      <c r="K2" s="207">
        <v>1</v>
      </c>
    </row>
    <row r="3" spans="1:11" x14ac:dyDescent="0.2">
      <c r="J3" s="197" t="s">
        <v>539</v>
      </c>
      <c r="K3" s="206">
        <v>44462</v>
      </c>
    </row>
    <row r="5" spans="1:11" x14ac:dyDescent="0.2">
      <c r="E5" s="94" t="s">
        <v>538</v>
      </c>
      <c r="F5" s="92" t="s">
        <v>9026</v>
      </c>
      <c r="G5" s="94" t="s">
        <v>537</v>
      </c>
      <c r="H5" s="92" t="s">
        <v>9026</v>
      </c>
      <c r="J5" s="267">
        <v>0.82020833333333332</v>
      </c>
    </row>
    <row r="7" spans="1:11" x14ac:dyDescent="0.2">
      <c r="J7" s="197" t="s">
        <v>536</v>
      </c>
      <c r="K7" s="201" t="s">
        <v>1579</v>
      </c>
    </row>
    <row r="8" spans="1:11" x14ac:dyDescent="0.2">
      <c r="C8" s="93" t="s">
        <v>535</v>
      </c>
      <c r="D8" s="92" t="s">
        <v>534</v>
      </c>
      <c r="F8" s="93" t="s">
        <v>533</v>
      </c>
      <c r="G8" s="92" t="s">
        <v>531</v>
      </c>
      <c r="I8" s="93" t="s">
        <v>532</v>
      </c>
      <c r="J8" s="92" t="s">
        <v>531</v>
      </c>
    </row>
    <row r="11" spans="1:11" x14ac:dyDescent="0.2">
      <c r="A11" s="205" t="s">
        <v>530</v>
      </c>
      <c r="C11" s="204" t="s">
        <v>529</v>
      </c>
      <c r="D11" s="204" t="s">
        <v>528</v>
      </c>
      <c r="F11" s="203" t="s">
        <v>527</v>
      </c>
      <c r="I11" s="197" t="s">
        <v>21</v>
      </c>
      <c r="J11" s="197" t="s">
        <v>20</v>
      </c>
      <c r="K11" s="197" t="s">
        <v>526</v>
      </c>
    </row>
    <row r="14" spans="1:11" x14ac:dyDescent="0.2">
      <c r="A14" s="205" t="s">
        <v>525</v>
      </c>
      <c r="B14" s="199" t="s">
        <v>524</v>
      </c>
    </row>
    <row r="16" spans="1:11" x14ac:dyDescent="0.2">
      <c r="A16" s="204" t="s">
        <v>523</v>
      </c>
      <c r="B16" s="201" t="s">
        <v>522</v>
      </c>
      <c r="J16" s="197" t="s">
        <v>22</v>
      </c>
      <c r="K16" s="198">
        <v>60847.82</v>
      </c>
    </row>
    <row r="18" spans="3:11" x14ac:dyDescent="0.2">
      <c r="C18" s="201" t="s">
        <v>20187</v>
      </c>
      <c r="D18" s="200">
        <v>44256</v>
      </c>
      <c r="E18" s="199" t="s">
        <v>20174</v>
      </c>
      <c r="I18" s="198">
        <v>2.2999999999999998</v>
      </c>
      <c r="K18" s="198">
        <v>60850.12</v>
      </c>
    </row>
    <row r="19" spans="3:11" x14ac:dyDescent="0.2">
      <c r="C19" s="201" t="s">
        <v>9025</v>
      </c>
      <c r="D19" s="200">
        <v>44256</v>
      </c>
      <c r="E19" s="199" t="s">
        <v>9024</v>
      </c>
      <c r="I19" s="198">
        <v>13.57</v>
      </c>
      <c r="K19" s="198">
        <v>60863.69</v>
      </c>
    </row>
    <row r="20" spans="3:11" x14ac:dyDescent="0.2">
      <c r="C20" s="201" t="s">
        <v>9023</v>
      </c>
      <c r="D20" s="200">
        <v>44256</v>
      </c>
      <c r="E20" s="199" t="s">
        <v>9022</v>
      </c>
      <c r="I20" s="198">
        <v>2.88</v>
      </c>
      <c r="K20" s="198">
        <v>60866.57</v>
      </c>
    </row>
    <row r="21" spans="3:11" x14ac:dyDescent="0.2">
      <c r="C21" s="201" t="s">
        <v>9021</v>
      </c>
      <c r="D21" s="200">
        <v>44256</v>
      </c>
      <c r="E21" s="199" t="s">
        <v>9020</v>
      </c>
      <c r="I21" s="198">
        <v>7.52</v>
      </c>
      <c r="K21" s="198">
        <v>60874.09</v>
      </c>
    </row>
    <row r="22" spans="3:11" x14ac:dyDescent="0.2">
      <c r="C22" s="201" t="s">
        <v>9019</v>
      </c>
      <c r="D22" s="200">
        <v>44256</v>
      </c>
      <c r="E22" s="199" t="s">
        <v>9018</v>
      </c>
      <c r="I22" s="198">
        <v>8.35</v>
      </c>
      <c r="K22" s="198">
        <v>60882.44</v>
      </c>
    </row>
    <row r="23" spans="3:11" x14ac:dyDescent="0.2">
      <c r="C23" s="201" t="s">
        <v>9017</v>
      </c>
      <c r="D23" s="200">
        <v>44256</v>
      </c>
      <c r="E23" s="199" t="s">
        <v>9016</v>
      </c>
      <c r="I23" s="198">
        <v>3.26</v>
      </c>
      <c r="K23" s="198">
        <v>60885.7</v>
      </c>
    </row>
    <row r="24" spans="3:11" x14ac:dyDescent="0.2">
      <c r="C24" s="201" t="s">
        <v>9015</v>
      </c>
      <c r="D24" s="200">
        <v>44256</v>
      </c>
      <c r="E24" s="199" t="s">
        <v>9014</v>
      </c>
      <c r="I24" s="198">
        <v>5.56</v>
      </c>
      <c r="K24" s="198">
        <v>60891.26</v>
      </c>
    </row>
    <row r="25" spans="3:11" x14ac:dyDescent="0.2">
      <c r="C25" s="201" t="s">
        <v>9013</v>
      </c>
      <c r="D25" s="200">
        <v>44256</v>
      </c>
      <c r="E25" s="199" t="s">
        <v>9012</v>
      </c>
      <c r="I25" s="198">
        <v>11.82</v>
      </c>
      <c r="K25" s="198">
        <v>60903.08</v>
      </c>
    </row>
    <row r="26" spans="3:11" x14ac:dyDescent="0.2">
      <c r="C26" s="201" t="s">
        <v>9011</v>
      </c>
      <c r="D26" s="200">
        <v>44256</v>
      </c>
      <c r="E26" s="199" t="s">
        <v>9010</v>
      </c>
      <c r="I26" s="198">
        <v>6.57</v>
      </c>
      <c r="K26" s="198">
        <v>60909.65</v>
      </c>
    </row>
    <row r="27" spans="3:11" x14ac:dyDescent="0.2">
      <c r="C27" s="201" t="s">
        <v>9009</v>
      </c>
      <c r="D27" s="200">
        <v>44256</v>
      </c>
      <c r="E27" s="199" t="s">
        <v>9008</v>
      </c>
      <c r="I27" s="198">
        <v>1.99</v>
      </c>
      <c r="K27" s="198">
        <v>60911.64</v>
      </c>
    </row>
    <row r="28" spans="3:11" x14ac:dyDescent="0.2">
      <c r="C28" s="201" t="s">
        <v>9007</v>
      </c>
      <c r="D28" s="200">
        <v>44256</v>
      </c>
      <c r="E28" s="199" t="s">
        <v>9006</v>
      </c>
      <c r="I28" s="198">
        <v>5.61</v>
      </c>
      <c r="K28" s="198">
        <v>60917.25</v>
      </c>
    </row>
    <row r="29" spans="3:11" x14ac:dyDescent="0.2">
      <c r="C29" s="201" t="s">
        <v>9005</v>
      </c>
      <c r="D29" s="200">
        <v>44256</v>
      </c>
      <c r="E29" s="199" t="s">
        <v>9004</v>
      </c>
      <c r="I29" s="198">
        <v>9.81</v>
      </c>
      <c r="K29" s="198">
        <v>60927.06</v>
      </c>
    </row>
    <row r="30" spans="3:11" x14ac:dyDescent="0.2">
      <c r="C30" s="201" t="s">
        <v>9003</v>
      </c>
      <c r="D30" s="200">
        <v>44256</v>
      </c>
      <c r="E30" s="199" t="s">
        <v>9002</v>
      </c>
      <c r="I30" s="198">
        <v>7.34</v>
      </c>
      <c r="K30" s="198">
        <v>60934.400000000001</v>
      </c>
    </row>
    <row r="31" spans="3:11" x14ac:dyDescent="0.2">
      <c r="C31" s="201" t="s">
        <v>9001</v>
      </c>
      <c r="D31" s="200">
        <v>44256</v>
      </c>
      <c r="E31" s="199" t="s">
        <v>9000</v>
      </c>
      <c r="I31" s="198">
        <v>1.8</v>
      </c>
      <c r="K31" s="198">
        <v>60936.2</v>
      </c>
    </row>
    <row r="32" spans="3:11" x14ac:dyDescent="0.2">
      <c r="C32" s="201" t="s">
        <v>8999</v>
      </c>
      <c r="D32" s="200">
        <v>44256</v>
      </c>
      <c r="E32" s="199" t="s">
        <v>8998</v>
      </c>
      <c r="I32" s="198">
        <v>1.68</v>
      </c>
      <c r="K32" s="198">
        <v>60937.88</v>
      </c>
    </row>
    <row r="33" spans="3:11" x14ac:dyDescent="0.2">
      <c r="C33" s="201" t="s">
        <v>8997</v>
      </c>
      <c r="D33" s="200">
        <v>44256</v>
      </c>
      <c r="E33" s="199" t="s">
        <v>8996</v>
      </c>
      <c r="I33" s="198">
        <v>14.24</v>
      </c>
      <c r="K33" s="198">
        <v>60952.12</v>
      </c>
    </row>
    <row r="34" spans="3:11" x14ac:dyDescent="0.2">
      <c r="C34" s="201" t="s">
        <v>8995</v>
      </c>
      <c r="D34" s="200">
        <v>44256</v>
      </c>
      <c r="E34" s="199" t="s">
        <v>8994</v>
      </c>
      <c r="I34" s="198">
        <v>6.99</v>
      </c>
      <c r="K34" s="198">
        <v>60959.11</v>
      </c>
    </row>
    <row r="35" spans="3:11" x14ac:dyDescent="0.2">
      <c r="C35" s="201" t="s">
        <v>8993</v>
      </c>
      <c r="D35" s="200">
        <v>44256</v>
      </c>
      <c r="E35" s="199" t="s">
        <v>8992</v>
      </c>
      <c r="I35" s="198">
        <v>1.68</v>
      </c>
      <c r="K35" s="198">
        <v>60960.79</v>
      </c>
    </row>
    <row r="36" spans="3:11" x14ac:dyDescent="0.2">
      <c r="C36" s="201" t="s">
        <v>8991</v>
      </c>
      <c r="D36" s="200">
        <v>44256</v>
      </c>
      <c r="E36" s="199" t="s">
        <v>8990</v>
      </c>
      <c r="I36" s="198">
        <v>17.86</v>
      </c>
      <c r="K36" s="198">
        <v>60978.65</v>
      </c>
    </row>
    <row r="37" spans="3:11" x14ac:dyDescent="0.2">
      <c r="C37" s="201" t="s">
        <v>8989</v>
      </c>
      <c r="D37" s="200">
        <v>44256</v>
      </c>
      <c r="E37" s="199" t="s">
        <v>8988</v>
      </c>
      <c r="I37" s="198">
        <v>34.4</v>
      </c>
      <c r="K37" s="198">
        <v>61013.05</v>
      </c>
    </row>
    <row r="38" spans="3:11" x14ac:dyDescent="0.2">
      <c r="C38" s="201" t="s">
        <v>8987</v>
      </c>
      <c r="D38" s="200">
        <v>44256</v>
      </c>
      <c r="E38" s="199" t="s">
        <v>8986</v>
      </c>
      <c r="I38" s="198">
        <v>2.39</v>
      </c>
      <c r="K38" s="198">
        <v>61015.44</v>
      </c>
    </row>
    <row r="39" spans="3:11" x14ac:dyDescent="0.2">
      <c r="C39" s="201" t="s">
        <v>8985</v>
      </c>
      <c r="D39" s="200">
        <v>44256</v>
      </c>
      <c r="E39" s="199" t="s">
        <v>8984</v>
      </c>
      <c r="I39" s="198">
        <v>8.3800000000000008</v>
      </c>
      <c r="K39" s="198">
        <v>61023.82</v>
      </c>
    </row>
    <row r="40" spans="3:11" x14ac:dyDescent="0.2">
      <c r="C40" s="201" t="s">
        <v>8983</v>
      </c>
      <c r="D40" s="200">
        <v>44256</v>
      </c>
      <c r="E40" s="199" t="s">
        <v>8982</v>
      </c>
      <c r="I40" s="198">
        <v>7</v>
      </c>
      <c r="K40" s="198">
        <v>61030.82</v>
      </c>
    </row>
    <row r="41" spans="3:11" x14ac:dyDescent="0.2">
      <c r="C41" s="201" t="s">
        <v>8981</v>
      </c>
      <c r="D41" s="200">
        <v>44256</v>
      </c>
      <c r="E41" s="199" t="s">
        <v>8980</v>
      </c>
      <c r="I41" s="198">
        <v>4.6900000000000004</v>
      </c>
      <c r="K41" s="198">
        <v>61035.51</v>
      </c>
    </row>
    <row r="42" spans="3:11" x14ac:dyDescent="0.2">
      <c r="C42" s="201" t="s">
        <v>8979</v>
      </c>
      <c r="D42" s="200">
        <v>44256</v>
      </c>
      <c r="E42" s="199" t="s">
        <v>8978</v>
      </c>
      <c r="I42" s="198">
        <v>1.42</v>
      </c>
      <c r="K42" s="198">
        <v>61036.93</v>
      </c>
    </row>
    <row r="43" spans="3:11" x14ac:dyDescent="0.2">
      <c r="C43" s="201" t="s">
        <v>8977</v>
      </c>
      <c r="D43" s="200">
        <v>44256</v>
      </c>
      <c r="E43" s="199" t="s">
        <v>8976</v>
      </c>
      <c r="I43" s="198">
        <v>10.14</v>
      </c>
      <c r="K43" s="198">
        <v>61047.07</v>
      </c>
    </row>
    <row r="44" spans="3:11" x14ac:dyDescent="0.2">
      <c r="C44" s="201" t="s">
        <v>8975</v>
      </c>
      <c r="D44" s="200">
        <v>44256</v>
      </c>
      <c r="E44" s="199" t="s">
        <v>8974</v>
      </c>
      <c r="I44" s="198">
        <v>4.4400000000000004</v>
      </c>
      <c r="K44" s="198">
        <v>61051.51</v>
      </c>
    </row>
    <row r="45" spans="3:11" x14ac:dyDescent="0.2">
      <c r="C45" s="201" t="s">
        <v>8973</v>
      </c>
      <c r="D45" s="200">
        <v>44256</v>
      </c>
      <c r="E45" s="199" t="s">
        <v>8972</v>
      </c>
      <c r="I45" s="198">
        <v>15.62</v>
      </c>
      <c r="K45" s="198">
        <v>61067.13</v>
      </c>
    </row>
    <row r="46" spans="3:11" x14ac:dyDescent="0.2">
      <c r="C46" s="201" t="s">
        <v>8971</v>
      </c>
      <c r="D46" s="200">
        <v>44256</v>
      </c>
      <c r="E46" s="199" t="s">
        <v>8970</v>
      </c>
      <c r="I46" s="198">
        <v>2.06</v>
      </c>
      <c r="K46" s="198">
        <v>61069.19</v>
      </c>
    </row>
    <row r="47" spans="3:11" x14ac:dyDescent="0.2">
      <c r="C47" s="201" t="s">
        <v>8969</v>
      </c>
      <c r="D47" s="200">
        <v>44256</v>
      </c>
      <c r="E47" s="199" t="s">
        <v>8968</v>
      </c>
      <c r="I47" s="198">
        <v>3.4</v>
      </c>
      <c r="K47" s="198">
        <v>61072.59</v>
      </c>
    </row>
    <row r="48" spans="3:11" x14ac:dyDescent="0.2">
      <c r="C48" s="201" t="s">
        <v>8967</v>
      </c>
      <c r="D48" s="200">
        <v>44256</v>
      </c>
      <c r="E48" s="199" t="s">
        <v>8966</v>
      </c>
      <c r="I48" s="198">
        <v>6.8</v>
      </c>
      <c r="K48" s="198">
        <v>61079.39</v>
      </c>
    </row>
    <row r="49" spans="3:11" x14ac:dyDescent="0.2">
      <c r="C49" s="201" t="s">
        <v>8965</v>
      </c>
      <c r="D49" s="200">
        <v>44256</v>
      </c>
      <c r="E49" s="199" t="s">
        <v>8964</v>
      </c>
      <c r="I49" s="198">
        <v>1.68</v>
      </c>
      <c r="K49" s="198">
        <v>61081.07</v>
      </c>
    </row>
    <row r="50" spans="3:11" x14ac:dyDescent="0.2">
      <c r="C50" s="201" t="s">
        <v>8963</v>
      </c>
      <c r="D50" s="200">
        <v>44256</v>
      </c>
      <c r="E50" s="199" t="s">
        <v>8962</v>
      </c>
      <c r="I50" s="198">
        <v>4.75</v>
      </c>
      <c r="K50" s="198">
        <v>61085.82</v>
      </c>
    </row>
    <row r="51" spans="3:11" x14ac:dyDescent="0.2">
      <c r="C51" s="201" t="s">
        <v>8961</v>
      </c>
      <c r="D51" s="200">
        <v>44256</v>
      </c>
      <c r="E51" s="199" t="s">
        <v>8960</v>
      </c>
      <c r="I51" s="198">
        <v>8.0299999999999994</v>
      </c>
      <c r="K51" s="198">
        <v>61093.85</v>
      </c>
    </row>
    <row r="52" spans="3:11" x14ac:dyDescent="0.2">
      <c r="C52" s="201" t="s">
        <v>8959</v>
      </c>
      <c r="D52" s="200">
        <v>44256</v>
      </c>
      <c r="E52" s="199" t="s">
        <v>8958</v>
      </c>
      <c r="I52" s="198">
        <v>1.7</v>
      </c>
      <c r="K52" s="198">
        <v>61095.55</v>
      </c>
    </row>
    <row r="53" spans="3:11" x14ac:dyDescent="0.2">
      <c r="C53" s="201" t="s">
        <v>8957</v>
      </c>
      <c r="D53" s="200">
        <v>44256</v>
      </c>
      <c r="E53" s="199" t="s">
        <v>8956</v>
      </c>
      <c r="I53" s="198">
        <v>35.799999999999997</v>
      </c>
      <c r="K53" s="198">
        <v>61131.35</v>
      </c>
    </row>
    <row r="54" spans="3:11" x14ac:dyDescent="0.2">
      <c r="C54" s="201" t="s">
        <v>8955</v>
      </c>
      <c r="D54" s="200">
        <v>44256</v>
      </c>
      <c r="E54" s="199" t="s">
        <v>8954</v>
      </c>
      <c r="I54" s="198">
        <v>6.94</v>
      </c>
      <c r="K54" s="198">
        <v>61138.29</v>
      </c>
    </row>
    <row r="55" spans="3:11" x14ac:dyDescent="0.2">
      <c r="C55" s="201" t="s">
        <v>8953</v>
      </c>
      <c r="D55" s="200">
        <v>44256</v>
      </c>
      <c r="E55" s="199" t="s">
        <v>8952</v>
      </c>
      <c r="I55" s="198">
        <v>2.95</v>
      </c>
      <c r="K55" s="198">
        <v>61141.24</v>
      </c>
    </row>
    <row r="56" spans="3:11" x14ac:dyDescent="0.2">
      <c r="C56" s="201" t="s">
        <v>8951</v>
      </c>
      <c r="D56" s="200">
        <v>44256</v>
      </c>
      <c r="E56" s="199" t="s">
        <v>8950</v>
      </c>
      <c r="I56" s="198">
        <v>0.53</v>
      </c>
      <c r="K56" s="198">
        <v>61141.77</v>
      </c>
    </row>
    <row r="57" spans="3:11" x14ac:dyDescent="0.2">
      <c r="C57" s="201" t="s">
        <v>8949</v>
      </c>
      <c r="D57" s="200">
        <v>44256</v>
      </c>
      <c r="E57" s="199" t="s">
        <v>8948</v>
      </c>
      <c r="I57" s="198">
        <v>3.63</v>
      </c>
      <c r="K57" s="198">
        <v>61145.4</v>
      </c>
    </row>
    <row r="58" spans="3:11" x14ac:dyDescent="0.2">
      <c r="C58" s="201" t="s">
        <v>8947</v>
      </c>
      <c r="D58" s="200">
        <v>44256</v>
      </c>
      <c r="E58" s="199" t="s">
        <v>8946</v>
      </c>
      <c r="I58" s="198">
        <v>6.93</v>
      </c>
      <c r="K58" s="198">
        <v>61152.33</v>
      </c>
    </row>
    <row r="59" spans="3:11" x14ac:dyDescent="0.2">
      <c r="C59" s="201" t="s">
        <v>8945</v>
      </c>
      <c r="D59" s="200">
        <v>44256</v>
      </c>
      <c r="E59" s="199" t="s">
        <v>8944</v>
      </c>
      <c r="I59" s="198">
        <v>26.01</v>
      </c>
      <c r="K59" s="198">
        <v>61178.34</v>
      </c>
    </row>
    <row r="60" spans="3:11" x14ac:dyDescent="0.2">
      <c r="C60" s="201" t="s">
        <v>8943</v>
      </c>
      <c r="D60" s="200">
        <v>44256</v>
      </c>
      <c r="E60" s="199" t="s">
        <v>8942</v>
      </c>
      <c r="I60" s="198">
        <v>2.68</v>
      </c>
      <c r="K60" s="198">
        <v>61181.02</v>
      </c>
    </row>
    <row r="61" spans="3:11" x14ac:dyDescent="0.2">
      <c r="C61" s="201" t="s">
        <v>5212</v>
      </c>
      <c r="D61" s="200">
        <v>44257</v>
      </c>
      <c r="E61" s="199" t="s">
        <v>8941</v>
      </c>
      <c r="I61" s="198">
        <v>3.53</v>
      </c>
      <c r="K61" s="198">
        <v>61184.55</v>
      </c>
    </row>
    <row r="62" spans="3:11" x14ac:dyDescent="0.2">
      <c r="C62" s="201" t="s">
        <v>8940</v>
      </c>
      <c r="D62" s="200">
        <v>44257</v>
      </c>
      <c r="E62" s="199" t="s">
        <v>8939</v>
      </c>
      <c r="I62" s="198">
        <v>5.34</v>
      </c>
      <c r="K62" s="198">
        <v>61189.89</v>
      </c>
    </row>
    <row r="63" spans="3:11" x14ac:dyDescent="0.2">
      <c r="C63" s="201" t="s">
        <v>8938</v>
      </c>
      <c r="D63" s="200">
        <v>44257</v>
      </c>
      <c r="E63" s="199" t="s">
        <v>8937</v>
      </c>
      <c r="I63" s="198">
        <v>16.760000000000002</v>
      </c>
      <c r="K63" s="198">
        <v>61206.65</v>
      </c>
    </row>
    <row r="64" spans="3:11" x14ac:dyDescent="0.2">
      <c r="C64" s="201" t="s">
        <v>8936</v>
      </c>
      <c r="D64" s="200">
        <v>44257</v>
      </c>
      <c r="E64" s="199" t="s">
        <v>8935</v>
      </c>
      <c r="I64" s="198">
        <v>3.36</v>
      </c>
      <c r="K64" s="198">
        <v>61210.01</v>
      </c>
    </row>
    <row r="65" spans="3:11" x14ac:dyDescent="0.2">
      <c r="C65" s="201" t="s">
        <v>8934</v>
      </c>
      <c r="D65" s="200">
        <v>44257</v>
      </c>
      <c r="E65" s="199" t="s">
        <v>8933</v>
      </c>
      <c r="I65" s="198">
        <v>1.68</v>
      </c>
      <c r="K65" s="198">
        <v>61211.69</v>
      </c>
    </row>
    <row r="66" spans="3:11" x14ac:dyDescent="0.2">
      <c r="C66" s="201" t="s">
        <v>8932</v>
      </c>
      <c r="D66" s="200">
        <v>44257</v>
      </c>
      <c r="E66" s="199" t="s">
        <v>8931</v>
      </c>
      <c r="I66" s="198">
        <v>2.16</v>
      </c>
      <c r="K66" s="198">
        <v>61213.85</v>
      </c>
    </row>
    <row r="67" spans="3:11" x14ac:dyDescent="0.2">
      <c r="C67" s="201" t="s">
        <v>8930</v>
      </c>
      <c r="D67" s="200">
        <v>44257</v>
      </c>
      <c r="E67" s="199" t="s">
        <v>8929</v>
      </c>
      <c r="I67" s="198">
        <v>2.27</v>
      </c>
      <c r="K67" s="198">
        <v>61216.12</v>
      </c>
    </row>
    <row r="68" spans="3:11" x14ac:dyDescent="0.2">
      <c r="C68" s="201" t="s">
        <v>8928</v>
      </c>
      <c r="D68" s="200">
        <v>44257</v>
      </c>
      <c r="E68" s="199" t="s">
        <v>8927</v>
      </c>
      <c r="I68" s="198">
        <v>6.94</v>
      </c>
      <c r="K68" s="198">
        <v>61223.06</v>
      </c>
    </row>
    <row r="69" spans="3:11" x14ac:dyDescent="0.2">
      <c r="C69" s="201" t="s">
        <v>8926</v>
      </c>
      <c r="D69" s="200">
        <v>44257</v>
      </c>
      <c r="E69" s="199" t="s">
        <v>8925</v>
      </c>
      <c r="I69" s="198">
        <v>1.68</v>
      </c>
      <c r="K69" s="198">
        <v>61224.74</v>
      </c>
    </row>
    <row r="70" spans="3:11" x14ac:dyDescent="0.2">
      <c r="C70" s="201" t="s">
        <v>8924</v>
      </c>
      <c r="D70" s="200">
        <v>44257</v>
      </c>
      <c r="E70" s="199" t="s">
        <v>8923</v>
      </c>
      <c r="I70" s="198">
        <v>3.94</v>
      </c>
      <c r="K70" s="198">
        <v>61228.68</v>
      </c>
    </row>
    <row r="71" spans="3:11" x14ac:dyDescent="0.2">
      <c r="C71" s="201" t="s">
        <v>8922</v>
      </c>
      <c r="D71" s="200">
        <v>44257</v>
      </c>
      <c r="E71" s="199" t="s">
        <v>8921</v>
      </c>
      <c r="I71" s="198">
        <v>7.82</v>
      </c>
      <c r="K71" s="198">
        <v>61236.5</v>
      </c>
    </row>
    <row r="72" spans="3:11" x14ac:dyDescent="0.2">
      <c r="C72" s="201" t="s">
        <v>8920</v>
      </c>
      <c r="D72" s="200">
        <v>44257</v>
      </c>
      <c r="E72" s="199" t="s">
        <v>8919</v>
      </c>
      <c r="I72" s="198">
        <v>1.68</v>
      </c>
      <c r="K72" s="198">
        <v>61238.18</v>
      </c>
    </row>
    <row r="73" spans="3:11" x14ac:dyDescent="0.2">
      <c r="C73" s="201" t="s">
        <v>8918</v>
      </c>
      <c r="D73" s="200">
        <v>44257</v>
      </c>
      <c r="E73" s="199" t="s">
        <v>8917</v>
      </c>
      <c r="I73" s="198">
        <v>8.3800000000000008</v>
      </c>
      <c r="K73" s="198">
        <v>61246.559999999998</v>
      </c>
    </row>
    <row r="74" spans="3:11" x14ac:dyDescent="0.2">
      <c r="C74" s="201" t="s">
        <v>8916</v>
      </c>
      <c r="D74" s="200">
        <v>44257</v>
      </c>
      <c r="E74" s="199" t="s">
        <v>8915</v>
      </c>
      <c r="I74" s="198">
        <v>4.13</v>
      </c>
      <c r="K74" s="198">
        <v>61250.69</v>
      </c>
    </row>
    <row r="75" spans="3:11" x14ac:dyDescent="0.2">
      <c r="C75" s="201" t="s">
        <v>8914</v>
      </c>
      <c r="D75" s="200">
        <v>44257</v>
      </c>
      <c r="E75" s="199" t="s">
        <v>8913</v>
      </c>
      <c r="I75" s="198">
        <v>12.11</v>
      </c>
      <c r="K75" s="198">
        <v>61262.8</v>
      </c>
    </row>
    <row r="76" spans="3:11" x14ac:dyDescent="0.2">
      <c r="C76" s="201" t="s">
        <v>8912</v>
      </c>
      <c r="D76" s="200">
        <v>44257</v>
      </c>
      <c r="E76" s="199" t="s">
        <v>8911</v>
      </c>
      <c r="I76" s="198">
        <v>5.21</v>
      </c>
      <c r="K76" s="198">
        <v>61268.01</v>
      </c>
    </row>
    <row r="77" spans="3:11" x14ac:dyDescent="0.2">
      <c r="C77" s="201" t="s">
        <v>8910</v>
      </c>
      <c r="D77" s="200">
        <v>44257</v>
      </c>
      <c r="E77" s="199" t="s">
        <v>8909</v>
      </c>
      <c r="I77" s="198">
        <v>6.94</v>
      </c>
      <c r="K77" s="198">
        <v>61274.95</v>
      </c>
    </row>
    <row r="78" spans="3:11" x14ac:dyDescent="0.2">
      <c r="C78" s="201" t="s">
        <v>8908</v>
      </c>
      <c r="D78" s="200">
        <v>44257</v>
      </c>
      <c r="E78" s="199" t="s">
        <v>8907</v>
      </c>
      <c r="I78" s="198">
        <v>1.81</v>
      </c>
      <c r="K78" s="198">
        <v>61276.76</v>
      </c>
    </row>
    <row r="79" spans="3:11" x14ac:dyDescent="0.2">
      <c r="C79" s="201" t="s">
        <v>8906</v>
      </c>
      <c r="D79" s="200">
        <v>44257</v>
      </c>
      <c r="E79" s="199" t="s">
        <v>8905</v>
      </c>
      <c r="I79" s="198">
        <v>8.3800000000000008</v>
      </c>
      <c r="K79" s="198">
        <v>61285.14</v>
      </c>
    </row>
    <row r="80" spans="3:11" x14ac:dyDescent="0.2">
      <c r="C80" s="201" t="s">
        <v>8904</v>
      </c>
      <c r="D80" s="200">
        <v>44257</v>
      </c>
      <c r="E80" s="199" t="s">
        <v>8903</v>
      </c>
      <c r="I80" s="198">
        <v>8.3800000000000008</v>
      </c>
      <c r="K80" s="198">
        <v>61293.52</v>
      </c>
    </row>
    <row r="81" spans="3:11" x14ac:dyDescent="0.2">
      <c r="C81" s="201" t="s">
        <v>8902</v>
      </c>
      <c r="D81" s="200">
        <v>44257</v>
      </c>
      <c r="E81" s="199" t="s">
        <v>8901</v>
      </c>
      <c r="I81" s="198">
        <v>8.3800000000000008</v>
      </c>
      <c r="K81" s="198">
        <v>61301.9</v>
      </c>
    </row>
    <row r="82" spans="3:11" x14ac:dyDescent="0.2">
      <c r="C82" s="201" t="s">
        <v>8900</v>
      </c>
      <c r="D82" s="200">
        <v>44257</v>
      </c>
      <c r="E82" s="199" t="s">
        <v>8899</v>
      </c>
      <c r="I82" s="198">
        <v>4.1900000000000004</v>
      </c>
      <c r="K82" s="198">
        <v>61306.09</v>
      </c>
    </row>
    <row r="83" spans="3:11" x14ac:dyDescent="0.2">
      <c r="C83" s="201" t="s">
        <v>8898</v>
      </c>
      <c r="D83" s="200">
        <v>44257</v>
      </c>
      <c r="E83" s="199" t="s">
        <v>8897</v>
      </c>
      <c r="I83" s="198">
        <v>3.36</v>
      </c>
      <c r="K83" s="198">
        <v>61309.45</v>
      </c>
    </row>
    <row r="84" spans="3:11" x14ac:dyDescent="0.2">
      <c r="C84" s="201" t="s">
        <v>8896</v>
      </c>
      <c r="D84" s="200">
        <v>44257</v>
      </c>
      <c r="E84" s="199" t="s">
        <v>8895</v>
      </c>
      <c r="I84" s="198">
        <v>8.3800000000000008</v>
      </c>
      <c r="K84" s="198">
        <v>61317.83</v>
      </c>
    </row>
    <row r="85" spans="3:11" x14ac:dyDescent="0.2">
      <c r="C85" s="201" t="s">
        <v>8894</v>
      </c>
      <c r="D85" s="200">
        <v>44257</v>
      </c>
      <c r="E85" s="199" t="s">
        <v>8893</v>
      </c>
      <c r="I85" s="198">
        <v>12.3</v>
      </c>
      <c r="K85" s="198">
        <v>61330.13</v>
      </c>
    </row>
    <row r="86" spans="3:11" x14ac:dyDescent="0.2">
      <c r="C86" s="201" t="s">
        <v>8892</v>
      </c>
      <c r="D86" s="200">
        <v>44257</v>
      </c>
      <c r="E86" s="199" t="s">
        <v>8891</v>
      </c>
      <c r="I86" s="198">
        <v>2.08</v>
      </c>
      <c r="K86" s="198">
        <v>61332.21</v>
      </c>
    </row>
    <row r="87" spans="3:11" x14ac:dyDescent="0.2">
      <c r="C87" s="201" t="s">
        <v>8890</v>
      </c>
      <c r="D87" s="200">
        <v>44257</v>
      </c>
      <c r="E87" s="199" t="s">
        <v>8889</v>
      </c>
      <c r="I87" s="198">
        <v>7.82</v>
      </c>
      <c r="K87" s="198">
        <v>61340.03</v>
      </c>
    </row>
    <row r="88" spans="3:11" x14ac:dyDescent="0.2">
      <c r="C88" s="201" t="s">
        <v>8888</v>
      </c>
      <c r="D88" s="200">
        <v>44257</v>
      </c>
      <c r="E88" s="199" t="s">
        <v>8887</v>
      </c>
      <c r="I88" s="198">
        <v>4.6399999999999997</v>
      </c>
      <c r="K88" s="198">
        <v>61344.67</v>
      </c>
    </row>
    <row r="89" spans="3:11" x14ac:dyDescent="0.2">
      <c r="C89" s="201" t="s">
        <v>8886</v>
      </c>
      <c r="D89" s="200">
        <v>44257</v>
      </c>
      <c r="E89" s="199" t="s">
        <v>8885</v>
      </c>
      <c r="I89" s="198">
        <v>16.760000000000002</v>
      </c>
      <c r="K89" s="198">
        <v>61361.43</v>
      </c>
    </row>
    <row r="90" spans="3:11" x14ac:dyDescent="0.2">
      <c r="C90" s="201" t="s">
        <v>8884</v>
      </c>
      <c r="D90" s="200">
        <v>44257</v>
      </c>
      <c r="E90" s="199" t="s">
        <v>8883</v>
      </c>
      <c r="I90" s="198">
        <v>7.82</v>
      </c>
      <c r="K90" s="198">
        <v>61369.25</v>
      </c>
    </row>
    <row r="91" spans="3:11" x14ac:dyDescent="0.2">
      <c r="C91" s="201" t="s">
        <v>8882</v>
      </c>
      <c r="D91" s="200">
        <v>44257</v>
      </c>
      <c r="E91" s="199" t="s">
        <v>8881</v>
      </c>
      <c r="I91" s="198">
        <v>4.1900000000000004</v>
      </c>
      <c r="K91" s="198">
        <v>61373.440000000002</v>
      </c>
    </row>
    <row r="92" spans="3:11" x14ac:dyDescent="0.2">
      <c r="C92" s="201" t="s">
        <v>8880</v>
      </c>
      <c r="D92" s="200">
        <v>44257</v>
      </c>
      <c r="E92" s="199" t="s">
        <v>8879</v>
      </c>
      <c r="I92" s="198">
        <v>8.3800000000000008</v>
      </c>
      <c r="K92" s="198">
        <v>61381.82</v>
      </c>
    </row>
    <row r="93" spans="3:11" x14ac:dyDescent="0.2">
      <c r="C93" s="201" t="s">
        <v>8878</v>
      </c>
      <c r="D93" s="200">
        <v>44257</v>
      </c>
      <c r="E93" s="199" t="s">
        <v>8877</v>
      </c>
      <c r="I93" s="198">
        <v>1.8</v>
      </c>
      <c r="K93" s="198">
        <v>61383.62</v>
      </c>
    </row>
    <row r="94" spans="3:11" x14ac:dyDescent="0.2">
      <c r="C94" s="201" t="s">
        <v>8876</v>
      </c>
      <c r="D94" s="200">
        <v>44257</v>
      </c>
      <c r="E94" s="199" t="s">
        <v>8875</v>
      </c>
      <c r="I94" s="198">
        <v>2.5099999999999998</v>
      </c>
      <c r="K94" s="198">
        <v>61386.13</v>
      </c>
    </row>
    <row r="95" spans="3:11" x14ac:dyDescent="0.2">
      <c r="C95" s="201" t="s">
        <v>8874</v>
      </c>
      <c r="D95" s="200">
        <v>44257</v>
      </c>
      <c r="E95" s="199" t="s">
        <v>8873</v>
      </c>
      <c r="I95" s="198">
        <v>3.36</v>
      </c>
      <c r="K95" s="198">
        <v>61389.49</v>
      </c>
    </row>
    <row r="96" spans="3:11" x14ac:dyDescent="0.2">
      <c r="C96" s="201" t="s">
        <v>8872</v>
      </c>
      <c r="D96" s="200">
        <v>44257</v>
      </c>
      <c r="E96" s="199" t="s">
        <v>8871</v>
      </c>
      <c r="I96" s="198">
        <v>5.16</v>
      </c>
      <c r="K96" s="198">
        <v>61394.65</v>
      </c>
    </row>
    <row r="97" spans="3:11" x14ac:dyDescent="0.2">
      <c r="C97" s="201" t="s">
        <v>8870</v>
      </c>
      <c r="D97" s="200">
        <v>44257</v>
      </c>
      <c r="E97" s="199" t="s">
        <v>8869</v>
      </c>
      <c r="I97" s="198">
        <v>1.68</v>
      </c>
      <c r="K97" s="198">
        <v>61396.33</v>
      </c>
    </row>
    <row r="98" spans="3:11" x14ac:dyDescent="0.2">
      <c r="C98" s="201" t="s">
        <v>8868</v>
      </c>
      <c r="D98" s="200">
        <v>44257</v>
      </c>
      <c r="E98" s="199" t="s">
        <v>8867</v>
      </c>
      <c r="I98" s="198">
        <v>17.899999999999999</v>
      </c>
      <c r="K98" s="198">
        <v>61414.23</v>
      </c>
    </row>
    <row r="99" spans="3:11" x14ac:dyDescent="0.2">
      <c r="C99" s="201" t="s">
        <v>8866</v>
      </c>
      <c r="D99" s="200">
        <v>44257</v>
      </c>
      <c r="E99" s="199" t="s">
        <v>8865</v>
      </c>
      <c r="I99" s="198">
        <v>3.25</v>
      </c>
      <c r="K99" s="198">
        <v>61417.48</v>
      </c>
    </row>
    <row r="100" spans="3:11" x14ac:dyDescent="0.2">
      <c r="C100" s="201" t="s">
        <v>8864</v>
      </c>
      <c r="D100" s="200">
        <v>44257</v>
      </c>
      <c r="E100" s="199" t="s">
        <v>8863</v>
      </c>
      <c r="I100" s="198">
        <v>1.95</v>
      </c>
      <c r="K100" s="198">
        <v>61419.43</v>
      </c>
    </row>
    <row r="101" spans="3:11" x14ac:dyDescent="0.2">
      <c r="C101" s="201" t="s">
        <v>8862</v>
      </c>
      <c r="D101" s="200">
        <v>44257</v>
      </c>
      <c r="E101" s="199" t="s">
        <v>8861</v>
      </c>
      <c r="I101" s="198">
        <v>2.89</v>
      </c>
      <c r="K101" s="198">
        <v>61422.32</v>
      </c>
    </row>
    <row r="102" spans="3:11" x14ac:dyDescent="0.2">
      <c r="C102" s="201" t="s">
        <v>8860</v>
      </c>
      <c r="D102" s="200">
        <v>44257</v>
      </c>
      <c r="E102" s="199" t="s">
        <v>8859</v>
      </c>
      <c r="I102" s="198">
        <v>15.3</v>
      </c>
      <c r="K102" s="198">
        <v>61437.62</v>
      </c>
    </row>
    <row r="103" spans="3:11" x14ac:dyDescent="0.2">
      <c r="C103" s="201" t="s">
        <v>8858</v>
      </c>
      <c r="D103" s="200">
        <v>44257</v>
      </c>
      <c r="E103" s="199" t="s">
        <v>8857</v>
      </c>
      <c r="I103" s="198">
        <v>15.3</v>
      </c>
      <c r="K103" s="198">
        <v>61452.92</v>
      </c>
    </row>
    <row r="104" spans="3:11" x14ac:dyDescent="0.2">
      <c r="C104" s="201" t="s">
        <v>8856</v>
      </c>
      <c r="D104" s="200">
        <v>44257</v>
      </c>
      <c r="E104" s="199" t="s">
        <v>8855</v>
      </c>
      <c r="I104" s="198">
        <v>15.3</v>
      </c>
      <c r="K104" s="198">
        <v>61468.22</v>
      </c>
    </row>
    <row r="105" spans="3:11" x14ac:dyDescent="0.2">
      <c r="C105" s="201" t="s">
        <v>8854</v>
      </c>
      <c r="D105" s="200">
        <v>44257</v>
      </c>
      <c r="E105" s="199" t="s">
        <v>8853</v>
      </c>
      <c r="I105" s="198">
        <v>15.3</v>
      </c>
      <c r="K105" s="198">
        <v>61483.519999999997</v>
      </c>
    </row>
    <row r="106" spans="3:11" x14ac:dyDescent="0.2">
      <c r="C106" s="201" t="s">
        <v>8852</v>
      </c>
      <c r="D106" s="200">
        <v>44257</v>
      </c>
      <c r="E106" s="199" t="s">
        <v>8851</v>
      </c>
      <c r="I106" s="198">
        <v>2.21</v>
      </c>
      <c r="K106" s="198">
        <v>61485.73</v>
      </c>
    </row>
    <row r="107" spans="3:11" x14ac:dyDescent="0.2">
      <c r="C107" s="201" t="s">
        <v>8850</v>
      </c>
      <c r="D107" s="200">
        <v>44257</v>
      </c>
      <c r="E107" s="199" t="s">
        <v>8849</v>
      </c>
      <c r="I107" s="198">
        <v>1.94</v>
      </c>
      <c r="K107" s="198">
        <v>61487.67</v>
      </c>
    </row>
    <row r="108" spans="3:11" x14ac:dyDescent="0.2">
      <c r="C108" s="201" t="s">
        <v>8848</v>
      </c>
      <c r="D108" s="200">
        <v>44257</v>
      </c>
      <c r="E108" s="199" t="s">
        <v>8847</v>
      </c>
      <c r="I108" s="198">
        <v>31.36</v>
      </c>
      <c r="K108" s="198">
        <v>61519.03</v>
      </c>
    </row>
    <row r="109" spans="3:11" x14ac:dyDescent="0.2">
      <c r="C109" s="201" t="s">
        <v>8846</v>
      </c>
      <c r="D109" s="200">
        <v>44257</v>
      </c>
      <c r="E109" s="199" t="s">
        <v>8845</v>
      </c>
      <c r="I109" s="198">
        <v>13.72</v>
      </c>
      <c r="K109" s="198">
        <v>61532.75</v>
      </c>
    </row>
    <row r="110" spans="3:11" x14ac:dyDescent="0.2">
      <c r="C110" s="201" t="s">
        <v>8844</v>
      </c>
      <c r="D110" s="200">
        <v>44257</v>
      </c>
      <c r="E110" s="199" t="s">
        <v>8843</v>
      </c>
      <c r="I110" s="198">
        <v>33.75</v>
      </c>
      <c r="K110" s="198">
        <v>61566.5</v>
      </c>
    </row>
    <row r="111" spans="3:11" x14ac:dyDescent="0.2">
      <c r="C111" s="201" t="s">
        <v>8842</v>
      </c>
      <c r="D111" s="200">
        <v>44257</v>
      </c>
      <c r="E111" s="199" t="s">
        <v>8841</v>
      </c>
      <c r="I111" s="198">
        <v>2.2799999999999998</v>
      </c>
      <c r="K111" s="198">
        <v>61568.78</v>
      </c>
    </row>
    <row r="112" spans="3:11" x14ac:dyDescent="0.2">
      <c r="C112" s="201" t="s">
        <v>8840</v>
      </c>
      <c r="D112" s="200">
        <v>44257</v>
      </c>
      <c r="E112" s="199" t="s">
        <v>8839</v>
      </c>
      <c r="I112" s="198">
        <v>3.99</v>
      </c>
      <c r="K112" s="198">
        <v>61572.77</v>
      </c>
    </row>
    <row r="113" spans="3:11" x14ac:dyDescent="0.2">
      <c r="C113" s="201" t="s">
        <v>8838</v>
      </c>
      <c r="D113" s="200">
        <v>44257</v>
      </c>
      <c r="E113" s="199" t="s">
        <v>8837</v>
      </c>
      <c r="I113" s="198">
        <v>4.78</v>
      </c>
      <c r="K113" s="198">
        <v>61577.55</v>
      </c>
    </row>
    <row r="114" spans="3:11" x14ac:dyDescent="0.2">
      <c r="C114" s="201" t="s">
        <v>8836</v>
      </c>
      <c r="D114" s="200">
        <v>44257</v>
      </c>
      <c r="E114" s="199" t="s">
        <v>8835</v>
      </c>
      <c r="I114" s="198">
        <v>3.36</v>
      </c>
      <c r="K114" s="198">
        <v>61580.91</v>
      </c>
    </row>
    <row r="115" spans="3:11" x14ac:dyDescent="0.2">
      <c r="C115" s="201" t="s">
        <v>8834</v>
      </c>
      <c r="D115" s="200">
        <v>44257</v>
      </c>
      <c r="E115" s="199" t="s">
        <v>8833</v>
      </c>
      <c r="I115" s="198">
        <v>6.94</v>
      </c>
      <c r="K115" s="198">
        <v>61587.85</v>
      </c>
    </row>
    <row r="116" spans="3:11" x14ac:dyDescent="0.2">
      <c r="C116" s="201" t="s">
        <v>8832</v>
      </c>
      <c r="D116" s="200">
        <v>44257</v>
      </c>
      <c r="E116" s="199" t="s">
        <v>8831</v>
      </c>
      <c r="I116" s="198">
        <v>3.6</v>
      </c>
      <c r="K116" s="198">
        <v>61591.45</v>
      </c>
    </row>
    <row r="117" spans="3:11" x14ac:dyDescent="0.2">
      <c r="C117" s="201" t="s">
        <v>8830</v>
      </c>
      <c r="D117" s="200">
        <v>44257</v>
      </c>
      <c r="E117" s="199" t="s">
        <v>8829</v>
      </c>
      <c r="I117" s="198">
        <v>3.63</v>
      </c>
      <c r="K117" s="198">
        <v>61595.08</v>
      </c>
    </row>
    <row r="118" spans="3:11" x14ac:dyDescent="0.2">
      <c r="C118" s="201" t="s">
        <v>8828</v>
      </c>
      <c r="D118" s="200">
        <v>44257</v>
      </c>
      <c r="E118" s="199" t="s">
        <v>8827</v>
      </c>
      <c r="I118" s="198">
        <v>30.1</v>
      </c>
      <c r="K118" s="198">
        <v>61625.18</v>
      </c>
    </row>
    <row r="119" spans="3:11" x14ac:dyDescent="0.2">
      <c r="C119" s="201" t="s">
        <v>8826</v>
      </c>
      <c r="D119" s="200">
        <v>44257</v>
      </c>
      <c r="E119" s="199" t="s">
        <v>8825</v>
      </c>
      <c r="I119" s="198">
        <v>87.82</v>
      </c>
      <c r="K119" s="198">
        <v>61713</v>
      </c>
    </row>
    <row r="120" spans="3:11" x14ac:dyDescent="0.2">
      <c r="C120" s="201" t="s">
        <v>8824</v>
      </c>
      <c r="D120" s="200">
        <v>44257</v>
      </c>
      <c r="E120" s="199" t="s">
        <v>8823</v>
      </c>
      <c r="I120" s="198">
        <v>2.7</v>
      </c>
      <c r="K120" s="198">
        <v>61715.7</v>
      </c>
    </row>
    <row r="121" spans="3:11" x14ac:dyDescent="0.2">
      <c r="C121" s="201" t="s">
        <v>8822</v>
      </c>
      <c r="D121" s="200">
        <v>44257</v>
      </c>
      <c r="E121" s="199" t="s">
        <v>8821</v>
      </c>
      <c r="I121" s="198">
        <v>3.46</v>
      </c>
      <c r="K121" s="198">
        <v>61719.16</v>
      </c>
    </row>
    <row r="122" spans="3:11" x14ac:dyDescent="0.2">
      <c r="C122" s="201" t="s">
        <v>8820</v>
      </c>
      <c r="D122" s="200">
        <v>44257</v>
      </c>
      <c r="E122" s="199" t="s">
        <v>8819</v>
      </c>
      <c r="I122" s="198">
        <v>1.74</v>
      </c>
      <c r="K122" s="198">
        <v>61720.9</v>
      </c>
    </row>
    <row r="123" spans="3:11" x14ac:dyDescent="0.2">
      <c r="C123" s="201" t="s">
        <v>8818</v>
      </c>
      <c r="D123" s="200">
        <v>44257</v>
      </c>
      <c r="E123" s="199" t="s">
        <v>8817</v>
      </c>
      <c r="I123" s="198">
        <v>5.16</v>
      </c>
      <c r="K123" s="198">
        <v>61726.06</v>
      </c>
    </row>
    <row r="124" spans="3:11" x14ac:dyDescent="0.2">
      <c r="C124" s="201" t="s">
        <v>8816</v>
      </c>
      <c r="D124" s="200">
        <v>44257</v>
      </c>
      <c r="E124" s="199" t="s">
        <v>8815</v>
      </c>
      <c r="I124" s="198">
        <v>2.72</v>
      </c>
      <c r="K124" s="198">
        <v>61728.78</v>
      </c>
    </row>
    <row r="125" spans="3:11" x14ac:dyDescent="0.2">
      <c r="C125" s="201" t="s">
        <v>8814</v>
      </c>
      <c r="D125" s="200">
        <v>44257</v>
      </c>
      <c r="E125" s="199" t="s">
        <v>8813</v>
      </c>
      <c r="I125" s="198">
        <v>5.04</v>
      </c>
      <c r="K125" s="198">
        <v>61733.82</v>
      </c>
    </row>
    <row r="126" spans="3:11" x14ac:dyDescent="0.2">
      <c r="C126" s="201" t="s">
        <v>8812</v>
      </c>
      <c r="D126" s="200">
        <v>44257</v>
      </c>
      <c r="E126" s="199" t="s">
        <v>8811</v>
      </c>
      <c r="I126" s="198">
        <v>1.87</v>
      </c>
      <c r="K126" s="198">
        <v>61735.69</v>
      </c>
    </row>
    <row r="127" spans="3:11" x14ac:dyDescent="0.2">
      <c r="C127" s="201" t="s">
        <v>8810</v>
      </c>
      <c r="D127" s="200">
        <v>44257</v>
      </c>
      <c r="E127" s="199" t="s">
        <v>8809</v>
      </c>
      <c r="I127" s="198">
        <v>2.5099999999999998</v>
      </c>
      <c r="K127" s="198">
        <v>61738.2</v>
      </c>
    </row>
    <row r="128" spans="3:11" x14ac:dyDescent="0.2">
      <c r="C128" s="201" t="s">
        <v>8808</v>
      </c>
      <c r="D128" s="200">
        <v>44257</v>
      </c>
      <c r="E128" s="199" t="s">
        <v>8807</v>
      </c>
      <c r="I128" s="198">
        <v>3.28</v>
      </c>
      <c r="K128" s="198">
        <v>61741.48</v>
      </c>
    </row>
    <row r="129" spans="3:11" x14ac:dyDescent="0.2">
      <c r="C129" s="201" t="s">
        <v>8806</v>
      </c>
      <c r="D129" s="200">
        <v>44257</v>
      </c>
      <c r="E129" s="199" t="s">
        <v>8805</v>
      </c>
      <c r="I129" s="198">
        <v>5.25</v>
      </c>
      <c r="K129" s="198">
        <v>61746.73</v>
      </c>
    </row>
    <row r="130" spans="3:11" x14ac:dyDescent="0.2">
      <c r="C130" s="201" t="s">
        <v>8804</v>
      </c>
      <c r="D130" s="200">
        <v>44257</v>
      </c>
      <c r="E130" s="199" t="s">
        <v>8803</v>
      </c>
      <c r="I130" s="198">
        <v>1.68</v>
      </c>
      <c r="K130" s="198">
        <v>61748.41</v>
      </c>
    </row>
    <row r="131" spans="3:11" x14ac:dyDescent="0.2">
      <c r="C131" s="201" t="s">
        <v>8802</v>
      </c>
      <c r="D131" s="200">
        <v>44257</v>
      </c>
      <c r="E131" s="199" t="s">
        <v>8801</v>
      </c>
      <c r="I131" s="198">
        <v>2.99</v>
      </c>
      <c r="K131" s="198">
        <v>61751.4</v>
      </c>
    </row>
    <row r="132" spans="3:11" x14ac:dyDescent="0.2">
      <c r="C132" s="201" t="s">
        <v>8800</v>
      </c>
      <c r="D132" s="200">
        <v>44257</v>
      </c>
      <c r="E132" s="199" t="s">
        <v>8799</v>
      </c>
      <c r="I132" s="198">
        <v>12.58</v>
      </c>
      <c r="K132" s="198">
        <v>61763.98</v>
      </c>
    </row>
    <row r="133" spans="3:11" x14ac:dyDescent="0.2">
      <c r="C133" s="201" t="s">
        <v>8798</v>
      </c>
      <c r="D133" s="200">
        <v>44257</v>
      </c>
      <c r="E133" s="199" t="s">
        <v>8797</v>
      </c>
      <c r="I133" s="198">
        <v>1.88</v>
      </c>
      <c r="K133" s="198">
        <v>61765.86</v>
      </c>
    </row>
    <row r="134" spans="3:11" x14ac:dyDescent="0.2">
      <c r="C134" s="201" t="s">
        <v>8796</v>
      </c>
      <c r="D134" s="200">
        <v>44257</v>
      </c>
      <c r="E134" s="199" t="s">
        <v>8795</v>
      </c>
      <c r="I134" s="198">
        <v>5.04</v>
      </c>
      <c r="K134" s="198">
        <v>61770.9</v>
      </c>
    </row>
    <row r="135" spans="3:11" x14ac:dyDescent="0.2">
      <c r="C135" s="201" t="s">
        <v>8794</v>
      </c>
      <c r="D135" s="200">
        <v>44257</v>
      </c>
      <c r="E135" s="199" t="s">
        <v>8793</v>
      </c>
      <c r="I135" s="198">
        <v>1.74</v>
      </c>
      <c r="K135" s="198">
        <v>61772.639999999999</v>
      </c>
    </row>
    <row r="136" spans="3:11" x14ac:dyDescent="0.2">
      <c r="C136" s="201" t="s">
        <v>8792</v>
      </c>
      <c r="D136" s="200">
        <v>44257</v>
      </c>
      <c r="E136" s="199" t="s">
        <v>8791</v>
      </c>
      <c r="I136" s="198">
        <v>1.68</v>
      </c>
      <c r="K136" s="198">
        <v>61774.32</v>
      </c>
    </row>
    <row r="137" spans="3:11" x14ac:dyDescent="0.2">
      <c r="C137" s="201" t="s">
        <v>8790</v>
      </c>
      <c r="D137" s="200">
        <v>44257</v>
      </c>
      <c r="E137" s="199" t="s">
        <v>8789</v>
      </c>
      <c r="I137" s="198">
        <v>7.19</v>
      </c>
      <c r="K137" s="198">
        <v>61781.51</v>
      </c>
    </row>
    <row r="138" spans="3:11" x14ac:dyDescent="0.2">
      <c r="C138" s="201" t="s">
        <v>8788</v>
      </c>
      <c r="D138" s="200">
        <v>44257</v>
      </c>
      <c r="E138" s="199" t="s">
        <v>8787</v>
      </c>
      <c r="I138" s="198">
        <v>3.36</v>
      </c>
      <c r="K138" s="198">
        <v>61784.87</v>
      </c>
    </row>
    <row r="139" spans="3:11" x14ac:dyDescent="0.2">
      <c r="C139" s="201" t="s">
        <v>8786</v>
      </c>
      <c r="D139" s="200">
        <v>44257</v>
      </c>
      <c r="E139" s="199" t="s">
        <v>8785</v>
      </c>
      <c r="I139" s="198">
        <v>6.94</v>
      </c>
      <c r="K139" s="198">
        <v>61791.81</v>
      </c>
    </row>
    <row r="140" spans="3:11" x14ac:dyDescent="0.2">
      <c r="C140" s="201" t="s">
        <v>8784</v>
      </c>
      <c r="D140" s="200">
        <v>44257</v>
      </c>
      <c r="E140" s="199" t="s">
        <v>8783</v>
      </c>
      <c r="I140" s="198">
        <v>10.81</v>
      </c>
      <c r="K140" s="198">
        <v>61802.62</v>
      </c>
    </row>
    <row r="141" spans="3:11" x14ac:dyDescent="0.2">
      <c r="C141" s="201" t="s">
        <v>8782</v>
      </c>
      <c r="D141" s="200">
        <v>44257</v>
      </c>
      <c r="E141" s="199" t="s">
        <v>8781</v>
      </c>
      <c r="I141" s="198">
        <v>60.7</v>
      </c>
      <c r="K141" s="198">
        <v>61863.32</v>
      </c>
    </row>
    <row r="142" spans="3:11" x14ac:dyDescent="0.2">
      <c r="C142" s="201" t="s">
        <v>8780</v>
      </c>
      <c r="D142" s="200">
        <v>44257</v>
      </c>
      <c r="E142" s="199" t="s">
        <v>8779</v>
      </c>
      <c r="I142" s="198">
        <v>2.3199999999999998</v>
      </c>
      <c r="K142" s="198">
        <v>61865.64</v>
      </c>
    </row>
    <row r="143" spans="3:11" x14ac:dyDescent="0.2">
      <c r="C143" s="201" t="s">
        <v>8778</v>
      </c>
      <c r="D143" s="200">
        <v>44258</v>
      </c>
      <c r="E143" s="199" t="s">
        <v>8777</v>
      </c>
      <c r="I143" s="198">
        <v>17</v>
      </c>
      <c r="K143" s="198">
        <v>61882.64</v>
      </c>
    </row>
    <row r="144" spans="3:11" x14ac:dyDescent="0.2">
      <c r="C144" s="201" t="s">
        <v>8776</v>
      </c>
      <c r="D144" s="200">
        <v>44258</v>
      </c>
      <c r="E144" s="199" t="s">
        <v>8775</v>
      </c>
      <c r="I144" s="198">
        <v>57.19</v>
      </c>
      <c r="K144" s="198">
        <v>61939.83</v>
      </c>
    </row>
    <row r="145" spans="3:11" x14ac:dyDescent="0.2">
      <c r="C145" s="201" t="s">
        <v>8774</v>
      </c>
      <c r="D145" s="200">
        <v>44258</v>
      </c>
      <c r="E145" s="199" t="s">
        <v>8773</v>
      </c>
      <c r="I145" s="198">
        <v>3.6</v>
      </c>
      <c r="K145" s="198">
        <v>61943.43</v>
      </c>
    </row>
    <row r="146" spans="3:11" x14ac:dyDescent="0.2">
      <c r="C146" s="201" t="s">
        <v>8772</v>
      </c>
      <c r="D146" s="200">
        <v>44258</v>
      </c>
      <c r="E146" s="199" t="s">
        <v>8771</v>
      </c>
      <c r="I146" s="198">
        <v>1.47</v>
      </c>
      <c r="K146" s="198">
        <v>61944.9</v>
      </c>
    </row>
    <row r="147" spans="3:11" x14ac:dyDescent="0.2">
      <c r="C147" s="201" t="s">
        <v>8770</v>
      </c>
      <c r="D147" s="200">
        <v>44258</v>
      </c>
      <c r="E147" s="199" t="s">
        <v>8769</v>
      </c>
      <c r="I147" s="198">
        <v>6.9</v>
      </c>
      <c r="K147" s="198">
        <v>61951.8</v>
      </c>
    </row>
    <row r="148" spans="3:11" x14ac:dyDescent="0.2">
      <c r="C148" s="201" t="s">
        <v>8768</v>
      </c>
      <c r="D148" s="200">
        <v>44258</v>
      </c>
      <c r="E148" s="199" t="s">
        <v>8767</v>
      </c>
      <c r="I148" s="198">
        <v>13.31</v>
      </c>
      <c r="K148" s="198">
        <v>61965.11</v>
      </c>
    </row>
    <row r="149" spans="3:11" x14ac:dyDescent="0.2">
      <c r="C149" s="201" t="s">
        <v>8766</v>
      </c>
      <c r="D149" s="200">
        <v>44258</v>
      </c>
      <c r="E149" s="199" t="s">
        <v>8765</v>
      </c>
      <c r="I149" s="198">
        <v>4.1900000000000004</v>
      </c>
      <c r="K149" s="198">
        <v>61969.3</v>
      </c>
    </row>
    <row r="150" spans="3:11" x14ac:dyDescent="0.2">
      <c r="C150" s="201" t="s">
        <v>8764</v>
      </c>
      <c r="D150" s="200">
        <v>44258</v>
      </c>
      <c r="E150" s="199" t="s">
        <v>8763</v>
      </c>
      <c r="I150" s="198">
        <v>6.25</v>
      </c>
      <c r="K150" s="198">
        <v>61975.55</v>
      </c>
    </row>
    <row r="151" spans="3:11" x14ac:dyDescent="0.2">
      <c r="C151" s="201" t="s">
        <v>8762</v>
      </c>
      <c r="D151" s="200">
        <v>44258</v>
      </c>
      <c r="E151" s="199" t="s">
        <v>8761</v>
      </c>
      <c r="I151" s="198">
        <v>13.29</v>
      </c>
      <c r="K151" s="198">
        <v>61988.84</v>
      </c>
    </row>
    <row r="152" spans="3:11" x14ac:dyDescent="0.2">
      <c r="C152" s="201" t="s">
        <v>8760</v>
      </c>
      <c r="D152" s="200">
        <v>44258</v>
      </c>
      <c r="E152" s="199" t="s">
        <v>8759</v>
      </c>
      <c r="I152" s="198">
        <v>15.44</v>
      </c>
      <c r="K152" s="198">
        <v>62004.28</v>
      </c>
    </row>
    <row r="153" spans="3:11" x14ac:dyDescent="0.2">
      <c r="C153" s="201" t="s">
        <v>8758</v>
      </c>
      <c r="D153" s="200">
        <v>44258</v>
      </c>
      <c r="E153" s="199" t="s">
        <v>8757</v>
      </c>
      <c r="I153" s="198">
        <v>1.97</v>
      </c>
      <c r="K153" s="198">
        <v>62006.25</v>
      </c>
    </row>
    <row r="154" spans="3:11" x14ac:dyDescent="0.2">
      <c r="C154" s="201" t="s">
        <v>8756</v>
      </c>
      <c r="D154" s="200">
        <v>44258</v>
      </c>
      <c r="E154" s="199" t="s">
        <v>8755</v>
      </c>
      <c r="I154" s="198">
        <v>6.93</v>
      </c>
      <c r="K154" s="198">
        <v>62013.18</v>
      </c>
    </row>
    <row r="155" spans="3:11" x14ac:dyDescent="0.2">
      <c r="C155" s="201" t="s">
        <v>8754</v>
      </c>
      <c r="D155" s="200">
        <v>44258</v>
      </c>
      <c r="E155" s="199" t="s">
        <v>8753</v>
      </c>
      <c r="I155" s="198">
        <v>5.51</v>
      </c>
      <c r="K155" s="198">
        <v>62018.69</v>
      </c>
    </row>
    <row r="156" spans="3:11" x14ac:dyDescent="0.2">
      <c r="C156" s="201" t="s">
        <v>8752</v>
      </c>
      <c r="D156" s="200">
        <v>44258</v>
      </c>
      <c r="E156" s="199" t="s">
        <v>8751</v>
      </c>
      <c r="I156" s="198">
        <v>12.86</v>
      </c>
      <c r="K156" s="198">
        <v>62031.55</v>
      </c>
    </row>
    <row r="157" spans="3:11" x14ac:dyDescent="0.2">
      <c r="C157" s="201" t="s">
        <v>8750</v>
      </c>
      <c r="D157" s="200">
        <v>44258</v>
      </c>
      <c r="E157" s="199" t="s">
        <v>8749</v>
      </c>
      <c r="I157" s="198">
        <v>2.95</v>
      </c>
      <c r="K157" s="198">
        <v>62034.5</v>
      </c>
    </row>
    <row r="158" spans="3:11" x14ac:dyDescent="0.2">
      <c r="C158" s="201" t="s">
        <v>8748</v>
      </c>
      <c r="D158" s="200">
        <v>44258</v>
      </c>
      <c r="E158" s="199" t="s">
        <v>8747</v>
      </c>
      <c r="I158" s="198">
        <v>18.79</v>
      </c>
      <c r="K158" s="198">
        <v>62053.29</v>
      </c>
    </row>
    <row r="159" spans="3:11" x14ac:dyDescent="0.2">
      <c r="C159" s="201" t="s">
        <v>8746</v>
      </c>
      <c r="D159" s="200">
        <v>44258</v>
      </c>
      <c r="E159" s="199" t="s">
        <v>8745</v>
      </c>
      <c r="I159" s="198">
        <v>29.14</v>
      </c>
      <c r="K159" s="198">
        <v>62082.43</v>
      </c>
    </row>
    <row r="160" spans="3:11" x14ac:dyDescent="0.2">
      <c r="C160" s="201" t="s">
        <v>8744</v>
      </c>
      <c r="D160" s="200">
        <v>44258</v>
      </c>
      <c r="E160" s="199" t="s">
        <v>8743</v>
      </c>
      <c r="I160" s="198">
        <v>6.94</v>
      </c>
      <c r="K160" s="198">
        <v>62089.37</v>
      </c>
    </row>
    <row r="161" spans="3:11" x14ac:dyDescent="0.2">
      <c r="C161" s="201" t="s">
        <v>8742</v>
      </c>
      <c r="D161" s="200">
        <v>44258</v>
      </c>
      <c r="E161" s="199" t="s">
        <v>8741</v>
      </c>
      <c r="I161" s="198">
        <v>20.190000000000001</v>
      </c>
      <c r="K161" s="198">
        <v>62109.56</v>
      </c>
    </row>
    <row r="162" spans="3:11" x14ac:dyDescent="0.2">
      <c r="C162" s="201" t="s">
        <v>8740</v>
      </c>
      <c r="D162" s="200">
        <v>44258</v>
      </c>
      <c r="E162" s="199" t="s">
        <v>8739</v>
      </c>
      <c r="I162" s="198">
        <v>9.1999999999999993</v>
      </c>
      <c r="K162" s="198">
        <v>62118.76</v>
      </c>
    </row>
    <row r="163" spans="3:11" x14ac:dyDescent="0.2">
      <c r="C163" s="201" t="s">
        <v>8738</v>
      </c>
      <c r="D163" s="200">
        <v>44258</v>
      </c>
      <c r="E163" s="199" t="s">
        <v>8737</v>
      </c>
      <c r="I163" s="198">
        <v>7.28</v>
      </c>
      <c r="K163" s="198">
        <v>62126.04</v>
      </c>
    </row>
    <row r="164" spans="3:11" x14ac:dyDescent="0.2">
      <c r="C164" s="201" t="s">
        <v>8736</v>
      </c>
      <c r="D164" s="200">
        <v>44258</v>
      </c>
      <c r="E164" s="199" t="s">
        <v>8735</v>
      </c>
      <c r="I164" s="198">
        <v>6.94</v>
      </c>
      <c r="K164" s="198">
        <v>62132.98</v>
      </c>
    </row>
    <row r="165" spans="3:11" x14ac:dyDescent="0.2">
      <c r="C165" s="201" t="s">
        <v>8734</v>
      </c>
      <c r="D165" s="200">
        <v>44258</v>
      </c>
      <c r="E165" s="199" t="s">
        <v>8733</v>
      </c>
      <c r="I165" s="198">
        <v>2.2400000000000002</v>
      </c>
      <c r="K165" s="198">
        <v>62135.22</v>
      </c>
    </row>
    <row r="166" spans="3:11" x14ac:dyDescent="0.2">
      <c r="C166" s="201" t="s">
        <v>8732</v>
      </c>
      <c r="D166" s="200">
        <v>44258</v>
      </c>
      <c r="E166" s="199" t="s">
        <v>8731</v>
      </c>
      <c r="I166" s="198">
        <v>9.6999999999999993</v>
      </c>
      <c r="K166" s="198">
        <v>62144.92</v>
      </c>
    </row>
    <row r="167" spans="3:11" x14ac:dyDescent="0.2">
      <c r="C167" s="201" t="s">
        <v>8730</v>
      </c>
      <c r="D167" s="200">
        <v>44258</v>
      </c>
      <c r="E167" s="199" t="s">
        <v>8729</v>
      </c>
      <c r="I167" s="198">
        <v>3.79</v>
      </c>
      <c r="K167" s="198">
        <v>62148.71</v>
      </c>
    </row>
    <row r="168" spans="3:11" x14ac:dyDescent="0.2">
      <c r="C168" s="201" t="s">
        <v>8728</v>
      </c>
      <c r="D168" s="200">
        <v>44258</v>
      </c>
      <c r="E168" s="199" t="s">
        <v>8727</v>
      </c>
      <c r="I168" s="198">
        <v>3.86</v>
      </c>
      <c r="K168" s="198">
        <v>62152.57</v>
      </c>
    </row>
    <row r="169" spans="3:11" x14ac:dyDescent="0.2">
      <c r="C169" s="201" t="s">
        <v>8726</v>
      </c>
      <c r="D169" s="200">
        <v>44258</v>
      </c>
      <c r="E169" s="199" t="s">
        <v>8725</v>
      </c>
      <c r="I169" s="198">
        <v>1.74</v>
      </c>
      <c r="K169" s="198">
        <v>62154.31</v>
      </c>
    </row>
    <row r="170" spans="3:11" x14ac:dyDescent="0.2">
      <c r="C170" s="201" t="s">
        <v>8724</v>
      </c>
      <c r="D170" s="200">
        <v>44258</v>
      </c>
      <c r="E170" s="199" t="s">
        <v>8723</v>
      </c>
      <c r="I170" s="198">
        <v>7.87</v>
      </c>
      <c r="K170" s="198">
        <v>62162.18</v>
      </c>
    </row>
    <row r="171" spans="3:11" x14ac:dyDescent="0.2">
      <c r="C171" s="201" t="s">
        <v>8722</v>
      </c>
      <c r="D171" s="200">
        <v>44258</v>
      </c>
      <c r="E171" s="199" t="s">
        <v>8721</v>
      </c>
      <c r="I171" s="198">
        <v>1.68</v>
      </c>
      <c r="K171" s="198">
        <v>62163.86</v>
      </c>
    </row>
    <row r="172" spans="3:11" x14ac:dyDescent="0.2">
      <c r="C172" s="201" t="s">
        <v>8720</v>
      </c>
      <c r="D172" s="200">
        <v>44258</v>
      </c>
      <c r="E172" s="199" t="s">
        <v>8719</v>
      </c>
      <c r="I172" s="198">
        <v>15</v>
      </c>
      <c r="K172" s="198">
        <v>62178.86</v>
      </c>
    </row>
    <row r="173" spans="3:11" x14ac:dyDescent="0.2">
      <c r="C173" s="201" t="s">
        <v>8718</v>
      </c>
      <c r="D173" s="200">
        <v>44258</v>
      </c>
      <c r="E173" s="199" t="s">
        <v>8717</v>
      </c>
      <c r="I173" s="198">
        <v>4.1900000000000004</v>
      </c>
      <c r="K173" s="198">
        <v>62183.05</v>
      </c>
    </row>
    <row r="174" spans="3:11" x14ac:dyDescent="0.2">
      <c r="C174" s="201" t="s">
        <v>8716</v>
      </c>
      <c r="D174" s="200">
        <v>44258</v>
      </c>
      <c r="E174" s="199" t="s">
        <v>8715</v>
      </c>
      <c r="I174" s="198">
        <v>2.33</v>
      </c>
      <c r="K174" s="198">
        <v>62185.38</v>
      </c>
    </row>
    <row r="175" spans="3:11" x14ac:dyDescent="0.2">
      <c r="C175" s="201" t="s">
        <v>8714</v>
      </c>
      <c r="D175" s="200">
        <v>44258</v>
      </c>
      <c r="E175" s="199" t="s">
        <v>8713</v>
      </c>
      <c r="I175" s="198">
        <v>3.4</v>
      </c>
      <c r="K175" s="198">
        <v>62188.78</v>
      </c>
    </row>
    <row r="176" spans="3:11" x14ac:dyDescent="0.2">
      <c r="C176" s="201" t="s">
        <v>8712</v>
      </c>
      <c r="D176" s="200">
        <v>44258</v>
      </c>
      <c r="E176" s="199" t="s">
        <v>8711</v>
      </c>
      <c r="I176" s="198">
        <v>5.32</v>
      </c>
      <c r="K176" s="198">
        <v>62194.1</v>
      </c>
    </row>
    <row r="177" spans="3:11" x14ac:dyDescent="0.2">
      <c r="C177" s="201" t="s">
        <v>8710</v>
      </c>
      <c r="D177" s="200">
        <v>44258</v>
      </c>
      <c r="E177" s="199" t="s">
        <v>8709</v>
      </c>
      <c r="I177" s="198">
        <v>13.68</v>
      </c>
      <c r="K177" s="198">
        <v>62207.78</v>
      </c>
    </row>
    <row r="178" spans="3:11" x14ac:dyDescent="0.2">
      <c r="C178" s="201" t="s">
        <v>8708</v>
      </c>
      <c r="D178" s="200">
        <v>44258</v>
      </c>
      <c r="E178" s="199" t="s">
        <v>8707</v>
      </c>
      <c r="I178" s="198">
        <v>23.64</v>
      </c>
      <c r="K178" s="198">
        <v>62231.42</v>
      </c>
    </row>
    <row r="179" spans="3:11" x14ac:dyDescent="0.2">
      <c r="C179" s="201" t="s">
        <v>8706</v>
      </c>
      <c r="D179" s="200">
        <v>44258</v>
      </c>
      <c r="E179" s="199" t="s">
        <v>8705</v>
      </c>
      <c r="I179" s="198">
        <v>1.76</v>
      </c>
      <c r="K179" s="198">
        <v>62233.18</v>
      </c>
    </row>
    <row r="180" spans="3:11" x14ac:dyDescent="0.2">
      <c r="C180" s="201" t="s">
        <v>8704</v>
      </c>
      <c r="D180" s="200">
        <v>44258</v>
      </c>
      <c r="E180" s="199" t="s">
        <v>8703</v>
      </c>
      <c r="I180" s="198">
        <v>13.28</v>
      </c>
      <c r="K180" s="198">
        <v>62246.46</v>
      </c>
    </row>
    <row r="181" spans="3:11" x14ac:dyDescent="0.2">
      <c r="C181" s="201" t="s">
        <v>8702</v>
      </c>
      <c r="D181" s="200">
        <v>44258</v>
      </c>
      <c r="E181" s="199" t="s">
        <v>8701</v>
      </c>
      <c r="I181" s="198">
        <v>4.28</v>
      </c>
      <c r="K181" s="198">
        <v>62250.74</v>
      </c>
    </row>
    <row r="182" spans="3:11" x14ac:dyDescent="0.2">
      <c r="C182" s="201" t="s">
        <v>8700</v>
      </c>
      <c r="D182" s="200">
        <v>44258</v>
      </c>
      <c r="E182" s="199" t="s">
        <v>8699</v>
      </c>
      <c r="I182" s="198">
        <v>3.89</v>
      </c>
      <c r="K182" s="198">
        <v>62254.63</v>
      </c>
    </row>
    <row r="183" spans="3:11" x14ac:dyDescent="0.2">
      <c r="C183" s="201" t="s">
        <v>8698</v>
      </c>
      <c r="D183" s="200">
        <v>44258</v>
      </c>
      <c r="E183" s="199" t="s">
        <v>8697</v>
      </c>
      <c r="I183" s="198">
        <v>7.19</v>
      </c>
      <c r="K183" s="198">
        <v>62261.82</v>
      </c>
    </row>
    <row r="184" spans="3:11" x14ac:dyDescent="0.2">
      <c r="C184" s="201" t="s">
        <v>8696</v>
      </c>
      <c r="D184" s="200">
        <v>44258</v>
      </c>
      <c r="E184" s="199" t="s">
        <v>8695</v>
      </c>
      <c r="I184" s="198">
        <v>39.6</v>
      </c>
      <c r="K184" s="198">
        <v>62301.42</v>
      </c>
    </row>
    <row r="185" spans="3:11" x14ac:dyDescent="0.2">
      <c r="C185" s="201" t="s">
        <v>8694</v>
      </c>
      <c r="D185" s="200">
        <v>44258</v>
      </c>
      <c r="E185" s="199" t="s">
        <v>8693</v>
      </c>
      <c r="I185" s="198">
        <v>5.03</v>
      </c>
      <c r="K185" s="198">
        <v>62306.45</v>
      </c>
    </row>
    <row r="186" spans="3:11" x14ac:dyDescent="0.2">
      <c r="C186" s="201" t="s">
        <v>8692</v>
      </c>
      <c r="D186" s="200">
        <v>44258</v>
      </c>
      <c r="E186" s="199" t="s">
        <v>8691</v>
      </c>
      <c r="I186" s="198">
        <v>8.3800000000000008</v>
      </c>
      <c r="K186" s="198">
        <v>62314.83</v>
      </c>
    </row>
    <row r="187" spans="3:11" x14ac:dyDescent="0.2">
      <c r="C187" s="201" t="s">
        <v>8690</v>
      </c>
      <c r="D187" s="200">
        <v>44258</v>
      </c>
      <c r="E187" s="199" t="s">
        <v>8689</v>
      </c>
      <c r="I187" s="198">
        <v>1.68</v>
      </c>
      <c r="K187" s="198">
        <v>62316.51</v>
      </c>
    </row>
    <row r="188" spans="3:11" x14ac:dyDescent="0.2">
      <c r="C188" s="201" t="s">
        <v>8688</v>
      </c>
      <c r="D188" s="200">
        <v>44258</v>
      </c>
      <c r="E188" s="199" t="s">
        <v>8687</v>
      </c>
      <c r="I188" s="198">
        <v>5.04</v>
      </c>
      <c r="K188" s="198">
        <v>62321.55</v>
      </c>
    </row>
    <row r="189" spans="3:11" x14ac:dyDescent="0.2">
      <c r="C189" s="201" t="s">
        <v>8686</v>
      </c>
      <c r="D189" s="200">
        <v>44258</v>
      </c>
      <c r="E189" s="199" t="s">
        <v>8685</v>
      </c>
      <c r="I189" s="198">
        <v>3.88</v>
      </c>
      <c r="K189" s="198">
        <v>62325.43</v>
      </c>
    </row>
    <row r="190" spans="3:11" x14ac:dyDescent="0.2">
      <c r="C190" s="201" t="s">
        <v>8684</v>
      </c>
      <c r="D190" s="200">
        <v>44259</v>
      </c>
      <c r="E190" s="199" t="s">
        <v>8683</v>
      </c>
      <c r="I190" s="198">
        <v>17.850000000000001</v>
      </c>
      <c r="K190" s="198">
        <v>62343.28</v>
      </c>
    </row>
    <row r="191" spans="3:11" x14ac:dyDescent="0.2">
      <c r="C191" s="201" t="s">
        <v>8682</v>
      </c>
      <c r="D191" s="200">
        <v>44259</v>
      </c>
      <c r="E191" s="199" t="s">
        <v>8681</v>
      </c>
      <c r="I191" s="198">
        <v>10.48</v>
      </c>
      <c r="K191" s="198">
        <v>62353.760000000002</v>
      </c>
    </row>
    <row r="192" spans="3:11" x14ac:dyDescent="0.2">
      <c r="C192" s="201" t="s">
        <v>8680</v>
      </c>
      <c r="D192" s="200">
        <v>44259</v>
      </c>
      <c r="E192" s="199" t="s">
        <v>8679</v>
      </c>
      <c r="I192" s="198">
        <v>15.84</v>
      </c>
      <c r="K192" s="198">
        <v>62369.599999999999</v>
      </c>
    </row>
    <row r="193" spans="3:11" x14ac:dyDescent="0.2">
      <c r="C193" s="201" t="s">
        <v>8678</v>
      </c>
      <c r="D193" s="200">
        <v>44259</v>
      </c>
      <c r="E193" s="199" t="s">
        <v>8677</v>
      </c>
      <c r="I193" s="198">
        <v>1.68</v>
      </c>
      <c r="K193" s="198">
        <v>62371.28</v>
      </c>
    </row>
    <row r="194" spans="3:11" x14ac:dyDescent="0.2">
      <c r="C194" s="201" t="s">
        <v>8676</v>
      </c>
      <c r="D194" s="200">
        <v>44259</v>
      </c>
      <c r="E194" s="199" t="s">
        <v>8675</v>
      </c>
      <c r="I194" s="198">
        <v>10.7</v>
      </c>
      <c r="K194" s="198">
        <v>62381.98</v>
      </c>
    </row>
    <row r="195" spans="3:11" x14ac:dyDescent="0.2">
      <c r="C195" s="201" t="s">
        <v>8674</v>
      </c>
      <c r="D195" s="200">
        <v>44259</v>
      </c>
      <c r="E195" s="199" t="s">
        <v>8673</v>
      </c>
      <c r="I195" s="198">
        <v>7.78</v>
      </c>
      <c r="K195" s="198">
        <v>62389.760000000002</v>
      </c>
    </row>
    <row r="196" spans="3:11" x14ac:dyDescent="0.2">
      <c r="C196" s="201" t="s">
        <v>8672</v>
      </c>
      <c r="D196" s="200">
        <v>44259</v>
      </c>
      <c r="E196" s="199" t="s">
        <v>8671</v>
      </c>
      <c r="I196" s="198">
        <v>5.91</v>
      </c>
      <c r="K196" s="198">
        <v>62395.67</v>
      </c>
    </row>
    <row r="197" spans="3:11" x14ac:dyDescent="0.2">
      <c r="C197" s="201" t="s">
        <v>8670</v>
      </c>
      <c r="D197" s="200">
        <v>44259</v>
      </c>
      <c r="E197" s="199" t="s">
        <v>8669</v>
      </c>
      <c r="I197" s="198">
        <v>14.1</v>
      </c>
      <c r="K197" s="198">
        <v>62409.77</v>
      </c>
    </row>
    <row r="198" spans="3:11" x14ac:dyDescent="0.2">
      <c r="C198" s="201" t="s">
        <v>8668</v>
      </c>
      <c r="D198" s="200">
        <v>44259</v>
      </c>
      <c r="E198" s="199" t="s">
        <v>8667</v>
      </c>
      <c r="I198" s="198">
        <v>12.06</v>
      </c>
      <c r="K198" s="198">
        <v>62421.83</v>
      </c>
    </row>
    <row r="199" spans="3:11" x14ac:dyDescent="0.2">
      <c r="C199" s="201" t="s">
        <v>8666</v>
      </c>
      <c r="D199" s="200">
        <v>44259</v>
      </c>
      <c r="E199" s="199" t="s">
        <v>8665</v>
      </c>
      <c r="I199" s="198">
        <v>6.44</v>
      </c>
      <c r="K199" s="198">
        <v>62428.27</v>
      </c>
    </row>
    <row r="200" spans="3:11" x14ac:dyDescent="0.2">
      <c r="C200" s="201" t="s">
        <v>8664</v>
      </c>
      <c r="D200" s="200">
        <v>44259</v>
      </c>
      <c r="E200" s="199" t="s">
        <v>8663</v>
      </c>
      <c r="I200" s="198">
        <v>12.48</v>
      </c>
      <c r="K200" s="198">
        <v>62440.75</v>
      </c>
    </row>
    <row r="201" spans="3:11" x14ac:dyDescent="0.2">
      <c r="C201" s="201" t="s">
        <v>8662</v>
      </c>
      <c r="D201" s="200">
        <v>44259</v>
      </c>
      <c r="E201" s="199" t="s">
        <v>8661</v>
      </c>
      <c r="I201" s="198">
        <v>4.47</v>
      </c>
      <c r="K201" s="198">
        <v>62445.22</v>
      </c>
    </row>
    <row r="202" spans="3:11" x14ac:dyDescent="0.2">
      <c r="C202" s="201" t="s">
        <v>8660</v>
      </c>
      <c r="D202" s="200">
        <v>44259</v>
      </c>
      <c r="E202" s="199" t="s">
        <v>8659</v>
      </c>
      <c r="I202" s="198">
        <v>10.48</v>
      </c>
      <c r="K202" s="198">
        <v>62455.7</v>
      </c>
    </row>
    <row r="203" spans="3:11" x14ac:dyDescent="0.2">
      <c r="C203" s="201" t="s">
        <v>8658</v>
      </c>
      <c r="D203" s="200">
        <v>44259</v>
      </c>
      <c r="E203" s="199" t="s">
        <v>8657</v>
      </c>
      <c r="I203" s="198">
        <v>2.41</v>
      </c>
      <c r="K203" s="198">
        <v>62458.11</v>
      </c>
    </row>
    <row r="204" spans="3:11" x14ac:dyDescent="0.2">
      <c r="C204" s="201" t="s">
        <v>8656</v>
      </c>
      <c r="D204" s="200">
        <v>44259</v>
      </c>
      <c r="E204" s="199" t="s">
        <v>8655</v>
      </c>
      <c r="I204" s="198">
        <v>61.2</v>
      </c>
      <c r="K204" s="198">
        <v>62519.31</v>
      </c>
    </row>
    <row r="205" spans="3:11" x14ac:dyDescent="0.2">
      <c r="C205" s="201" t="s">
        <v>8654</v>
      </c>
      <c r="D205" s="200">
        <v>44259</v>
      </c>
      <c r="E205" s="199" t="s">
        <v>8653</v>
      </c>
      <c r="I205" s="198">
        <v>2.68</v>
      </c>
      <c r="K205" s="198">
        <v>62521.99</v>
      </c>
    </row>
    <row r="206" spans="3:11" x14ac:dyDescent="0.2">
      <c r="C206" s="201" t="s">
        <v>8652</v>
      </c>
      <c r="D206" s="200">
        <v>44259</v>
      </c>
      <c r="E206" s="199" t="s">
        <v>8651</v>
      </c>
      <c r="I206" s="198">
        <v>3.53</v>
      </c>
      <c r="K206" s="198">
        <v>62525.52</v>
      </c>
    </row>
    <row r="207" spans="3:11" x14ac:dyDescent="0.2">
      <c r="C207" s="201" t="s">
        <v>8650</v>
      </c>
      <c r="D207" s="200">
        <v>44259</v>
      </c>
      <c r="E207" s="199" t="s">
        <v>8649</v>
      </c>
      <c r="I207" s="198">
        <v>1.69</v>
      </c>
      <c r="K207" s="198">
        <v>62527.21</v>
      </c>
    </row>
    <row r="208" spans="3:11" x14ac:dyDescent="0.2">
      <c r="C208" s="201" t="s">
        <v>8648</v>
      </c>
      <c r="D208" s="200">
        <v>44259</v>
      </c>
      <c r="E208" s="199" t="s">
        <v>8647</v>
      </c>
      <c r="I208" s="198">
        <v>8.3800000000000008</v>
      </c>
      <c r="K208" s="198">
        <v>62535.59</v>
      </c>
    </row>
    <row r="209" spans="3:11" x14ac:dyDescent="0.2">
      <c r="C209" s="201" t="s">
        <v>8646</v>
      </c>
      <c r="D209" s="200">
        <v>44259</v>
      </c>
      <c r="E209" s="199" t="s">
        <v>8645</v>
      </c>
      <c r="I209" s="198">
        <v>32.450000000000003</v>
      </c>
      <c r="K209" s="198">
        <v>62568.04</v>
      </c>
    </row>
    <row r="210" spans="3:11" x14ac:dyDescent="0.2">
      <c r="C210" s="201" t="s">
        <v>8644</v>
      </c>
      <c r="D210" s="200">
        <v>44259</v>
      </c>
      <c r="E210" s="199" t="s">
        <v>8643</v>
      </c>
      <c r="I210" s="198">
        <v>8.11</v>
      </c>
      <c r="K210" s="198">
        <v>62576.15</v>
      </c>
    </row>
    <row r="211" spans="3:11" x14ac:dyDescent="0.2">
      <c r="C211" s="201" t="s">
        <v>8642</v>
      </c>
      <c r="D211" s="200">
        <v>44259</v>
      </c>
      <c r="E211" s="199" t="s">
        <v>8641</v>
      </c>
      <c r="I211" s="198">
        <v>3.36</v>
      </c>
      <c r="K211" s="198">
        <v>62579.51</v>
      </c>
    </row>
    <row r="212" spans="3:11" x14ac:dyDescent="0.2">
      <c r="C212" s="201" t="s">
        <v>8640</v>
      </c>
      <c r="D212" s="200">
        <v>44259</v>
      </c>
      <c r="E212" s="199" t="s">
        <v>8639</v>
      </c>
      <c r="I212" s="198">
        <v>4.74</v>
      </c>
      <c r="K212" s="198">
        <v>62584.25</v>
      </c>
    </row>
    <row r="213" spans="3:11" x14ac:dyDescent="0.2">
      <c r="C213" s="201" t="s">
        <v>8638</v>
      </c>
      <c r="D213" s="200">
        <v>44259</v>
      </c>
      <c r="E213" s="199" t="s">
        <v>8637</v>
      </c>
      <c r="I213" s="198">
        <v>2.72</v>
      </c>
      <c r="K213" s="198">
        <v>62586.97</v>
      </c>
    </row>
    <row r="214" spans="3:11" x14ac:dyDescent="0.2">
      <c r="C214" s="201" t="s">
        <v>8636</v>
      </c>
      <c r="D214" s="200">
        <v>44259</v>
      </c>
      <c r="E214" s="199" t="s">
        <v>8635</v>
      </c>
      <c r="I214" s="198">
        <v>9.06</v>
      </c>
      <c r="K214" s="198">
        <v>62596.03</v>
      </c>
    </row>
    <row r="215" spans="3:11" x14ac:dyDescent="0.2">
      <c r="C215" s="201" t="s">
        <v>8634</v>
      </c>
      <c r="D215" s="200">
        <v>44259</v>
      </c>
      <c r="E215" s="199" t="s">
        <v>8633</v>
      </c>
      <c r="I215" s="198">
        <v>6.23</v>
      </c>
      <c r="K215" s="198">
        <v>62602.26</v>
      </c>
    </row>
    <row r="216" spans="3:11" x14ac:dyDescent="0.2">
      <c r="C216" s="201" t="s">
        <v>8632</v>
      </c>
      <c r="D216" s="200">
        <v>44259</v>
      </c>
      <c r="E216" s="199" t="s">
        <v>8631</v>
      </c>
      <c r="I216" s="198">
        <v>3.12</v>
      </c>
      <c r="K216" s="198">
        <v>62605.38</v>
      </c>
    </row>
    <row r="217" spans="3:11" x14ac:dyDescent="0.2">
      <c r="C217" s="201" t="s">
        <v>8630</v>
      </c>
      <c r="D217" s="200">
        <v>44259</v>
      </c>
      <c r="E217" s="199" t="s">
        <v>8629</v>
      </c>
      <c r="I217" s="198">
        <v>3.36</v>
      </c>
      <c r="K217" s="198">
        <v>62608.74</v>
      </c>
    </row>
    <row r="218" spans="3:11" x14ac:dyDescent="0.2">
      <c r="C218" s="201" t="s">
        <v>8628</v>
      </c>
      <c r="D218" s="200">
        <v>44259</v>
      </c>
      <c r="E218" s="199" t="s">
        <v>8627</v>
      </c>
      <c r="I218" s="198">
        <v>9.8000000000000007</v>
      </c>
      <c r="K218" s="198">
        <v>62618.54</v>
      </c>
    </row>
    <row r="219" spans="3:11" x14ac:dyDescent="0.2">
      <c r="C219" s="201" t="s">
        <v>8626</v>
      </c>
      <c r="D219" s="200">
        <v>44259</v>
      </c>
      <c r="E219" s="199" t="s">
        <v>8625</v>
      </c>
      <c r="I219" s="198">
        <v>3.62</v>
      </c>
      <c r="K219" s="198">
        <v>62622.16</v>
      </c>
    </row>
    <row r="220" spans="3:11" x14ac:dyDescent="0.2">
      <c r="C220" s="201" t="s">
        <v>8624</v>
      </c>
      <c r="D220" s="200">
        <v>44259</v>
      </c>
      <c r="E220" s="199" t="s">
        <v>8623</v>
      </c>
      <c r="I220" s="198">
        <v>4.3099999999999996</v>
      </c>
      <c r="K220" s="198">
        <v>62626.47</v>
      </c>
    </row>
    <row r="221" spans="3:11" x14ac:dyDescent="0.2">
      <c r="C221" s="201" t="s">
        <v>8622</v>
      </c>
      <c r="D221" s="200">
        <v>44259</v>
      </c>
      <c r="E221" s="199" t="s">
        <v>8621</v>
      </c>
      <c r="I221" s="198">
        <v>11.08</v>
      </c>
      <c r="K221" s="198">
        <v>62637.55</v>
      </c>
    </row>
    <row r="222" spans="3:11" x14ac:dyDescent="0.2">
      <c r="C222" s="201" t="s">
        <v>8620</v>
      </c>
      <c r="D222" s="200">
        <v>44259</v>
      </c>
      <c r="E222" s="199" t="s">
        <v>8619</v>
      </c>
      <c r="I222" s="198">
        <v>1.8</v>
      </c>
      <c r="K222" s="198">
        <v>62639.35</v>
      </c>
    </row>
    <row r="223" spans="3:11" x14ac:dyDescent="0.2">
      <c r="C223" s="201" t="s">
        <v>8618</v>
      </c>
      <c r="D223" s="200">
        <v>44259</v>
      </c>
      <c r="E223" s="199" t="s">
        <v>8617</v>
      </c>
      <c r="I223" s="198">
        <v>2.83</v>
      </c>
      <c r="K223" s="198">
        <v>62642.18</v>
      </c>
    </row>
    <row r="224" spans="3:11" x14ac:dyDescent="0.2">
      <c r="C224" s="201" t="s">
        <v>8616</v>
      </c>
      <c r="D224" s="200">
        <v>44259</v>
      </c>
      <c r="E224" s="199" t="s">
        <v>8615</v>
      </c>
      <c r="I224" s="198">
        <v>18.03</v>
      </c>
      <c r="K224" s="198">
        <v>62660.21</v>
      </c>
    </row>
    <row r="225" spans="3:11" x14ac:dyDescent="0.2">
      <c r="C225" s="201" t="s">
        <v>8614</v>
      </c>
      <c r="D225" s="200">
        <v>44259</v>
      </c>
      <c r="E225" s="199" t="s">
        <v>8613</v>
      </c>
      <c r="I225" s="198">
        <v>0.96</v>
      </c>
      <c r="K225" s="198">
        <v>62661.17</v>
      </c>
    </row>
    <row r="226" spans="3:11" x14ac:dyDescent="0.2">
      <c r="C226" s="201" t="s">
        <v>8612</v>
      </c>
      <c r="D226" s="200">
        <v>44259</v>
      </c>
      <c r="E226" s="199" t="s">
        <v>8611</v>
      </c>
      <c r="I226" s="198">
        <v>3.63</v>
      </c>
      <c r="K226" s="198">
        <v>62664.800000000003</v>
      </c>
    </row>
    <row r="227" spans="3:11" x14ac:dyDescent="0.2">
      <c r="C227" s="201" t="s">
        <v>8610</v>
      </c>
      <c r="D227" s="200">
        <v>44259</v>
      </c>
      <c r="E227" s="199" t="s">
        <v>8609</v>
      </c>
      <c r="I227" s="198">
        <v>3.65</v>
      </c>
      <c r="K227" s="198">
        <v>62668.45</v>
      </c>
    </row>
    <row r="228" spans="3:11" x14ac:dyDescent="0.2">
      <c r="C228" s="201" t="s">
        <v>8608</v>
      </c>
      <c r="D228" s="200">
        <v>44259</v>
      </c>
      <c r="E228" s="199" t="s">
        <v>8607</v>
      </c>
      <c r="I228" s="198">
        <v>2963.32</v>
      </c>
      <c r="K228" s="198">
        <v>65631.77</v>
      </c>
    </row>
    <row r="229" spans="3:11" x14ac:dyDescent="0.2">
      <c r="C229" s="201" t="s">
        <v>8606</v>
      </c>
      <c r="D229" s="200">
        <v>44259</v>
      </c>
      <c r="E229" s="199" t="s">
        <v>8605</v>
      </c>
      <c r="I229" s="198">
        <v>6.45</v>
      </c>
      <c r="K229" s="198">
        <v>65638.22</v>
      </c>
    </row>
    <row r="230" spans="3:11" x14ac:dyDescent="0.2">
      <c r="C230" s="201" t="s">
        <v>1532</v>
      </c>
      <c r="D230" s="200">
        <v>44259</v>
      </c>
      <c r="E230" s="199" t="s">
        <v>8604</v>
      </c>
      <c r="I230" s="198">
        <v>582.63</v>
      </c>
      <c r="K230" s="198">
        <v>66220.850000000006</v>
      </c>
    </row>
    <row r="231" spans="3:11" x14ac:dyDescent="0.2">
      <c r="C231" s="201" t="s">
        <v>7217</v>
      </c>
      <c r="D231" s="200">
        <v>44259</v>
      </c>
      <c r="E231" s="199" t="s">
        <v>8603</v>
      </c>
      <c r="I231" s="198">
        <v>89.66</v>
      </c>
      <c r="K231" s="198">
        <v>66310.509999999995</v>
      </c>
    </row>
    <row r="232" spans="3:11" x14ac:dyDescent="0.2">
      <c r="C232" s="201" t="s">
        <v>8602</v>
      </c>
      <c r="D232" s="200">
        <v>44260</v>
      </c>
      <c r="E232" s="199" t="s">
        <v>8601</v>
      </c>
      <c r="I232" s="198">
        <v>2.2400000000000002</v>
      </c>
      <c r="K232" s="198">
        <v>66312.75</v>
      </c>
    </row>
    <row r="233" spans="3:11" x14ac:dyDescent="0.2">
      <c r="C233" s="201" t="s">
        <v>8600</v>
      </c>
      <c r="D233" s="200">
        <v>44260</v>
      </c>
      <c r="E233" s="199" t="s">
        <v>8599</v>
      </c>
      <c r="I233" s="198">
        <v>234.41</v>
      </c>
      <c r="K233" s="198">
        <v>66547.16</v>
      </c>
    </row>
    <row r="234" spans="3:11" x14ac:dyDescent="0.2">
      <c r="C234" s="201" t="s">
        <v>8598</v>
      </c>
      <c r="D234" s="200">
        <v>44260</v>
      </c>
      <c r="E234" s="199" t="s">
        <v>8597</v>
      </c>
      <c r="I234" s="198">
        <v>4.42</v>
      </c>
      <c r="K234" s="198">
        <v>66551.58</v>
      </c>
    </row>
    <row r="235" spans="3:11" x14ac:dyDescent="0.2">
      <c r="C235" s="201" t="s">
        <v>8596</v>
      </c>
      <c r="D235" s="200">
        <v>44260</v>
      </c>
      <c r="E235" s="199" t="s">
        <v>8595</v>
      </c>
      <c r="I235" s="198">
        <v>2.54</v>
      </c>
      <c r="K235" s="198">
        <v>66554.12</v>
      </c>
    </row>
    <row r="236" spans="3:11" x14ac:dyDescent="0.2">
      <c r="C236" s="201" t="s">
        <v>8594</v>
      </c>
      <c r="D236" s="200">
        <v>44260</v>
      </c>
      <c r="E236" s="199" t="s">
        <v>8593</v>
      </c>
      <c r="I236" s="198">
        <v>9.0500000000000007</v>
      </c>
      <c r="K236" s="198">
        <v>66563.17</v>
      </c>
    </row>
    <row r="237" spans="3:11" x14ac:dyDescent="0.2">
      <c r="C237" s="201" t="s">
        <v>8592</v>
      </c>
      <c r="D237" s="200">
        <v>44260</v>
      </c>
      <c r="E237" s="199" t="s">
        <v>8591</v>
      </c>
      <c r="I237" s="198">
        <v>7.49</v>
      </c>
      <c r="K237" s="198">
        <v>66570.66</v>
      </c>
    </row>
    <row r="238" spans="3:11" x14ac:dyDescent="0.2">
      <c r="C238" s="201" t="s">
        <v>8590</v>
      </c>
      <c r="D238" s="200">
        <v>44260</v>
      </c>
      <c r="E238" s="199" t="s">
        <v>8589</v>
      </c>
      <c r="I238" s="198">
        <v>1.68</v>
      </c>
      <c r="K238" s="198">
        <v>66572.34</v>
      </c>
    </row>
    <row r="239" spans="3:11" x14ac:dyDescent="0.2">
      <c r="C239" s="201" t="s">
        <v>8588</v>
      </c>
      <c r="D239" s="200">
        <v>44260</v>
      </c>
      <c r="E239" s="199" t="s">
        <v>8587</v>
      </c>
      <c r="I239" s="198">
        <v>11.41</v>
      </c>
      <c r="K239" s="198">
        <v>66583.75</v>
      </c>
    </row>
    <row r="240" spans="3:11" x14ac:dyDescent="0.2">
      <c r="C240" s="201" t="s">
        <v>8586</v>
      </c>
      <c r="D240" s="200">
        <v>44260</v>
      </c>
      <c r="E240" s="199" t="s">
        <v>8585</v>
      </c>
      <c r="I240" s="198">
        <v>1.7</v>
      </c>
      <c r="K240" s="198">
        <v>66585.45</v>
      </c>
    </row>
    <row r="241" spans="3:11" x14ac:dyDescent="0.2">
      <c r="C241" s="201" t="s">
        <v>8584</v>
      </c>
      <c r="D241" s="200">
        <v>44260</v>
      </c>
      <c r="E241" s="199" t="s">
        <v>8583</v>
      </c>
      <c r="I241" s="198">
        <v>16.760000000000002</v>
      </c>
      <c r="K241" s="198">
        <v>66602.210000000006</v>
      </c>
    </row>
    <row r="242" spans="3:11" x14ac:dyDescent="0.2">
      <c r="C242" s="201" t="s">
        <v>8582</v>
      </c>
      <c r="D242" s="200">
        <v>44260</v>
      </c>
      <c r="E242" s="199" t="s">
        <v>8581</v>
      </c>
      <c r="I242" s="198">
        <v>2.76</v>
      </c>
      <c r="K242" s="198">
        <v>66604.97</v>
      </c>
    </row>
    <row r="243" spans="3:11" x14ac:dyDescent="0.2">
      <c r="C243" s="201" t="s">
        <v>8580</v>
      </c>
      <c r="D243" s="200">
        <v>44260</v>
      </c>
      <c r="E243" s="199" t="s">
        <v>8579</v>
      </c>
      <c r="I243" s="198">
        <v>1.86</v>
      </c>
      <c r="K243" s="198">
        <v>66606.83</v>
      </c>
    </row>
    <row r="244" spans="3:11" x14ac:dyDescent="0.2">
      <c r="C244" s="201" t="s">
        <v>8578</v>
      </c>
      <c r="D244" s="200">
        <v>44260</v>
      </c>
      <c r="E244" s="199" t="s">
        <v>8577</v>
      </c>
      <c r="I244" s="198">
        <v>1.68</v>
      </c>
      <c r="K244" s="198">
        <v>66608.509999999995</v>
      </c>
    </row>
    <row r="245" spans="3:11" x14ac:dyDescent="0.2">
      <c r="C245" s="201" t="s">
        <v>8576</v>
      </c>
      <c r="D245" s="200">
        <v>44260</v>
      </c>
      <c r="E245" s="199" t="s">
        <v>8575</v>
      </c>
      <c r="I245" s="198">
        <v>11.24</v>
      </c>
      <c r="K245" s="198">
        <v>66619.75</v>
      </c>
    </row>
    <row r="246" spans="3:11" x14ac:dyDescent="0.2">
      <c r="C246" s="201" t="s">
        <v>8574</v>
      </c>
      <c r="D246" s="200">
        <v>44260</v>
      </c>
      <c r="E246" s="199" t="s">
        <v>8573</v>
      </c>
      <c r="I246" s="198">
        <v>2.52</v>
      </c>
      <c r="K246" s="198">
        <v>66622.27</v>
      </c>
    </row>
    <row r="247" spans="3:11" x14ac:dyDescent="0.2">
      <c r="C247" s="201" t="s">
        <v>8572</v>
      </c>
      <c r="D247" s="200">
        <v>44260</v>
      </c>
      <c r="E247" s="199" t="s">
        <v>8571</v>
      </c>
      <c r="I247" s="198">
        <v>3.29</v>
      </c>
      <c r="K247" s="198">
        <v>66625.56</v>
      </c>
    </row>
    <row r="248" spans="3:11" x14ac:dyDescent="0.2">
      <c r="C248" s="201" t="s">
        <v>8570</v>
      </c>
      <c r="D248" s="200">
        <v>44260</v>
      </c>
      <c r="E248" s="199" t="s">
        <v>8569</v>
      </c>
      <c r="I248" s="198">
        <v>3.32</v>
      </c>
      <c r="K248" s="198">
        <v>66628.88</v>
      </c>
    </row>
    <row r="249" spans="3:11" x14ac:dyDescent="0.2">
      <c r="C249" s="201" t="s">
        <v>8568</v>
      </c>
      <c r="D249" s="200">
        <v>44260</v>
      </c>
      <c r="E249" s="199" t="s">
        <v>8567</v>
      </c>
      <c r="I249" s="198">
        <v>8.23</v>
      </c>
      <c r="K249" s="198">
        <v>66637.11</v>
      </c>
    </row>
    <row r="250" spans="3:11" x14ac:dyDescent="0.2">
      <c r="C250" s="201" t="s">
        <v>8566</v>
      </c>
      <c r="D250" s="200">
        <v>44260</v>
      </c>
      <c r="E250" s="199" t="s">
        <v>8565</v>
      </c>
      <c r="I250" s="198">
        <v>1.9</v>
      </c>
      <c r="K250" s="198">
        <v>66639.009999999995</v>
      </c>
    </row>
    <row r="251" spans="3:11" x14ac:dyDescent="0.2">
      <c r="C251" s="201" t="s">
        <v>8564</v>
      </c>
      <c r="D251" s="200">
        <v>44260</v>
      </c>
      <c r="E251" s="199" t="s">
        <v>8563</v>
      </c>
      <c r="I251" s="198">
        <v>11.48</v>
      </c>
      <c r="K251" s="198">
        <v>66650.490000000005</v>
      </c>
    </row>
    <row r="252" spans="3:11" x14ac:dyDescent="0.2">
      <c r="C252" s="201" t="s">
        <v>8562</v>
      </c>
      <c r="D252" s="200">
        <v>44260</v>
      </c>
      <c r="E252" s="199" t="s">
        <v>8561</v>
      </c>
      <c r="I252" s="198">
        <v>3.88</v>
      </c>
      <c r="K252" s="198">
        <v>66654.37</v>
      </c>
    </row>
    <row r="253" spans="3:11" x14ac:dyDescent="0.2">
      <c r="C253" s="201" t="s">
        <v>8560</v>
      </c>
      <c r="D253" s="200">
        <v>44260</v>
      </c>
      <c r="E253" s="199" t="s">
        <v>8559</v>
      </c>
      <c r="I253" s="198">
        <v>1.68</v>
      </c>
      <c r="K253" s="198">
        <v>66656.05</v>
      </c>
    </row>
    <row r="254" spans="3:11" x14ac:dyDescent="0.2">
      <c r="C254" s="201" t="s">
        <v>8558</v>
      </c>
      <c r="D254" s="200">
        <v>44260</v>
      </c>
      <c r="E254" s="199" t="s">
        <v>8557</v>
      </c>
      <c r="I254" s="198">
        <v>2.96</v>
      </c>
      <c r="K254" s="198">
        <v>66659.009999999995</v>
      </c>
    </row>
    <row r="255" spans="3:11" x14ac:dyDescent="0.2">
      <c r="C255" s="201" t="s">
        <v>8556</v>
      </c>
      <c r="D255" s="200">
        <v>44260</v>
      </c>
      <c r="E255" s="199" t="s">
        <v>8555</v>
      </c>
      <c r="I255" s="198">
        <v>3.91</v>
      </c>
      <c r="K255" s="198">
        <v>66662.92</v>
      </c>
    </row>
    <row r="256" spans="3:11" x14ac:dyDescent="0.2">
      <c r="C256" s="201" t="s">
        <v>8554</v>
      </c>
      <c r="D256" s="200">
        <v>44260</v>
      </c>
      <c r="E256" s="199" t="s">
        <v>8553</v>
      </c>
      <c r="I256" s="198">
        <v>7.14</v>
      </c>
      <c r="K256" s="198">
        <v>66670.06</v>
      </c>
    </row>
    <row r="257" spans="3:11" x14ac:dyDescent="0.2">
      <c r="C257" s="201" t="s">
        <v>8552</v>
      </c>
      <c r="D257" s="200">
        <v>44260</v>
      </c>
      <c r="E257" s="199" t="s">
        <v>8551</v>
      </c>
      <c r="I257" s="198">
        <v>9.64</v>
      </c>
      <c r="K257" s="198">
        <v>66679.7</v>
      </c>
    </row>
    <row r="258" spans="3:11" x14ac:dyDescent="0.2">
      <c r="C258" s="201" t="s">
        <v>8550</v>
      </c>
      <c r="D258" s="200">
        <v>44260</v>
      </c>
      <c r="E258" s="199" t="s">
        <v>8549</v>
      </c>
      <c r="I258" s="198">
        <v>3.64</v>
      </c>
      <c r="K258" s="198">
        <v>66683.34</v>
      </c>
    </row>
    <row r="259" spans="3:11" x14ac:dyDescent="0.2">
      <c r="C259" s="201" t="s">
        <v>8548</v>
      </c>
      <c r="D259" s="200">
        <v>44260</v>
      </c>
      <c r="E259" s="199" t="s">
        <v>8547</v>
      </c>
      <c r="I259" s="198">
        <v>1.68</v>
      </c>
      <c r="K259" s="198">
        <v>66685.02</v>
      </c>
    </row>
    <row r="260" spans="3:11" x14ac:dyDescent="0.2">
      <c r="C260" s="201" t="s">
        <v>8546</v>
      </c>
      <c r="D260" s="200">
        <v>44260</v>
      </c>
      <c r="E260" s="199" t="s">
        <v>8545</v>
      </c>
      <c r="I260" s="198">
        <v>5.47</v>
      </c>
      <c r="K260" s="198">
        <v>66690.490000000005</v>
      </c>
    </row>
    <row r="261" spans="3:11" x14ac:dyDescent="0.2">
      <c r="C261" s="201" t="s">
        <v>8544</v>
      </c>
      <c r="D261" s="200">
        <v>44260</v>
      </c>
      <c r="E261" s="199" t="s">
        <v>8543</v>
      </c>
      <c r="I261" s="198">
        <v>8.1199999999999992</v>
      </c>
      <c r="K261" s="198">
        <v>66698.61</v>
      </c>
    </row>
    <row r="262" spans="3:11" x14ac:dyDescent="0.2">
      <c r="C262" s="201" t="s">
        <v>8542</v>
      </c>
      <c r="D262" s="200">
        <v>44260</v>
      </c>
      <c r="E262" s="199" t="s">
        <v>8541</v>
      </c>
      <c r="I262" s="198">
        <v>3.92</v>
      </c>
      <c r="K262" s="198">
        <v>66702.53</v>
      </c>
    </row>
    <row r="263" spans="3:11" x14ac:dyDescent="0.2">
      <c r="C263" s="201" t="s">
        <v>8540</v>
      </c>
      <c r="D263" s="200">
        <v>44260</v>
      </c>
      <c r="E263" s="199" t="s">
        <v>8539</v>
      </c>
      <c r="I263" s="198">
        <v>3.46</v>
      </c>
      <c r="K263" s="198">
        <v>66705.990000000005</v>
      </c>
    </row>
    <row r="264" spans="3:11" x14ac:dyDescent="0.2">
      <c r="C264" s="201" t="s">
        <v>8538</v>
      </c>
      <c r="D264" s="200">
        <v>44260</v>
      </c>
      <c r="E264" s="199" t="s">
        <v>8537</v>
      </c>
      <c r="I264" s="198">
        <v>5.9</v>
      </c>
      <c r="K264" s="198">
        <v>66711.89</v>
      </c>
    </row>
    <row r="265" spans="3:11" x14ac:dyDescent="0.2">
      <c r="C265" s="201" t="s">
        <v>8536</v>
      </c>
      <c r="D265" s="200">
        <v>44260</v>
      </c>
      <c r="E265" s="199" t="s">
        <v>8535</v>
      </c>
      <c r="I265" s="198">
        <v>19.04</v>
      </c>
      <c r="K265" s="198">
        <v>66730.929999999993</v>
      </c>
    </row>
    <row r="266" spans="3:11" x14ac:dyDescent="0.2">
      <c r="C266" s="201" t="s">
        <v>8534</v>
      </c>
      <c r="D266" s="200">
        <v>44260</v>
      </c>
      <c r="E266" s="199" t="s">
        <v>8533</v>
      </c>
      <c r="I266" s="198">
        <v>15.3</v>
      </c>
      <c r="K266" s="198">
        <v>66746.23</v>
      </c>
    </row>
    <row r="267" spans="3:11" x14ac:dyDescent="0.2">
      <c r="C267" s="201" t="s">
        <v>8532</v>
      </c>
      <c r="D267" s="200">
        <v>44260</v>
      </c>
      <c r="E267" s="199" t="s">
        <v>8531</v>
      </c>
      <c r="I267" s="198">
        <v>5.24</v>
      </c>
      <c r="K267" s="198">
        <v>66751.47</v>
      </c>
    </row>
    <row r="268" spans="3:11" x14ac:dyDescent="0.2">
      <c r="C268" s="201" t="s">
        <v>8530</v>
      </c>
      <c r="D268" s="200">
        <v>44260</v>
      </c>
      <c r="E268" s="199" t="s">
        <v>8529</v>
      </c>
      <c r="I268" s="198">
        <v>3.88</v>
      </c>
      <c r="K268" s="198">
        <v>66755.350000000006</v>
      </c>
    </row>
    <row r="269" spans="3:11" x14ac:dyDescent="0.2">
      <c r="C269" s="201" t="s">
        <v>8528</v>
      </c>
      <c r="D269" s="200">
        <v>44260</v>
      </c>
      <c r="E269" s="199" t="s">
        <v>8527</v>
      </c>
      <c r="I269" s="198">
        <v>3.04</v>
      </c>
      <c r="K269" s="198">
        <v>66758.39</v>
      </c>
    </row>
    <row r="270" spans="3:11" x14ac:dyDescent="0.2">
      <c r="C270" s="201" t="s">
        <v>8526</v>
      </c>
      <c r="D270" s="200">
        <v>44260</v>
      </c>
      <c r="E270" s="199" t="s">
        <v>8525</v>
      </c>
      <c r="I270" s="198">
        <v>6.74</v>
      </c>
      <c r="K270" s="198">
        <v>66765.13</v>
      </c>
    </row>
    <row r="271" spans="3:11" x14ac:dyDescent="0.2">
      <c r="C271" s="201" t="s">
        <v>8524</v>
      </c>
      <c r="D271" s="200">
        <v>44260</v>
      </c>
      <c r="E271" s="199" t="s">
        <v>8523</v>
      </c>
      <c r="I271" s="198">
        <v>11.87</v>
      </c>
      <c r="K271" s="198">
        <v>66777</v>
      </c>
    </row>
    <row r="272" spans="3:11" x14ac:dyDescent="0.2">
      <c r="C272" s="201" t="s">
        <v>8522</v>
      </c>
      <c r="D272" s="200">
        <v>44260</v>
      </c>
      <c r="E272" s="199" t="s">
        <v>8521</v>
      </c>
      <c r="I272" s="198">
        <v>301.69</v>
      </c>
      <c r="K272" s="198">
        <v>67078.69</v>
      </c>
    </row>
    <row r="273" spans="3:11" x14ac:dyDescent="0.2">
      <c r="C273" s="201" t="s">
        <v>8520</v>
      </c>
      <c r="D273" s="200">
        <v>44260</v>
      </c>
      <c r="E273" s="199" t="s">
        <v>8519</v>
      </c>
      <c r="I273" s="198">
        <v>3.24</v>
      </c>
      <c r="K273" s="198">
        <v>67081.929999999993</v>
      </c>
    </row>
    <row r="274" spans="3:11" x14ac:dyDescent="0.2">
      <c r="C274" s="201" t="s">
        <v>8518</v>
      </c>
      <c r="D274" s="200">
        <v>44260</v>
      </c>
      <c r="E274" s="199" t="s">
        <v>8517</v>
      </c>
      <c r="I274" s="198">
        <v>2009.74</v>
      </c>
      <c r="K274" s="198">
        <v>69091.67</v>
      </c>
    </row>
    <row r="275" spans="3:11" x14ac:dyDescent="0.2">
      <c r="C275" s="201" t="s">
        <v>8516</v>
      </c>
      <c r="D275" s="200">
        <v>44261</v>
      </c>
      <c r="E275" s="199" t="s">
        <v>8515</v>
      </c>
      <c r="I275" s="198">
        <v>29.23</v>
      </c>
      <c r="K275" s="198">
        <v>69120.899999999994</v>
      </c>
    </row>
    <row r="276" spans="3:11" x14ac:dyDescent="0.2">
      <c r="C276" s="201" t="s">
        <v>8514</v>
      </c>
      <c r="D276" s="200">
        <v>44261</v>
      </c>
      <c r="E276" s="199" t="s">
        <v>8513</v>
      </c>
      <c r="I276" s="198">
        <v>90.61</v>
      </c>
      <c r="K276" s="198">
        <v>69211.509999999995</v>
      </c>
    </row>
    <row r="277" spans="3:11" x14ac:dyDescent="0.2">
      <c r="C277" s="201" t="s">
        <v>8512</v>
      </c>
      <c r="D277" s="200">
        <v>44261</v>
      </c>
      <c r="E277" s="199" t="s">
        <v>8511</v>
      </c>
      <c r="I277" s="198">
        <v>1.34</v>
      </c>
      <c r="K277" s="198">
        <v>69212.850000000006</v>
      </c>
    </row>
    <row r="278" spans="3:11" x14ac:dyDescent="0.2">
      <c r="C278" s="201" t="s">
        <v>8510</v>
      </c>
      <c r="D278" s="200">
        <v>44261</v>
      </c>
      <c r="E278" s="199" t="s">
        <v>8509</v>
      </c>
      <c r="I278" s="198">
        <v>8.4</v>
      </c>
      <c r="K278" s="198">
        <v>69221.25</v>
      </c>
    </row>
    <row r="279" spans="3:11" x14ac:dyDescent="0.2">
      <c r="C279" s="201" t="s">
        <v>8508</v>
      </c>
      <c r="D279" s="200">
        <v>44261</v>
      </c>
      <c r="E279" s="199" t="s">
        <v>8507</v>
      </c>
      <c r="I279" s="198">
        <v>12.3</v>
      </c>
      <c r="K279" s="198">
        <v>69233.55</v>
      </c>
    </row>
    <row r="280" spans="3:11" x14ac:dyDescent="0.2">
      <c r="C280" s="201" t="s">
        <v>8506</v>
      </c>
      <c r="D280" s="200">
        <v>44261</v>
      </c>
      <c r="E280" s="199" t="s">
        <v>8505</v>
      </c>
      <c r="I280" s="198">
        <v>5.64</v>
      </c>
      <c r="K280" s="198">
        <v>69239.19</v>
      </c>
    </row>
    <row r="281" spans="3:11" x14ac:dyDescent="0.2">
      <c r="C281" s="201" t="s">
        <v>8504</v>
      </c>
      <c r="D281" s="200">
        <v>44261</v>
      </c>
      <c r="E281" s="199" t="s">
        <v>8503</v>
      </c>
      <c r="I281" s="198">
        <v>11.6</v>
      </c>
      <c r="K281" s="198">
        <v>69250.789999999994</v>
      </c>
    </row>
    <row r="282" spans="3:11" x14ac:dyDescent="0.2">
      <c r="C282" s="201" t="s">
        <v>8502</v>
      </c>
      <c r="D282" s="200">
        <v>44261</v>
      </c>
      <c r="E282" s="199" t="s">
        <v>8501</v>
      </c>
      <c r="I282" s="198">
        <v>1.89</v>
      </c>
      <c r="K282" s="198">
        <v>69252.679999999993</v>
      </c>
    </row>
    <row r="283" spans="3:11" x14ac:dyDescent="0.2">
      <c r="C283" s="201" t="s">
        <v>8500</v>
      </c>
      <c r="D283" s="200">
        <v>44261</v>
      </c>
      <c r="E283" s="199" t="s">
        <v>8499</v>
      </c>
      <c r="I283" s="198">
        <v>4.1900000000000004</v>
      </c>
      <c r="K283" s="198">
        <v>69256.87</v>
      </c>
    </row>
    <row r="284" spans="3:11" x14ac:dyDescent="0.2">
      <c r="C284" s="201" t="s">
        <v>8498</v>
      </c>
      <c r="D284" s="200">
        <v>44261</v>
      </c>
      <c r="E284" s="199" t="s">
        <v>8497</v>
      </c>
      <c r="I284" s="198">
        <v>2.82</v>
      </c>
      <c r="K284" s="198">
        <v>69259.69</v>
      </c>
    </row>
    <row r="285" spans="3:11" x14ac:dyDescent="0.2">
      <c r="C285" s="201" t="s">
        <v>8496</v>
      </c>
      <c r="D285" s="200">
        <v>44261</v>
      </c>
      <c r="E285" s="199" t="s">
        <v>8495</v>
      </c>
      <c r="I285" s="198">
        <v>1.68</v>
      </c>
      <c r="K285" s="198">
        <v>69261.37</v>
      </c>
    </row>
    <row r="286" spans="3:11" x14ac:dyDescent="0.2">
      <c r="C286" s="201" t="s">
        <v>8494</v>
      </c>
      <c r="D286" s="200">
        <v>44261</v>
      </c>
      <c r="E286" s="199" t="s">
        <v>8493</v>
      </c>
      <c r="I286" s="198">
        <v>1.54</v>
      </c>
      <c r="K286" s="198">
        <v>69262.91</v>
      </c>
    </row>
    <row r="287" spans="3:11" x14ac:dyDescent="0.2">
      <c r="C287" s="201" t="s">
        <v>8492</v>
      </c>
      <c r="D287" s="200">
        <v>44262</v>
      </c>
      <c r="E287" s="199" t="s">
        <v>8491</v>
      </c>
      <c r="I287" s="198">
        <v>6.63</v>
      </c>
      <c r="K287" s="198">
        <v>69269.539999999994</v>
      </c>
    </row>
    <row r="288" spans="3:11" x14ac:dyDescent="0.2">
      <c r="C288" s="201" t="s">
        <v>8490</v>
      </c>
      <c r="D288" s="200">
        <v>44262</v>
      </c>
      <c r="E288" s="199" t="s">
        <v>8489</v>
      </c>
      <c r="I288" s="198">
        <v>6.12</v>
      </c>
      <c r="K288" s="198">
        <v>69275.66</v>
      </c>
    </row>
    <row r="289" spans="3:11" x14ac:dyDescent="0.2">
      <c r="C289" s="201" t="s">
        <v>8488</v>
      </c>
      <c r="D289" s="200">
        <v>44262</v>
      </c>
      <c r="E289" s="199" t="s">
        <v>8487</v>
      </c>
      <c r="I289" s="198">
        <v>5.2</v>
      </c>
      <c r="K289" s="198">
        <v>69280.86</v>
      </c>
    </row>
    <row r="290" spans="3:11" x14ac:dyDescent="0.2">
      <c r="C290" s="201" t="s">
        <v>8486</v>
      </c>
      <c r="D290" s="200">
        <v>44262</v>
      </c>
      <c r="E290" s="199" t="s">
        <v>8485</v>
      </c>
      <c r="I290" s="198">
        <v>34.44</v>
      </c>
      <c r="K290" s="198">
        <v>69315.3</v>
      </c>
    </row>
    <row r="291" spans="3:11" x14ac:dyDescent="0.2">
      <c r="C291" s="201" t="s">
        <v>8484</v>
      </c>
      <c r="D291" s="200">
        <v>44262</v>
      </c>
      <c r="E291" s="199" t="s">
        <v>8483</v>
      </c>
      <c r="I291" s="198">
        <v>3.4</v>
      </c>
      <c r="K291" s="198">
        <v>69318.7</v>
      </c>
    </row>
    <row r="292" spans="3:11" x14ac:dyDescent="0.2">
      <c r="C292" s="201" t="s">
        <v>8482</v>
      </c>
      <c r="D292" s="200">
        <v>44262</v>
      </c>
      <c r="E292" s="199" t="s">
        <v>8481</v>
      </c>
      <c r="I292" s="198">
        <v>1.86</v>
      </c>
      <c r="K292" s="198">
        <v>69320.56</v>
      </c>
    </row>
    <row r="293" spans="3:11" x14ac:dyDescent="0.2">
      <c r="C293" s="201" t="s">
        <v>8480</v>
      </c>
      <c r="D293" s="200">
        <v>44262</v>
      </c>
      <c r="E293" s="199" t="s">
        <v>8479</v>
      </c>
      <c r="I293" s="198">
        <v>15.19</v>
      </c>
      <c r="K293" s="198">
        <v>69335.75</v>
      </c>
    </row>
    <row r="294" spans="3:11" x14ac:dyDescent="0.2">
      <c r="C294" s="201" t="s">
        <v>8478</v>
      </c>
      <c r="D294" s="200">
        <v>44262</v>
      </c>
      <c r="E294" s="199" t="s">
        <v>8477</v>
      </c>
      <c r="I294" s="198">
        <v>11.36</v>
      </c>
      <c r="K294" s="198">
        <v>69347.11</v>
      </c>
    </row>
    <row r="295" spans="3:11" x14ac:dyDescent="0.2">
      <c r="C295" s="201" t="s">
        <v>8476</v>
      </c>
      <c r="D295" s="200">
        <v>44262</v>
      </c>
      <c r="E295" s="199" t="s">
        <v>8475</v>
      </c>
      <c r="I295" s="198">
        <v>11.43</v>
      </c>
      <c r="K295" s="198">
        <v>69358.539999999994</v>
      </c>
    </row>
    <row r="296" spans="3:11" x14ac:dyDescent="0.2">
      <c r="C296" s="201" t="s">
        <v>8474</v>
      </c>
      <c r="D296" s="200">
        <v>44263</v>
      </c>
      <c r="E296" s="199" t="s">
        <v>8473</v>
      </c>
      <c r="I296" s="198">
        <v>60.5</v>
      </c>
      <c r="K296" s="198">
        <v>69419.039999999994</v>
      </c>
    </row>
    <row r="297" spans="3:11" x14ac:dyDescent="0.2">
      <c r="C297" s="201" t="s">
        <v>8472</v>
      </c>
      <c r="D297" s="200">
        <v>44263</v>
      </c>
      <c r="E297" s="199" t="s">
        <v>8471</v>
      </c>
      <c r="I297" s="198">
        <v>30.6</v>
      </c>
      <c r="K297" s="198">
        <v>69449.64</v>
      </c>
    </row>
    <row r="298" spans="3:11" x14ac:dyDescent="0.2">
      <c r="C298" s="201" t="s">
        <v>8470</v>
      </c>
      <c r="D298" s="200">
        <v>44263</v>
      </c>
      <c r="E298" s="199" t="s">
        <v>8469</v>
      </c>
      <c r="I298" s="198">
        <v>7.6</v>
      </c>
      <c r="K298" s="198">
        <v>69457.240000000005</v>
      </c>
    </row>
    <row r="299" spans="3:11" x14ac:dyDescent="0.2">
      <c r="C299" s="201" t="s">
        <v>8468</v>
      </c>
      <c r="D299" s="200">
        <v>44263</v>
      </c>
      <c r="E299" s="199" t="s">
        <v>8467</v>
      </c>
      <c r="I299" s="198">
        <v>0.21</v>
      </c>
      <c r="K299" s="198">
        <v>69457.45</v>
      </c>
    </row>
    <row r="300" spans="3:11" x14ac:dyDescent="0.2">
      <c r="C300" s="201" t="s">
        <v>8466</v>
      </c>
      <c r="D300" s="200">
        <v>44263</v>
      </c>
      <c r="E300" s="199" t="s">
        <v>8465</v>
      </c>
      <c r="I300" s="198">
        <v>0.03</v>
      </c>
      <c r="K300" s="198">
        <v>69457.48</v>
      </c>
    </row>
    <row r="301" spans="3:11" x14ac:dyDescent="0.2">
      <c r="C301" s="201" t="s">
        <v>8464</v>
      </c>
      <c r="D301" s="200">
        <v>44263</v>
      </c>
      <c r="E301" s="199" t="s">
        <v>8463</v>
      </c>
      <c r="I301" s="198">
        <v>28.14</v>
      </c>
      <c r="K301" s="198">
        <v>69485.62</v>
      </c>
    </row>
    <row r="302" spans="3:11" x14ac:dyDescent="0.2">
      <c r="C302" s="201" t="s">
        <v>8462</v>
      </c>
      <c r="D302" s="200">
        <v>44263</v>
      </c>
      <c r="E302" s="199" t="s">
        <v>8461</v>
      </c>
      <c r="I302" s="198">
        <v>2.52</v>
      </c>
      <c r="K302" s="198">
        <v>69488.14</v>
      </c>
    </row>
    <row r="303" spans="3:11" x14ac:dyDescent="0.2">
      <c r="C303" s="201" t="s">
        <v>8460</v>
      </c>
      <c r="D303" s="200">
        <v>44263</v>
      </c>
      <c r="E303" s="199" t="s">
        <v>8459</v>
      </c>
      <c r="I303" s="198">
        <v>7.24</v>
      </c>
      <c r="K303" s="198">
        <v>69495.38</v>
      </c>
    </row>
    <row r="304" spans="3:11" x14ac:dyDescent="0.2">
      <c r="C304" s="201" t="s">
        <v>8458</v>
      </c>
      <c r="D304" s="200">
        <v>44263</v>
      </c>
      <c r="E304" s="199" t="s">
        <v>8457</v>
      </c>
      <c r="I304" s="198">
        <v>1.68</v>
      </c>
      <c r="K304" s="198">
        <v>69497.06</v>
      </c>
    </row>
    <row r="305" spans="3:11" x14ac:dyDescent="0.2">
      <c r="C305" s="201" t="s">
        <v>8456</v>
      </c>
      <c r="D305" s="200">
        <v>44263</v>
      </c>
      <c r="E305" s="199" t="s">
        <v>8455</v>
      </c>
      <c r="I305" s="198">
        <v>2.23</v>
      </c>
      <c r="K305" s="198">
        <v>69499.289999999994</v>
      </c>
    </row>
    <row r="306" spans="3:11" x14ac:dyDescent="0.2">
      <c r="C306" s="201" t="s">
        <v>8454</v>
      </c>
      <c r="D306" s="200">
        <v>44263</v>
      </c>
      <c r="E306" s="199" t="s">
        <v>8453</v>
      </c>
      <c r="I306" s="198">
        <v>28.32</v>
      </c>
      <c r="K306" s="198">
        <v>69527.61</v>
      </c>
    </row>
    <row r="307" spans="3:11" x14ac:dyDescent="0.2">
      <c r="C307" s="201" t="s">
        <v>8452</v>
      </c>
      <c r="D307" s="200">
        <v>44263</v>
      </c>
      <c r="E307" s="199" t="s">
        <v>8451</v>
      </c>
      <c r="I307" s="198">
        <v>4.58</v>
      </c>
      <c r="K307" s="198">
        <v>69532.19</v>
      </c>
    </row>
    <row r="308" spans="3:11" x14ac:dyDescent="0.2">
      <c r="C308" s="201" t="s">
        <v>8450</v>
      </c>
      <c r="D308" s="200">
        <v>44263</v>
      </c>
      <c r="E308" s="199" t="s">
        <v>8449</v>
      </c>
      <c r="I308" s="198">
        <v>3.55</v>
      </c>
      <c r="K308" s="198">
        <v>69535.740000000005</v>
      </c>
    </row>
    <row r="309" spans="3:11" x14ac:dyDescent="0.2">
      <c r="C309" s="201" t="s">
        <v>8448</v>
      </c>
      <c r="D309" s="200">
        <v>44263</v>
      </c>
      <c r="E309" s="199" t="s">
        <v>8447</v>
      </c>
      <c r="I309" s="198">
        <v>11.58</v>
      </c>
      <c r="K309" s="198">
        <v>69547.320000000007</v>
      </c>
    </row>
    <row r="310" spans="3:11" x14ac:dyDescent="0.2">
      <c r="C310" s="201" t="s">
        <v>8446</v>
      </c>
      <c r="D310" s="200">
        <v>44263</v>
      </c>
      <c r="E310" s="199" t="s">
        <v>8445</v>
      </c>
      <c r="I310" s="198">
        <v>7.41</v>
      </c>
      <c r="K310" s="198">
        <v>69554.73</v>
      </c>
    </row>
    <row r="311" spans="3:11" x14ac:dyDescent="0.2">
      <c r="C311" s="201" t="s">
        <v>8444</v>
      </c>
      <c r="D311" s="200">
        <v>44263</v>
      </c>
      <c r="E311" s="199" t="s">
        <v>8443</v>
      </c>
      <c r="I311" s="198">
        <v>5.19</v>
      </c>
      <c r="K311" s="198">
        <v>69559.92</v>
      </c>
    </row>
    <row r="312" spans="3:11" x14ac:dyDescent="0.2">
      <c r="C312" s="201" t="s">
        <v>8442</v>
      </c>
      <c r="D312" s="200">
        <v>44263</v>
      </c>
      <c r="E312" s="199" t="s">
        <v>8441</v>
      </c>
      <c r="I312" s="198">
        <v>4.3600000000000003</v>
      </c>
      <c r="K312" s="198">
        <v>69564.28</v>
      </c>
    </row>
    <row r="313" spans="3:11" x14ac:dyDescent="0.2">
      <c r="C313" s="201" t="s">
        <v>8440</v>
      </c>
      <c r="D313" s="200">
        <v>44263</v>
      </c>
      <c r="E313" s="199" t="s">
        <v>8439</v>
      </c>
      <c r="I313" s="198">
        <v>1.68</v>
      </c>
      <c r="K313" s="198">
        <v>69565.960000000006</v>
      </c>
    </row>
    <row r="314" spans="3:11" x14ac:dyDescent="0.2">
      <c r="C314" s="201" t="s">
        <v>8438</v>
      </c>
      <c r="D314" s="200">
        <v>44263</v>
      </c>
      <c r="E314" s="199" t="s">
        <v>8437</v>
      </c>
      <c r="I314" s="198">
        <v>16.760000000000002</v>
      </c>
      <c r="K314" s="198">
        <v>69582.720000000001</v>
      </c>
    </row>
    <row r="315" spans="3:11" x14ac:dyDescent="0.2">
      <c r="C315" s="201" t="s">
        <v>8436</v>
      </c>
      <c r="D315" s="200">
        <v>44263</v>
      </c>
      <c r="E315" s="199" t="s">
        <v>8435</v>
      </c>
      <c r="I315" s="198">
        <v>15.64</v>
      </c>
      <c r="K315" s="198">
        <v>69598.36</v>
      </c>
    </row>
    <row r="316" spans="3:11" x14ac:dyDescent="0.2">
      <c r="C316" s="201" t="s">
        <v>8434</v>
      </c>
      <c r="D316" s="200">
        <v>44263</v>
      </c>
      <c r="E316" s="199" t="s">
        <v>8433</v>
      </c>
      <c r="I316" s="198">
        <v>3.36</v>
      </c>
      <c r="K316" s="198">
        <v>69601.72</v>
      </c>
    </row>
    <row r="317" spans="3:11" x14ac:dyDescent="0.2">
      <c r="C317" s="201" t="s">
        <v>8432</v>
      </c>
      <c r="D317" s="200">
        <v>44263</v>
      </c>
      <c r="E317" s="199" t="s">
        <v>8431</v>
      </c>
      <c r="I317" s="198">
        <v>6.94</v>
      </c>
      <c r="K317" s="198">
        <v>69608.66</v>
      </c>
    </row>
    <row r="318" spans="3:11" x14ac:dyDescent="0.2">
      <c r="C318" s="201" t="s">
        <v>8430</v>
      </c>
      <c r="D318" s="200">
        <v>44263</v>
      </c>
      <c r="E318" s="199" t="s">
        <v>8429</v>
      </c>
      <c r="I318" s="198">
        <v>1.05</v>
      </c>
      <c r="K318" s="198">
        <v>69609.710000000006</v>
      </c>
    </row>
    <row r="319" spans="3:11" x14ac:dyDescent="0.2">
      <c r="C319" s="201" t="s">
        <v>8428</v>
      </c>
      <c r="D319" s="200">
        <v>44263</v>
      </c>
      <c r="E319" s="199" t="s">
        <v>8427</v>
      </c>
      <c r="I319" s="198">
        <v>8.3800000000000008</v>
      </c>
      <c r="K319" s="198">
        <v>69618.09</v>
      </c>
    </row>
    <row r="320" spans="3:11" x14ac:dyDescent="0.2">
      <c r="C320" s="201" t="s">
        <v>8426</v>
      </c>
      <c r="D320" s="200">
        <v>44263</v>
      </c>
      <c r="E320" s="199" t="s">
        <v>8425</v>
      </c>
      <c r="I320" s="198">
        <v>10.69</v>
      </c>
      <c r="K320" s="198">
        <v>69628.78</v>
      </c>
    </row>
    <row r="321" spans="3:11" x14ac:dyDescent="0.2">
      <c r="C321" s="201" t="s">
        <v>8424</v>
      </c>
      <c r="D321" s="200">
        <v>44263</v>
      </c>
      <c r="E321" s="199" t="s">
        <v>8423</v>
      </c>
      <c r="I321" s="198">
        <v>1.75</v>
      </c>
      <c r="K321" s="198">
        <v>69630.53</v>
      </c>
    </row>
    <row r="322" spans="3:11" x14ac:dyDescent="0.2">
      <c r="C322" s="201" t="s">
        <v>8422</v>
      </c>
      <c r="D322" s="200">
        <v>44263</v>
      </c>
      <c r="E322" s="199" t="s">
        <v>8421</v>
      </c>
      <c r="I322" s="198">
        <v>8.3800000000000008</v>
      </c>
      <c r="K322" s="198">
        <v>69638.91</v>
      </c>
    </row>
    <row r="323" spans="3:11" x14ac:dyDescent="0.2">
      <c r="C323" s="201" t="s">
        <v>8420</v>
      </c>
      <c r="D323" s="200">
        <v>44263</v>
      </c>
      <c r="E323" s="199" t="s">
        <v>8419</v>
      </c>
      <c r="I323" s="198">
        <v>15.29</v>
      </c>
      <c r="K323" s="198">
        <v>69654.2</v>
      </c>
    </row>
    <row r="324" spans="3:11" x14ac:dyDescent="0.2">
      <c r="C324" s="201" t="s">
        <v>8418</v>
      </c>
      <c r="D324" s="200">
        <v>44263</v>
      </c>
      <c r="E324" s="199" t="s">
        <v>8417</v>
      </c>
      <c r="I324" s="198">
        <v>5.42</v>
      </c>
      <c r="K324" s="198">
        <v>69659.62</v>
      </c>
    </row>
    <row r="325" spans="3:11" x14ac:dyDescent="0.2">
      <c r="C325" s="201" t="s">
        <v>8416</v>
      </c>
      <c r="D325" s="200">
        <v>44263</v>
      </c>
      <c r="E325" s="199" t="s">
        <v>8415</v>
      </c>
      <c r="I325" s="198">
        <v>5.05</v>
      </c>
      <c r="K325" s="198">
        <v>69664.67</v>
      </c>
    </row>
    <row r="326" spans="3:11" x14ac:dyDescent="0.2">
      <c r="C326" s="201" t="s">
        <v>8414</v>
      </c>
      <c r="D326" s="200">
        <v>44263</v>
      </c>
      <c r="E326" s="199" t="s">
        <v>8413</v>
      </c>
      <c r="I326" s="198">
        <v>6.18</v>
      </c>
      <c r="K326" s="198">
        <v>69670.850000000006</v>
      </c>
    </row>
    <row r="327" spans="3:11" x14ac:dyDescent="0.2">
      <c r="C327" s="201" t="s">
        <v>20186</v>
      </c>
      <c r="D327" s="200">
        <v>44263</v>
      </c>
      <c r="E327" s="199" t="s">
        <v>20185</v>
      </c>
      <c r="J327" s="222">
        <v>5.32</v>
      </c>
      <c r="K327" s="198">
        <v>69665.53</v>
      </c>
    </row>
    <row r="328" spans="3:11" x14ac:dyDescent="0.2">
      <c r="C328" s="201" t="s">
        <v>8412</v>
      </c>
      <c r="D328" s="200">
        <v>44264</v>
      </c>
      <c r="E328" s="199" t="s">
        <v>8411</v>
      </c>
      <c r="I328" s="198">
        <v>10</v>
      </c>
      <c r="K328" s="198">
        <v>69675.53</v>
      </c>
    </row>
    <row r="329" spans="3:11" x14ac:dyDescent="0.2">
      <c r="C329" s="201" t="s">
        <v>8410</v>
      </c>
      <c r="D329" s="200">
        <v>44264</v>
      </c>
      <c r="E329" s="199" t="s">
        <v>8409</v>
      </c>
      <c r="I329" s="198">
        <v>4.38</v>
      </c>
      <c r="K329" s="198">
        <v>69679.91</v>
      </c>
    </row>
    <row r="330" spans="3:11" x14ac:dyDescent="0.2">
      <c r="C330" s="201" t="s">
        <v>8408</v>
      </c>
      <c r="D330" s="200">
        <v>44264</v>
      </c>
      <c r="E330" s="199" t="s">
        <v>8407</v>
      </c>
      <c r="I330" s="198">
        <v>8.6300000000000008</v>
      </c>
      <c r="K330" s="198">
        <v>69688.539999999994</v>
      </c>
    </row>
    <row r="331" spans="3:11" x14ac:dyDescent="0.2">
      <c r="C331" s="201" t="s">
        <v>8406</v>
      </c>
      <c r="D331" s="200">
        <v>44264</v>
      </c>
      <c r="E331" s="199" t="s">
        <v>8405</v>
      </c>
      <c r="I331" s="198">
        <v>10.87</v>
      </c>
      <c r="K331" s="198">
        <v>69699.41</v>
      </c>
    </row>
    <row r="332" spans="3:11" x14ac:dyDescent="0.2">
      <c r="C332" s="201" t="s">
        <v>8404</v>
      </c>
      <c r="D332" s="200">
        <v>44264</v>
      </c>
      <c r="E332" s="199" t="s">
        <v>8403</v>
      </c>
      <c r="I332" s="198">
        <v>3.1</v>
      </c>
      <c r="K332" s="198">
        <v>69702.509999999995</v>
      </c>
    </row>
    <row r="333" spans="3:11" x14ac:dyDescent="0.2">
      <c r="C333" s="201" t="s">
        <v>8402</v>
      </c>
      <c r="D333" s="200">
        <v>44264</v>
      </c>
      <c r="E333" s="199" t="s">
        <v>8401</v>
      </c>
      <c r="I333" s="198">
        <v>1.68</v>
      </c>
      <c r="K333" s="198">
        <v>69704.19</v>
      </c>
    </row>
    <row r="334" spans="3:11" x14ac:dyDescent="0.2">
      <c r="C334" s="201" t="s">
        <v>8400</v>
      </c>
      <c r="D334" s="200">
        <v>44264</v>
      </c>
      <c r="E334" s="199" t="s">
        <v>8399</v>
      </c>
      <c r="I334" s="198">
        <v>4.84</v>
      </c>
      <c r="K334" s="198">
        <v>69709.03</v>
      </c>
    </row>
    <row r="335" spans="3:11" x14ac:dyDescent="0.2">
      <c r="C335" s="201" t="s">
        <v>8398</v>
      </c>
      <c r="D335" s="200">
        <v>44264</v>
      </c>
      <c r="E335" s="199" t="s">
        <v>8397</v>
      </c>
      <c r="I335" s="198">
        <v>5.04</v>
      </c>
      <c r="K335" s="198">
        <v>69714.070000000007</v>
      </c>
    </row>
    <row r="336" spans="3:11" x14ac:dyDescent="0.2">
      <c r="C336" s="201" t="s">
        <v>8396</v>
      </c>
      <c r="D336" s="200">
        <v>44264</v>
      </c>
      <c r="E336" s="199" t="s">
        <v>8395</v>
      </c>
      <c r="I336" s="198">
        <v>19.329999999999998</v>
      </c>
      <c r="K336" s="198">
        <v>69733.399999999994</v>
      </c>
    </row>
    <row r="337" spans="3:11" x14ac:dyDescent="0.2">
      <c r="C337" s="201" t="s">
        <v>8394</v>
      </c>
      <c r="D337" s="200">
        <v>44264</v>
      </c>
      <c r="E337" s="199" t="s">
        <v>8393</v>
      </c>
      <c r="I337" s="198">
        <v>10.32</v>
      </c>
      <c r="K337" s="198">
        <v>69743.72</v>
      </c>
    </row>
    <row r="338" spans="3:11" x14ac:dyDescent="0.2">
      <c r="C338" s="201" t="s">
        <v>8392</v>
      </c>
      <c r="D338" s="200">
        <v>44264</v>
      </c>
      <c r="E338" s="199" t="s">
        <v>8391</v>
      </c>
      <c r="I338" s="198">
        <v>4.5199999999999996</v>
      </c>
      <c r="K338" s="198">
        <v>69748.240000000005</v>
      </c>
    </row>
    <row r="339" spans="3:11" x14ac:dyDescent="0.2">
      <c r="C339" s="201" t="s">
        <v>8390</v>
      </c>
      <c r="D339" s="200">
        <v>44264</v>
      </c>
      <c r="E339" s="199" t="s">
        <v>8389</v>
      </c>
      <c r="I339" s="198">
        <v>3.38</v>
      </c>
      <c r="K339" s="198">
        <v>69751.62</v>
      </c>
    </row>
    <row r="340" spans="3:11" x14ac:dyDescent="0.2">
      <c r="C340" s="201" t="s">
        <v>8388</v>
      </c>
      <c r="D340" s="200">
        <v>44264</v>
      </c>
      <c r="E340" s="199" t="s">
        <v>8387</v>
      </c>
      <c r="I340" s="198">
        <v>8.65</v>
      </c>
      <c r="K340" s="198">
        <v>69760.27</v>
      </c>
    </row>
    <row r="341" spans="3:11" x14ac:dyDescent="0.2">
      <c r="C341" s="201" t="s">
        <v>8386</v>
      </c>
      <c r="D341" s="200">
        <v>44264</v>
      </c>
      <c r="E341" s="199" t="s">
        <v>8385</v>
      </c>
      <c r="I341" s="198">
        <v>7.58</v>
      </c>
      <c r="K341" s="198">
        <v>69767.850000000006</v>
      </c>
    </row>
    <row r="342" spans="3:11" x14ac:dyDescent="0.2">
      <c r="C342" s="201" t="s">
        <v>8384</v>
      </c>
      <c r="D342" s="200">
        <v>44264</v>
      </c>
      <c r="E342" s="199" t="s">
        <v>8383</v>
      </c>
      <c r="I342" s="198">
        <v>5.37</v>
      </c>
      <c r="K342" s="198">
        <v>69773.22</v>
      </c>
    </row>
    <row r="343" spans="3:11" x14ac:dyDescent="0.2">
      <c r="C343" s="201" t="s">
        <v>8382</v>
      </c>
      <c r="D343" s="200">
        <v>44264</v>
      </c>
      <c r="E343" s="199" t="s">
        <v>8381</v>
      </c>
      <c r="I343" s="198">
        <v>8.7200000000000006</v>
      </c>
      <c r="K343" s="198">
        <v>69781.94</v>
      </c>
    </row>
    <row r="344" spans="3:11" x14ac:dyDescent="0.2">
      <c r="C344" s="201" t="s">
        <v>8380</v>
      </c>
      <c r="D344" s="200">
        <v>44264</v>
      </c>
      <c r="E344" s="199" t="s">
        <v>8379</v>
      </c>
      <c r="I344" s="198">
        <v>4.8</v>
      </c>
      <c r="K344" s="198">
        <v>69786.740000000005</v>
      </c>
    </row>
    <row r="345" spans="3:11" x14ac:dyDescent="0.2">
      <c r="C345" s="201" t="s">
        <v>8378</v>
      </c>
      <c r="D345" s="200">
        <v>44264</v>
      </c>
      <c r="E345" s="199" t="s">
        <v>8377</v>
      </c>
      <c r="I345" s="198">
        <v>3.92</v>
      </c>
      <c r="K345" s="198">
        <v>69790.66</v>
      </c>
    </row>
    <row r="346" spans="3:11" x14ac:dyDescent="0.2">
      <c r="C346" s="201" t="s">
        <v>8376</v>
      </c>
      <c r="D346" s="200">
        <v>44264</v>
      </c>
      <c r="E346" s="199" t="s">
        <v>8375</v>
      </c>
      <c r="I346" s="198">
        <v>21.76</v>
      </c>
      <c r="K346" s="198">
        <v>69812.42</v>
      </c>
    </row>
    <row r="347" spans="3:11" x14ac:dyDescent="0.2">
      <c r="C347" s="201" t="s">
        <v>8374</v>
      </c>
      <c r="D347" s="200">
        <v>44264</v>
      </c>
      <c r="E347" s="199" t="s">
        <v>8373</v>
      </c>
      <c r="I347" s="198">
        <v>4.22</v>
      </c>
      <c r="K347" s="198">
        <v>69816.639999999999</v>
      </c>
    </row>
    <row r="348" spans="3:11" x14ac:dyDescent="0.2">
      <c r="C348" s="201" t="s">
        <v>8372</v>
      </c>
      <c r="D348" s="200">
        <v>44264</v>
      </c>
      <c r="E348" s="199" t="s">
        <v>8371</v>
      </c>
      <c r="I348" s="198">
        <v>8.3800000000000008</v>
      </c>
      <c r="K348" s="198">
        <v>69825.02</v>
      </c>
    </row>
    <row r="349" spans="3:11" x14ac:dyDescent="0.2">
      <c r="C349" s="201" t="s">
        <v>8370</v>
      </c>
      <c r="D349" s="200">
        <v>44264</v>
      </c>
      <c r="E349" s="199" t="s">
        <v>8369</v>
      </c>
      <c r="I349" s="198">
        <v>6.94</v>
      </c>
      <c r="K349" s="198">
        <v>69831.960000000006</v>
      </c>
    </row>
    <row r="350" spans="3:11" x14ac:dyDescent="0.2">
      <c r="C350" s="201" t="s">
        <v>8368</v>
      </c>
      <c r="D350" s="200">
        <v>44264</v>
      </c>
      <c r="E350" s="199" t="s">
        <v>8367</v>
      </c>
      <c r="I350" s="198">
        <v>30.6</v>
      </c>
      <c r="K350" s="198">
        <v>69862.559999999998</v>
      </c>
    </row>
    <row r="351" spans="3:11" x14ac:dyDescent="0.2">
      <c r="C351" s="201" t="s">
        <v>8366</v>
      </c>
      <c r="D351" s="200">
        <v>44264</v>
      </c>
      <c r="E351" s="199" t="s">
        <v>8365</v>
      </c>
      <c r="I351" s="198">
        <v>7.84</v>
      </c>
      <c r="K351" s="198">
        <v>69870.399999999994</v>
      </c>
    </row>
    <row r="352" spans="3:11" x14ac:dyDescent="0.2">
      <c r="C352" s="201" t="s">
        <v>8364</v>
      </c>
      <c r="D352" s="200">
        <v>44264</v>
      </c>
      <c r="E352" s="199" t="s">
        <v>8363</v>
      </c>
      <c r="I352" s="198">
        <v>4.62</v>
      </c>
      <c r="K352" s="198">
        <v>69875.02</v>
      </c>
    </row>
    <row r="353" spans="3:11" x14ac:dyDescent="0.2">
      <c r="C353" s="201" t="s">
        <v>8362</v>
      </c>
      <c r="D353" s="200">
        <v>44264</v>
      </c>
      <c r="E353" s="199" t="s">
        <v>8361</v>
      </c>
      <c r="J353" s="222">
        <v>1174.8800000000001</v>
      </c>
      <c r="K353" s="198">
        <v>68700.14</v>
      </c>
    </row>
    <row r="354" spans="3:11" x14ac:dyDescent="0.2">
      <c r="C354" s="201" t="s">
        <v>8360</v>
      </c>
      <c r="D354" s="200">
        <v>44265</v>
      </c>
      <c r="E354" s="199" t="s">
        <v>8359</v>
      </c>
      <c r="I354" s="198">
        <v>6</v>
      </c>
      <c r="K354" s="198">
        <v>68706.14</v>
      </c>
    </row>
    <row r="355" spans="3:11" x14ac:dyDescent="0.2">
      <c r="C355" s="201" t="s">
        <v>8358</v>
      </c>
      <c r="D355" s="200">
        <v>44265</v>
      </c>
      <c r="E355" s="199" t="s">
        <v>8357</v>
      </c>
      <c r="I355" s="198">
        <v>2.63</v>
      </c>
      <c r="K355" s="198">
        <v>68708.77</v>
      </c>
    </row>
    <row r="356" spans="3:11" x14ac:dyDescent="0.2">
      <c r="C356" s="201" t="s">
        <v>8356</v>
      </c>
      <c r="D356" s="200">
        <v>44265</v>
      </c>
      <c r="E356" s="199" t="s">
        <v>8355</v>
      </c>
      <c r="I356" s="198">
        <v>2.4300000000000002</v>
      </c>
      <c r="K356" s="198">
        <v>68711.199999999997</v>
      </c>
    </row>
    <row r="357" spans="3:11" x14ac:dyDescent="0.2">
      <c r="C357" s="201" t="s">
        <v>8354</v>
      </c>
      <c r="D357" s="200">
        <v>44265</v>
      </c>
      <c r="E357" s="199" t="s">
        <v>8353</v>
      </c>
      <c r="I357" s="198">
        <v>10.91</v>
      </c>
      <c r="K357" s="198">
        <v>68722.11</v>
      </c>
    </row>
    <row r="358" spans="3:11" x14ac:dyDescent="0.2">
      <c r="C358" s="201" t="s">
        <v>8352</v>
      </c>
      <c r="D358" s="200">
        <v>44265</v>
      </c>
      <c r="E358" s="199" t="s">
        <v>8351</v>
      </c>
      <c r="I358" s="198">
        <v>6.05</v>
      </c>
      <c r="K358" s="198">
        <v>68728.160000000003</v>
      </c>
    </row>
    <row r="359" spans="3:11" x14ac:dyDescent="0.2">
      <c r="C359" s="201" t="s">
        <v>8350</v>
      </c>
      <c r="D359" s="200">
        <v>44265</v>
      </c>
      <c r="E359" s="199" t="s">
        <v>8349</v>
      </c>
      <c r="I359" s="198">
        <v>1.44</v>
      </c>
      <c r="K359" s="198">
        <v>68729.600000000006</v>
      </c>
    </row>
    <row r="360" spans="3:11" x14ac:dyDescent="0.2">
      <c r="C360" s="201" t="s">
        <v>8348</v>
      </c>
      <c r="D360" s="200">
        <v>44265</v>
      </c>
      <c r="E360" s="199" t="s">
        <v>8347</v>
      </c>
      <c r="I360" s="198">
        <v>1.77</v>
      </c>
      <c r="K360" s="198">
        <v>68731.37</v>
      </c>
    </row>
    <row r="361" spans="3:11" x14ac:dyDescent="0.2">
      <c r="C361" s="201" t="s">
        <v>8346</v>
      </c>
      <c r="D361" s="200">
        <v>44265</v>
      </c>
      <c r="E361" s="199" t="s">
        <v>8345</v>
      </c>
      <c r="I361" s="198">
        <v>15.63</v>
      </c>
      <c r="K361" s="198">
        <v>68747</v>
      </c>
    </row>
    <row r="362" spans="3:11" x14ac:dyDescent="0.2">
      <c r="C362" s="201" t="s">
        <v>8344</v>
      </c>
      <c r="D362" s="200">
        <v>44265</v>
      </c>
      <c r="E362" s="199" t="s">
        <v>8343</v>
      </c>
      <c r="I362" s="198">
        <v>8.52</v>
      </c>
      <c r="K362" s="198">
        <v>68755.520000000004</v>
      </c>
    </row>
    <row r="363" spans="3:11" x14ac:dyDescent="0.2">
      <c r="C363" s="201" t="s">
        <v>8342</v>
      </c>
      <c r="D363" s="200">
        <v>44265</v>
      </c>
      <c r="E363" s="199" t="s">
        <v>8341</v>
      </c>
      <c r="I363" s="198">
        <v>5.71</v>
      </c>
      <c r="K363" s="198">
        <v>68761.23</v>
      </c>
    </row>
    <row r="364" spans="3:11" x14ac:dyDescent="0.2">
      <c r="C364" s="201" t="s">
        <v>8340</v>
      </c>
      <c r="D364" s="200">
        <v>44265</v>
      </c>
      <c r="E364" s="199" t="s">
        <v>8339</v>
      </c>
      <c r="I364" s="198">
        <v>5.95</v>
      </c>
      <c r="K364" s="198">
        <v>68767.179999999993</v>
      </c>
    </row>
    <row r="365" spans="3:11" x14ac:dyDescent="0.2">
      <c r="C365" s="201" t="s">
        <v>8338</v>
      </c>
      <c r="D365" s="200">
        <v>44265</v>
      </c>
      <c r="E365" s="199" t="s">
        <v>8337</v>
      </c>
      <c r="I365" s="198">
        <v>9.93</v>
      </c>
      <c r="K365" s="198">
        <v>68777.11</v>
      </c>
    </row>
    <row r="366" spans="3:11" x14ac:dyDescent="0.2">
      <c r="C366" s="201" t="s">
        <v>8336</v>
      </c>
      <c r="D366" s="200">
        <v>44265</v>
      </c>
      <c r="E366" s="199" t="s">
        <v>8335</v>
      </c>
      <c r="I366" s="198">
        <v>4.53</v>
      </c>
      <c r="K366" s="198">
        <v>68781.64</v>
      </c>
    </row>
    <row r="367" spans="3:11" x14ac:dyDescent="0.2">
      <c r="C367" s="201" t="s">
        <v>8334</v>
      </c>
      <c r="D367" s="200">
        <v>44265</v>
      </c>
      <c r="E367" s="199" t="s">
        <v>8333</v>
      </c>
      <c r="I367" s="198">
        <v>4.0999999999999996</v>
      </c>
      <c r="K367" s="198">
        <v>68785.740000000005</v>
      </c>
    </row>
    <row r="368" spans="3:11" x14ac:dyDescent="0.2">
      <c r="C368" s="201" t="s">
        <v>8332</v>
      </c>
      <c r="D368" s="200">
        <v>44265</v>
      </c>
      <c r="E368" s="199" t="s">
        <v>8331</v>
      </c>
      <c r="I368" s="198">
        <v>6.42</v>
      </c>
      <c r="K368" s="198">
        <v>68792.160000000003</v>
      </c>
    </row>
    <row r="369" spans="3:11" x14ac:dyDescent="0.2">
      <c r="C369" s="201" t="s">
        <v>8330</v>
      </c>
      <c r="D369" s="200">
        <v>44265</v>
      </c>
      <c r="E369" s="199" t="s">
        <v>8329</v>
      </c>
      <c r="I369" s="198">
        <v>3.88</v>
      </c>
      <c r="K369" s="198">
        <v>68796.039999999994</v>
      </c>
    </row>
    <row r="370" spans="3:11" x14ac:dyDescent="0.2">
      <c r="C370" s="201" t="s">
        <v>8328</v>
      </c>
      <c r="D370" s="200">
        <v>44265</v>
      </c>
      <c r="E370" s="199" t="s">
        <v>8327</v>
      </c>
      <c r="I370" s="198">
        <v>4.08</v>
      </c>
      <c r="K370" s="198">
        <v>68800.12</v>
      </c>
    </row>
    <row r="371" spans="3:11" x14ac:dyDescent="0.2">
      <c r="C371" s="201" t="s">
        <v>8326</v>
      </c>
      <c r="D371" s="200">
        <v>44265</v>
      </c>
      <c r="E371" s="199" t="s">
        <v>8325</v>
      </c>
      <c r="I371" s="198">
        <v>10.89</v>
      </c>
      <c r="K371" s="198">
        <v>68811.009999999995</v>
      </c>
    </row>
    <row r="372" spans="3:11" x14ac:dyDescent="0.2">
      <c r="C372" s="201" t="s">
        <v>8324</v>
      </c>
      <c r="D372" s="200">
        <v>44265</v>
      </c>
      <c r="E372" s="199" t="s">
        <v>8323</v>
      </c>
      <c r="I372" s="198">
        <v>2.34</v>
      </c>
      <c r="K372" s="198">
        <v>68813.350000000006</v>
      </c>
    </row>
    <row r="373" spans="3:11" x14ac:dyDescent="0.2">
      <c r="C373" s="201" t="s">
        <v>8322</v>
      </c>
      <c r="D373" s="200">
        <v>44265</v>
      </c>
      <c r="E373" s="199" t="s">
        <v>8321</v>
      </c>
      <c r="I373" s="198">
        <v>25.7</v>
      </c>
      <c r="K373" s="198">
        <v>68839.05</v>
      </c>
    </row>
    <row r="374" spans="3:11" x14ac:dyDescent="0.2">
      <c r="C374" s="201" t="s">
        <v>8320</v>
      </c>
      <c r="D374" s="200">
        <v>44265</v>
      </c>
      <c r="E374" s="199" t="s">
        <v>8319</v>
      </c>
      <c r="I374" s="198">
        <v>3.36</v>
      </c>
      <c r="K374" s="198">
        <v>68842.41</v>
      </c>
    </row>
    <row r="375" spans="3:11" x14ac:dyDescent="0.2">
      <c r="C375" s="201" t="s">
        <v>8318</v>
      </c>
      <c r="D375" s="200">
        <v>44266</v>
      </c>
      <c r="E375" s="199" t="s">
        <v>8317</v>
      </c>
      <c r="I375" s="198">
        <v>100</v>
      </c>
      <c r="K375" s="198">
        <v>68942.41</v>
      </c>
    </row>
    <row r="376" spans="3:11" x14ac:dyDescent="0.2">
      <c r="C376" s="201" t="s">
        <v>8316</v>
      </c>
      <c r="D376" s="200">
        <v>44266</v>
      </c>
      <c r="E376" s="199" t="s">
        <v>8315</v>
      </c>
      <c r="I376" s="198">
        <v>33.130000000000003</v>
      </c>
      <c r="K376" s="198">
        <v>68975.539999999994</v>
      </c>
    </row>
    <row r="377" spans="3:11" x14ac:dyDescent="0.2">
      <c r="C377" s="201" t="s">
        <v>8314</v>
      </c>
      <c r="D377" s="200">
        <v>44266</v>
      </c>
      <c r="E377" s="199" t="s">
        <v>8313</v>
      </c>
      <c r="I377" s="198">
        <v>7.02</v>
      </c>
      <c r="K377" s="198">
        <v>68982.559999999998</v>
      </c>
    </row>
    <row r="378" spans="3:11" x14ac:dyDescent="0.2">
      <c r="C378" s="201" t="s">
        <v>8312</v>
      </c>
      <c r="D378" s="200">
        <v>44266</v>
      </c>
      <c r="E378" s="199" t="s">
        <v>8311</v>
      </c>
      <c r="I378" s="198">
        <v>14.96</v>
      </c>
      <c r="K378" s="198">
        <v>68997.52</v>
      </c>
    </row>
    <row r="379" spans="3:11" x14ac:dyDescent="0.2">
      <c r="C379" s="201" t="s">
        <v>8310</v>
      </c>
      <c r="D379" s="200">
        <v>44266</v>
      </c>
      <c r="E379" s="199" t="s">
        <v>8309</v>
      </c>
      <c r="I379" s="198">
        <v>5.12</v>
      </c>
      <c r="K379" s="198">
        <v>69002.64</v>
      </c>
    </row>
    <row r="380" spans="3:11" x14ac:dyDescent="0.2">
      <c r="C380" s="201" t="s">
        <v>8308</v>
      </c>
      <c r="D380" s="200">
        <v>44266</v>
      </c>
      <c r="E380" s="199" t="s">
        <v>8307</v>
      </c>
      <c r="I380" s="198">
        <v>17.350000000000001</v>
      </c>
      <c r="K380" s="198">
        <v>69019.990000000005</v>
      </c>
    </row>
    <row r="381" spans="3:11" x14ac:dyDescent="0.2">
      <c r="C381" s="201" t="s">
        <v>8306</v>
      </c>
      <c r="D381" s="200">
        <v>44266</v>
      </c>
      <c r="E381" s="199" t="s">
        <v>8305</v>
      </c>
      <c r="I381" s="198">
        <v>2.4300000000000002</v>
      </c>
      <c r="K381" s="198">
        <v>69022.42</v>
      </c>
    </row>
    <row r="382" spans="3:11" x14ac:dyDescent="0.2">
      <c r="C382" s="201" t="s">
        <v>8304</v>
      </c>
      <c r="D382" s="200">
        <v>44266</v>
      </c>
      <c r="E382" s="199" t="s">
        <v>8303</v>
      </c>
      <c r="I382" s="198">
        <v>4.08</v>
      </c>
      <c r="K382" s="198">
        <v>69026.5</v>
      </c>
    </row>
    <row r="383" spans="3:11" x14ac:dyDescent="0.2">
      <c r="C383" s="201" t="s">
        <v>8302</v>
      </c>
      <c r="D383" s="200">
        <v>44266</v>
      </c>
      <c r="E383" s="199" t="s">
        <v>8301</v>
      </c>
      <c r="I383" s="198">
        <v>2.21</v>
      </c>
      <c r="K383" s="198">
        <v>69028.710000000006</v>
      </c>
    </row>
    <row r="384" spans="3:11" x14ac:dyDescent="0.2">
      <c r="C384" s="201" t="s">
        <v>8300</v>
      </c>
      <c r="D384" s="200">
        <v>44266</v>
      </c>
      <c r="E384" s="199" t="s">
        <v>8299</v>
      </c>
      <c r="I384" s="198">
        <v>1.74</v>
      </c>
      <c r="K384" s="198">
        <v>69030.45</v>
      </c>
    </row>
    <row r="385" spans="3:11" x14ac:dyDescent="0.2">
      <c r="C385" s="201" t="s">
        <v>8298</v>
      </c>
      <c r="D385" s="200">
        <v>44266</v>
      </c>
      <c r="E385" s="199" t="s">
        <v>8297</v>
      </c>
      <c r="I385" s="198">
        <v>0.27</v>
      </c>
      <c r="K385" s="198">
        <v>69030.720000000001</v>
      </c>
    </row>
    <row r="386" spans="3:11" x14ac:dyDescent="0.2">
      <c r="C386" s="201" t="s">
        <v>8296</v>
      </c>
      <c r="D386" s="200">
        <v>44266</v>
      </c>
      <c r="E386" s="199" t="s">
        <v>8295</v>
      </c>
      <c r="I386" s="198">
        <v>2.92</v>
      </c>
      <c r="K386" s="198">
        <v>69033.64</v>
      </c>
    </row>
    <row r="387" spans="3:11" x14ac:dyDescent="0.2">
      <c r="C387" s="201" t="s">
        <v>8294</v>
      </c>
      <c r="D387" s="200">
        <v>44266</v>
      </c>
      <c r="E387" s="199" t="s">
        <v>8293</v>
      </c>
      <c r="I387" s="198">
        <v>4.07</v>
      </c>
      <c r="K387" s="198">
        <v>69037.710000000006</v>
      </c>
    </row>
    <row r="388" spans="3:11" x14ac:dyDescent="0.2">
      <c r="C388" s="201" t="s">
        <v>8292</v>
      </c>
      <c r="D388" s="200">
        <v>44266</v>
      </c>
      <c r="E388" s="199" t="s">
        <v>8291</v>
      </c>
      <c r="I388" s="198">
        <v>3.51</v>
      </c>
      <c r="K388" s="198">
        <v>69041.22</v>
      </c>
    </row>
    <row r="389" spans="3:11" x14ac:dyDescent="0.2">
      <c r="C389" s="201" t="s">
        <v>8290</v>
      </c>
      <c r="D389" s="200">
        <v>44266</v>
      </c>
      <c r="E389" s="199" t="s">
        <v>8289</v>
      </c>
      <c r="I389" s="198">
        <v>11.41</v>
      </c>
      <c r="K389" s="198">
        <v>69052.63</v>
      </c>
    </row>
    <row r="390" spans="3:11" x14ac:dyDescent="0.2">
      <c r="C390" s="201" t="s">
        <v>8288</v>
      </c>
      <c r="D390" s="200">
        <v>44266</v>
      </c>
      <c r="E390" s="199" t="s">
        <v>8287</v>
      </c>
      <c r="I390" s="198">
        <v>5.92</v>
      </c>
      <c r="K390" s="198">
        <v>69058.55</v>
      </c>
    </row>
    <row r="391" spans="3:11" x14ac:dyDescent="0.2">
      <c r="C391" s="201" t="s">
        <v>8286</v>
      </c>
      <c r="D391" s="200">
        <v>44266</v>
      </c>
      <c r="E391" s="199" t="s">
        <v>8285</v>
      </c>
      <c r="I391" s="198">
        <v>1.05</v>
      </c>
      <c r="K391" s="198">
        <v>69059.600000000006</v>
      </c>
    </row>
    <row r="392" spans="3:11" x14ac:dyDescent="0.2">
      <c r="C392" s="201" t="s">
        <v>8284</v>
      </c>
      <c r="D392" s="200">
        <v>44266</v>
      </c>
      <c r="E392" s="199" t="s">
        <v>8283</v>
      </c>
      <c r="I392" s="198">
        <v>5.7</v>
      </c>
      <c r="K392" s="198">
        <v>69065.3</v>
      </c>
    </row>
    <row r="393" spans="3:11" x14ac:dyDescent="0.2">
      <c r="C393" s="201" t="s">
        <v>8282</v>
      </c>
      <c r="D393" s="200">
        <v>44266</v>
      </c>
      <c r="E393" s="199" t="s">
        <v>8281</v>
      </c>
      <c r="I393" s="198">
        <v>10</v>
      </c>
      <c r="K393" s="198">
        <v>69075.3</v>
      </c>
    </row>
    <row r="394" spans="3:11" x14ac:dyDescent="0.2">
      <c r="C394" s="201" t="s">
        <v>8280</v>
      </c>
      <c r="D394" s="200">
        <v>44266</v>
      </c>
      <c r="E394" s="199" t="s">
        <v>8279</v>
      </c>
      <c r="J394" s="222">
        <v>108.27</v>
      </c>
      <c r="K394" s="198">
        <v>68967.03</v>
      </c>
    </row>
    <row r="395" spans="3:11" x14ac:dyDescent="0.2">
      <c r="C395" s="201" t="s">
        <v>6600</v>
      </c>
      <c r="D395" s="200">
        <v>44266</v>
      </c>
      <c r="E395" s="199" t="s">
        <v>8278</v>
      </c>
      <c r="J395" s="222">
        <v>21.9</v>
      </c>
      <c r="K395" s="198">
        <v>68945.13</v>
      </c>
    </row>
    <row r="396" spans="3:11" x14ac:dyDescent="0.2">
      <c r="C396" s="201" t="s">
        <v>6598</v>
      </c>
      <c r="D396" s="200">
        <v>44266</v>
      </c>
      <c r="E396" s="199" t="s">
        <v>8277</v>
      </c>
      <c r="J396" s="222">
        <v>571.01</v>
      </c>
      <c r="K396" s="198">
        <v>68374.12</v>
      </c>
    </row>
    <row r="397" spans="3:11" x14ac:dyDescent="0.2">
      <c r="C397" s="201" t="s">
        <v>1536</v>
      </c>
      <c r="D397" s="200">
        <v>44266</v>
      </c>
      <c r="E397" s="199" t="s">
        <v>8276</v>
      </c>
      <c r="J397" s="222">
        <v>433.11</v>
      </c>
      <c r="K397" s="198">
        <v>67941.009999999995</v>
      </c>
    </row>
    <row r="398" spans="3:11" x14ac:dyDescent="0.2">
      <c r="C398" s="201" t="s">
        <v>1535</v>
      </c>
      <c r="D398" s="200">
        <v>44266</v>
      </c>
      <c r="E398" s="199" t="s">
        <v>8275</v>
      </c>
      <c r="J398" s="222">
        <v>116.99</v>
      </c>
      <c r="K398" s="198">
        <v>67824.02</v>
      </c>
    </row>
    <row r="399" spans="3:11" x14ac:dyDescent="0.2">
      <c r="C399" s="201" t="s">
        <v>1534</v>
      </c>
      <c r="D399" s="200">
        <v>44266</v>
      </c>
      <c r="E399" s="199" t="s">
        <v>8274</v>
      </c>
      <c r="J399" s="222">
        <v>1634.38</v>
      </c>
      <c r="K399" s="198">
        <v>66189.64</v>
      </c>
    </row>
    <row r="400" spans="3:11" x14ac:dyDescent="0.2">
      <c r="C400" s="201" t="s">
        <v>6819</v>
      </c>
      <c r="D400" s="200">
        <v>44266</v>
      </c>
      <c r="E400" s="199" t="s">
        <v>8273</v>
      </c>
      <c r="J400" s="222">
        <v>88</v>
      </c>
      <c r="K400" s="198">
        <v>66101.64</v>
      </c>
    </row>
    <row r="401" spans="3:11" x14ac:dyDescent="0.2">
      <c r="C401" s="201" t="s">
        <v>1533</v>
      </c>
      <c r="D401" s="200">
        <v>44266</v>
      </c>
      <c r="E401" s="199" t="s">
        <v>8272</v>
      </c>
      <c r="J401" s="222">
        <v>15.46</v>
      </c>
      <c r="K401" s="198">
        <v>66086.179999999993</v>
      </c>
    </row>
    <row r="402" spans="3:11" x14ac:dyDescent="0.2">
      <c r="C402" s="201" t="s">
        <v>1559</v>
      </c>
      <c r="D402" s="200">
        <v>44266</v>
      </c>
      <c r="E402" s="199" t="s">
        <v>8271</v>
      </c>
      <c r="J402" s="222">
        <v>8.6</v>
      </c>
      <c r="K402" s="198">
        <v>66077.58</v>
      </c>
    </row>
    <row r="403" spans="3:11" x14ac:dyDescent="0.2">
      <c r="C403" s="201" t="s">
        <v>1550</v>
      </c>
      <c r="D403" s="200">
        <v>44266</v>
      </c>
      <c r="E403" s="199" t="s">
        <v>20184</v>
      </c>
      <c r="J403" s="222">
        <v>13.52</v>
      </c>
      <c r="K403" s="198">
        <v>66064.06</v>
      </c>
    </row>
    <row r="404" spans="3:11" x14ac:dyDescent="0.2">
      <c r="C404" s="201" t="s">
        <v>8270</v>
      </c>
      <c r="D404" s="200">
        <v>44267</v>
      </c>
      <c r="E404" s="199" t="s">
        <v>8269</v>
      </c>
      <c r="I404" s="198">
        <v>76.569999999999993</v>
      </c>
      <c r="K404" s="198">
        <v>66140.63</v>
      </c>
    </row>
    <row r="405" spans="3:11" x14ac:dyDescent="0.2">
      <c r="C405" s="201" t="s">
        <v>8268</v>
      </c>
      <c r="D405" s="200">
        <v>44267</v>
      </c>
      <c r="E405" s="199" t="s">
        <v>8267</v>
      </c>
      <c r="I405" s="198">
        <v>1.94</v>
      </c>
      <c r="K405" s="198">
        <v>66142.570000000007</v>
      </c>
    </row>
    <row r="406" spans="3:11" x14ac:dyDescent="0.2">
      <c r="C406" s="201" t="s">
        <v>8266</v>
      </c>
      <c r="D406" s="200">
        <v>44267</v>
      </c>
      <c r="E406" s="199" t="s">
        <v>8265</v>
      </c>
      <c r="I406" s="198">
        <v>5.12</v>
      </c>
      <c r="K406" s="198">
        <v>66147.69</v>
      </c>
    </row>
    <row r="407" spans="3:11" x14ac:dyDescent="0.2">
      <c r="C407" s="201" t="s">
        <v>8264</v>
      </c>
      <c r="D407" s="200">
        <v>44267</v>
      </c>
      <c r="E407" s="199" t="s">
        <v>8263</v>
      </c>
      <c r="I407" s="198">
        <v>8.2899999999999991</v>
      </c>
      <c r="K407" s="198">
        <v>66155.98</v>
      </c>
    </row>
    <row r="408" spans="3:11" x14ac:dyDescent="0.2">
      <c r="C408" s="201" t="s">
        <v>8262</v>
      </c>
      <c r="D408" s="200">
        <v>44267</v>
      </c>
      <c r="E408" s="199" t="s">
        <v>8261</v>
      </c>
      <c r="I408" s="198">
        <v>6.72</v>
      </c>
      <c r="K408" s="198">
        <v>66162.7</v>
      </c>
    </row>
    <row r="409" spans="3:11" x14ac:dyDescent="0.2">
      <c r="C409" s="201" t="s">
        <v>8260</v>
      </c>
      <c r="D409" s="200">
        <v>44267</v>
      </c>
      <c r="E409" s="199" t="s">
        <v>8259</v>
      </c>
      <c r="I409" s="198">
        <v>7.38</v>
      </c>
      <c r="K409" s="198">
        <v>66170.080000000002</v>
      </c>
    </row>
    <row r="410" spans="3:11" x14ac:dyDescent="0.2">
      <c r="C410" s="201" t="s">
        <v>8258</v>
      </c>
      <c r="D410" s="200">
        <v>44267</v>
      </c>
      <c r="E410" s="199" t="s">
        <v>8257</v>
      </c>
      <c r="I410" s="198">
        <v>2.2999999999999998</v>
      </c>
      <c r="K410" s="198">
        <v>66172.38</v>
      </c>
    </row>
    <row r="411" spans="3:11" x14ac:dyDescent="0.2">
      <c r="C411" s="201" t="s">
        <v>8256</v>
      </c>
      <c r="D411" s="200">
        <v>44267</v>
      </c>
      <c r="E411" s="199" t="s">
        <v>8255</v>
      </c>
      <c r="I411" s="198">
        <v>2.93</v>
      </c>
      <c r="K411" s="198">
        <v>66175.31</v>
      </c>
    </row>
    <row r="412" spans="3:11" x14ac:dyDescent="0.2">
      <c r="C412" s="201" t="s">
        <v>8254</v>
      </c>
      <c r="D412" s="200">
        <v>44267</v>
      </c>
      <c r="E412" s="199" t="s">
        <v>8253</v>
      </c>
      <c r="I412" s="198">
        <v>6.49</v>
      </c>
      <c r="K412" s="198">
        <v>66181.8</v>
      </c>
    </row>
    <row r="413" spans="3:11" x14ac:dyDescent="0.2">
      <c r="C413" s="201" t="s">
        <v>8252</v>
      </c>
      <c r="D413" s="200">
        <v>44267</v>
      </c>
      <c r="E413" s="199" t="s">
        <v>8251</v>
      </c>
      <c r="I413" s="198">
        <v>27.56</v>
      </c>
      <c r="K413" s="198">
        <v>66209.36</v>
      </c>
    </row>
    <row r="414" spans="3:11" x14ac:dyDescent="0.2">
      <c r="C414" s="201" t="s">
        <v>8250</v>
      </c>
      <c r="D414" s="200">
        <v>44267</v>
      </c>
      <c r="E414" s="199" t="s">
        <v>8249</v>
      </c>
      <c r="I414" s="198">
        <v>7.44</v>
      </c>
      <c r="K414" s="198">
        <v>66216.800000000003</v>
      </c>
    </row>
    <row r="415" spans="3:11" x14ac:dyDescent="0.2">
      <c r="C415" s="201" t="s">
        <v>8248</v>
      </c>
      <c r="D415" s="200">
        <v>44267</v>
      </c>
      <c r="E415" s="199" t="s">
        <v>8247</v>
      </c>
      <c r="I415" s="198">
        <v>2.4900000000000002</v>
      </c>
      <c r="K415" s="198">
        <v>66219.289999999994</v>
      </c>
    </row>
    <row r="416" spans="3:11" x14ac:dyDescent="0.2">
      <c r="C416" s="201" t="s">
        <v>8246</v>
      </c>
      <c r="D416" s="200">
        <v>44267</v>
      </c>
      <c r="E416" s="199" t="s">
        <v>8245</v>
      </c>
      <c r="I416" s="198">
        <v>3.17</v>
      </c>
      <c r="K416" s="198">
        <v>66222.460000000006</v>
      </c>
    </row>
    <row r="417" spans="3:11" x14ac:dyDescent="0.2">
      <c r="C417" s="201" t="s">
        <v>8244</v>
      </c>
      <c r="D417" s="200">
        <v>44267</v>
      </c>
      <c r="E417" s="199" t="s">
        <v>8243</v>
      </c>
      <c r="I417" s="198">
        <v>1.78</v>
      </c>
      <c r="K417" s="198">
        <v>66224.240000000005</v>
      </c>
    </row>
    <row r="418" spans="3:11" x14ac:dyDescent="0.2">
      <c r="C418" s="201" t="s">
        <v>8242</v>
      </c>
      <c r="D418" s="200">
        <v>44267</v>
      </c>
      <c r="E418" s="199" t="s">
        <v>8241</v>
      </c>
      <c r="I418" s="198">
        <v>8.08</v>
      </c>
      <c r="K418" s="198">
        <v>66232.320000000007</v>
      </c>
    </row>
    <row r="419" spans="3:11" x14ac:dyDescent="0.2">
      <c r="C419" s="201" t="s">
        <v>8240</v>
      </c>
      <c r="D419" s="200">
        <v>44267</v>
      </c>
      <c r="E419" s="199" t="s">
        <v>8239</v>
      </c>
      <c r="I419" s="198">
        <v>3.73</v>
      </c>
      <c r="K419" s="198">
        <v>66236.05</v>
      </c>
    </row>
    <row r="420" spans="3:11" x14ac:dyDescent="0.2">
      <c r="C420" s="201" t="s">
        <v>8238</v>
      </c>
      <c r="D420" s="200">
        <v>44267</v>
      </c>
      <c r="E420" s="199" t="s">
        <v>8237</v>
      </c>
      <c r="I420" s="198">
        <v>1.68</v>
      </c>
      <c r="K420" s="198">
        <v>66237.73</v>
      </c>
    </row>
    <row r="421" spans="3:11" x14ac:dyDescent="0.2">
      <c r="C421" s="201" t="s">
        <v>8236</v>
      </c>
      <c r="D421" s="200">
        <v>44267</v>
      </c>
      <c r="E421" s="199" t="s">
        <v>8235</v>
      </c>
      <c r="I421" s="198">
        <v>2.46</v>
      </c>
      <c r="K421" s="198">
        <v>66240.19</v>
      </c>
    </row>
    <row r="422" spans="3:11" x14ac:dyDescent="0.2">
      <c r="C422" s="201" t="s">
        <v>8234</v>
      </c>
      <c r="D422" s="200">
        <v>44267</v>
      </c>
      <c r="E422" s="199" t="s">
        <v>8233</v>
      </c>
      <c r="I422" s="198">
        <v>22.39</v>
      </c>
      <c r="K422" s="198">
        <v>66262.58</v>
      </c>
    </row>
    <row r="423" spans="3:11" x14ac:dyDescent="0.2">
      <c r="C423" s="201" t="s">
        <v>8232</v>
      </c>
      <c r="D423" s="200">
        <v>44267</v>
      </c>
      <c r="E423" s="199" t="s">
        <v>8231</v>
      </c>
      <c r="I423" s="198">
        <v>3.8</v>
      </c>
      <c r="K423" s="198">
        <v>66266.38</v>
      </c>
    </row>
    <row r="424" spans="3:11" x14ac:dyDescent="0.2">
      <c r="C424" s="201" t="s">
        <v>8230</v>
      </c>
      <c r="D424" s="200">
        <v>44267</v>
      </c>
      <c r="E424" s="199" t="s">
        <v>8229</v>
      </c>
      <c r="I424" s="198">
        <v>3.82</v>
      </c>
      <c r="K424" s="198">
        <v>66270.2</v>
      </c>
    </row>
    <row r="425" spans="3:11" x14ac:dyDescent="0.2">
      <c r="C425" s="201" t="s">
        <v>8228</v>
      </c>
      <c r="D425" s="200">
        <v>44267</v>
      </c>
      <c r="E425" s="199" t="s">
        <v>8227</v>
      </c>
      <c r="I425" s="198">
        <v>1.78</v>
      </c>
      <c r="K425" s="198">
        <v>66271.98</v>
      </c>
    </row>
    <row r="426" spans="3:11" x14ac:dyDescent="0.2">
      <c r="C426" s="201" t="s">
        <v>8226</v>
      </c>
      <c r="D426" s="200">
        <v>44267</v>
      </c>
      <c r="E426" s="199" t="s">
        <v>8225</v>
      </c>
      <c r="I426" s="198">
        <v>2.59</v>
      </c>
      <c r="K426" s="198">
        <v>66274.570000000007</v>
      </c>
    </row>
    <row r="427" spans="3:11" x14ac:dyDescent="0.2">
      <c r="C427" s="201" t="s">
        <v>8224</v>
      </c>
      <c r="D427" s="200">
        <v>44267</v>
      </c>
      <c r="E427" s="199" t="s">
        <v>8223</v>
      </c>
      <c r="I427" s="198">
        <v>3.79</v>
      </c>
      <c r="K427" s="198">
        <v>66278.36</v>
      </c>
    </row>
    <row r="428" spans="3:11" x14ac:dyDescent="0.2">
      <c r="C428" s="201" t="s">
        <v>8222</v>
      </c>
      <c r="D428" s="200">
        <v>44267</v>
      </c>
      <c r="E428" s="199" t="s">
        <v>8221</v>
      </c>
      <c r="I428" s="198">
        <v>1.68</v>
      </c>
      <c r="K428" s="198">
        <v>66280.039999999994</v>
      </c>
    </row>
    <row r="429" spans="3:11" x14ac:dyDescent="0.2">
      <c r="C429" s="201" t="s">
        <v>8220</v>
      </c>
      <c r="D429" s="200">
        <v>44267</v>
      </c>
      <c r="E429" s="199" t="s">
        <v>8219</v>
      </c>
      <c r="I429" s="198">
        <v>1.93</v>
      </c>
      <c r="K429" s="198">
        <v>66281.97</v>
      </c>
    </row>
    <row r="430" spans="3:11" x14ac:dyDescent="0.2">
      <c r="C430" s="201" t="s">
        <v>8218</v>
      </c>
      <c r="D430" s="200">
        <v>44267</v>
      </c>
      <c r="E430" s="199" t="s">
        <v>8217</v>
      </c>
      <c r="I430" s="198">
        <v>5.33</v>
      </c>
      <c r="K430" s="198">
        <v>66287.3</v>
      </c>
    </row>
    <row r="431" spans="3:11" x14ac:dyDescent="0.2">
      <c r="C431" s="201" t="s">
        <v>8216</v>
      </c>
      <c r="D431" s="200">
        <v>44268</v>
      </c>
      <c r="E431" s="199" t="s">
        <v>8215</v>
      </c>
      <c r="I431" s="198">
        <v>5.91</v>
      </c>
      <c r="K431" s="198">
        <v>66293.210000000006</v>
      </c>
    </row>
    <row r="432" spans="3:11" x14ac:dyDescent="0.2">
      <c r="C432" s="201" t="s">
        <v>8214</v>
      </c>
      <c r="D432" s="200">
        <v>44268</v>
      </c>
      <c r="E432" s="199" t="s">
        <v>8213</v>
      </c>
      <c r="I432" s="198">
        <v>8.19</v>
      </c>
      <c r="K432" s="198">
        <v>66301.399999999994</v>
      </c>
    </row>
    <row r="433" spans="3:11" x14ac:dyDescent="0.2">
      <c r="C433" s="201" t="s">
        <v>8212</v>
      </c>
      <c r="D433" s="200">
        <v>44268</v>
      </c>
      <c r="E433" s="199" t="s">
        <v>8211</v>
      </c>
      <c r="I433" s="198">
        <v>1.8</v>
      </c>
      <c r="K433" s="198">
        <v>66303.199999999997</v>
      </c>
    </row>
    <row r="434" spans="3:11" x14ac:dyDescent="0.2">
      <c r="C434" s="201" t="s">
        <v>8210</v>
      </c>
      <c r="D434" s="200">
        <v>44268</v>
      </c>
      <c r="E434" s="199" t="s">
        <v>8209</v>
      </c>
      <c r="I434" s="198">
        <v>3.53</v>
      </c>
      <c r="K434" s="198">
        <v>66306.73</v>
      </c>
    </row>
    <row r="435" spans="3:11" x14ac:dyDescent="0.2">
      <c r="C435" s="201" t="s">
        <v>8208</v>
      </c>
      <c r="D435" s="200">
        <v>44268</v>
      </c>
      <c r="E435" s="199" t="s">
        <v>8207</v>
      </c>
      <c r="I435" s="198">
        <v>3.38</v>
      </c>
      <c r="K435" s="198">
        <v>66310.11</v>
      </c>
    </row>
    <row r="436" spans="3:11" x14ac:dyDescent="0.2">
      <c r="C436" s="201" t="s">
        <v>8206</v>
      </c>
      <c r="D436" s="200">
        <v>44268</v>
      </c>
      <c r="E436" s="199" t="s">
        <v>8205</v>
      </c>
      <c r="I436" s="198">
        <v>6.49</v>
      </c>
      <c r="K436" s="198">
        <v>66316.600000000006</v>
      </c>
    </row>
    <row r="437" spans="3:11" x14ac:dyDescent="0.2">
      <c r="C437" s="201" t="s">
        <v>8204</v>
      </c>
      <c r="D437" s="200">
        <v>44268</v>
      </c>
      <c r="E437" s="199" t="s">
        <v>8203</v>
      </c>
      <c r="I437" s="198">
        <v>7.23</v>
      </c>
      <c r="K437" s="198">
        <v>66323.83</v>
      </c>
    </row>
    <row r="438" spans="3:11" x14ac:dyDescent="0.2">
      <c r="C438" s="201" t="s">
        <v>8202</v>
      </c>
      <c r="D438" s="200">
        <v>44268</v>
      </c>
      <c r="E438" s="199" t="s">
        <v>8201</v>
      </c>
      <c r="I438" s="198">
        <v>7.23</v>
      </c>
      <c r="K438" s="198">
        <v>66331.06</v>
      </c>
    </row>
    <row r="439" spans="3:11" x14ac:dyDescent="0.2">
      <c r="C439" s="201" t="s">
        <v>8200</v>
      </c>
      <c r="D439" s="200">
        <v>44268</v>
      </c>
      <c r="E439" s="199" t="s">
        <v>8199</v>
      </c>
      <c r="I439" s="198">
        <v>4.88</v>
      </c>
      <c r="K439" s="198">
        <v>66335.94</v>
      </c>
    </row>
    <row r="440" spans="3:11" x14ac:dyDescent="0.2">
      <c r="C440" s="201" t="s">
        <v>8198</v>
      </c>
      <c r="D440" s="200">
        <v>44268</v>
      </c>
      <c r="E440" s="199" t="s">
        <v>8197</v>
      </c>
      <c r="I440" s="198">
        <v>3.36</v>
      </c>
      <c r="K440" s="198">
        <v>66339.3</v>
      </c>
    </row>
    <row r="441" spans="3:11" x14ac:dyDescent="0.2">
      <c r="C441" s="201" t="s">
        <v>8196</v>
      </c>
      <c r="D441" s="200">
        <v>44268</v>
      </c>
      <c r="E441" s="199" t="s">
        <v>8195</v>
      </c>
      <c r="I441" s="198">
        <v>13.86</v>
      </c>
      <c r="K441" s="198">
        <v>66353.16</v>
      </c>
    </row>
    <row r="442" spans="3:11" x14ac:dyDescent="0.2">
      <c r="C442" s="201" t="s">
        <v>8194</v>
      </c>
      <c r="D442" s="200">
        <v>44268</v>
      </c>
      <c r="E442" s="199" t="s">
        <v>8193</v>
      </c>
      <c r="I442" s="198">
        <v>1.77</v>
      </c>
      <c r="K442" s="198">
        <v>66354.929999999993</v>
      </c>
    </row>
    <row r="443" spans="3:11" x14ac:dyDescent="0.2">
      <c r="C443" s="201" t="s">
        <v>8192</v>
      </c>
      <c r="D443" s="200">
        <v>44268</v>
      </c>
      <c r="E443" s="199" t="s">
        <v>8191</v>
      </c>
      <c r="I443" s="198">
        <v>7.88</v>
      </c>
      <c r="K443" s="198">
        <v>66362.81</v>
      </c>
    </row>
    <row r="444" spans="3:11" x14ac:dyDescent="0.2">
      <c r="C444" s="201" t="s">
        <v>8190</v>
      </c>
      <c r="D444" s="200">
        <v>44268</v>
      </c>
      <c r="E444" s="199" t="s">
        <v>8189</v>
      </c>
      <c r="I444" s="198">
        <v>5.26</v>
      </c>
      <c r="K444" s="198">
        <v>66368.070000000007</v>
      </c>
    </row>
    <row r="445" spans="3:11" x14ac:dyDescent="0.2">
      <c r="C445" s="201" t="s">
        <v>1552</v>
      </c>
      <c r="D445" s="200">
        <v>44268</v>
      </c>
      <c r="E445" s="199" t="s">
        <v>8188</v>
      </c>
      <c r="J445" s="222">
        <v>665.76</v>
      </c>
      <c r="K445" s="198">
        <v>65702.31</v>
      </c>
    </row>
    <row r="446" spans="3:11" x14ac:dyDescent="0.2">
      <c r="C446" s="201" t="s">
        <v>8187</v>
      </c>
      <c r="D446" s="200">
        <v>44269</v>
      </c>
      <c r="E446" s="199" t="s">
        <v>8186</v>
      </c>
      <c r="I446" s="198">
        <v>3.67</v>
      </c>
      <c r="K446" s="198">
        <v>65705.98</v>
      </c>
    </row>
    <row r="447" spans="3:11" x14ac:dyDescent="0.2">
      <c r="C447" s="201" t="s">
        <v>8185</v>
      </c>
      <c r="D447" s="200">
        <v>44269</v>
      </c>
      <c r="E447" s="199" t="s">
        <v>8184</v>
      </c>
      <c r="I447" s="198">
        <v>4.6900000000000004</v>
      </c>
      <c r="K447" s="198">
        <v>65710.67</v>
      </c>
    </row>
    <row r="448" spans="3:11" x14ac:dyDescent="0.2">
      <c r="C448" s="201" t="s">
        <v>8183</v>
      </c>
      <c r="D448" s="200">
        <v>44270</v>
      </c>
      <c r="E448" s="199" t="s">
        <v>8182</v>
      </c>
      <c r="I448" s="198">
        <v>5.34</v>
      </c>
      <c r="K448" s="198">
        <v>65716.009999999995</v>
      </c>
    </row>
    <row r="449" spans="3:11" x14ac:dyDescent="0.2">
      <c r="C449" s="201" t="s">
        <v>20183</v>
      </c>
      <c r="D449" s="200">
        <v>44270</v>
      </c>
      <c r="E449" s="199" t="s">
        <v>20174</v>
      </c>
      <c r="I449" s="198">
        <v>6</v>
      </c>
      <c r="K449" s="198">
        <v>65722.009999999995</v>
      </c>
    </row>
    <row r="450" spans="3:11" x14ac:dyDescent="0.2">
      <c r="C450" s="201" t="s">
        <v>20182</v>
      </c>
      <c r="D450" s="200">
        <v>44270</v>
      </c>
      <c r="E450" s="199" t="s">
        <v>20174</v>
      </c>
      <c r="I450" s="198">
        <v>2</v>
      </c>
      <c r="K450" s="198">
        <v>65724.009999999995</v>
      </c>
    </row>
    <row r="451" spans="3:11" x14ac:dyDescent="0.2">
      <c r="C451" s="201" t="s">
        <v>8181</v>
      </c>
      <c r="D451" s="200">
        <v>44270</v>
      </c>
      <c r="E451" s="199" t="s">
        <v>8180</v>
      </c>
      <c r="I451" s="198">
        <v>43.81</v>
      </c>
      <c r="K451" s="198">
        <v>65767.820000000007</v>
      </c>
    </row>
    <row r="452" spans="3:11" x14ac:dyDescent="0.2">
      <c r="C452" s="201" t="s">
        <v>8179</v>
      </c>
      <c r="D452" s="200">
        <v>44270</v>
      </c>
      <c r="E452" s="199" t="s">
        <v>8178</v>
      </c>
      <c r="I452" s="198">
        <v>24.6</v>
      </c>
      <c r="K452" s="198">
        <v>65792.42</v>
      </c>
    </row>
    <row r="453" spans="3:11" x14ac:dyDescent="0.2">
      <c r="C453" s="201" t="s">
        <v>8177</v>
      </c>
      <c r="D453" s="200">
        <v>44270</v>
      </c>
      <c r="E453" s="199" t="s">
        <v>8176</v>
      </c>
      <c r="I453" s="198">
        <v>4.1399999999999997</v>
      </c>
      <c r="K453" s="198">
        <v>65796.56</v>
      </c>
    </row>
    <row r="454" spans="3:11" x14ac:dyDescent="0.2">
      <c r="C454" s="201" t="s">
        <v>8175</v>
      </c>
      <c r="D454" s="200">
        <v>44270</v>
      </c>
      <c r="E454" s="199" t="s">
        <v>8174</v>
      </c>
      <c r="I454" s="198">
        <v>4.7699999999999996</v>
      </c>
      <c r="K454" s="198">
        <v>65801.33</v>
      </c>
    </row>
    <row r="455" spans="3:11" x14ac:dyDescent="0.2">
      <c r="C455" s="201" t="s">
        <v>8173</v>
      </c>
      <c r="D455" s="200">
        <v>44270</v>
      </c>
      <c r="E455" s="199" t="s">
        <v>8172</v>
      </c>
      <c r="I455" s="198">
        <v>4.46</v>
      </c>
      <c r="K455" s="198">
        <v>65805.789999999994</v>
      </c>
    </row>
    <row r="456" spans="3:11" x14ac:dyDescent="0.2">
      <c r="C456" s="201" t="s">
        <v>8171</v>
      </c>
      <c r="D456" s="200">
        <v>44270</v>
      </c>
      <c r="E456" s="199" t="s">
        <v>8170</v>
      </c>
      <c r="I456" s="198">
        <v>5.04</v>
      </c>
      <c r="K456" s="198">
        <v>65810.83</v>
      </c>
    </row>
    <row r="457" spans="3:11" x14ac:dyDescent="0.2">
      <c r="C457" s="201" t="s">
        <v>8169</v>
      </c>
      <c r="D457" s="200">
        <v>44270</v>
      </c>
      <c r="E457" s="199" t="s">
        <v>8168</v>
      </c>
      <c r="I457" s="198">
        <v>10.61</v>
      </c>
      <c r="K457" s="198">
        <v>65821.440000000002</v>
      </c>
    </row>
    <row r="458" spans="3:11" x14ac:dyDescent="0.2">
      <c r="C458" s="201" t="s">
        <v>8167</v>
      </c>
      <c r="D458" s="200">
        <v>44270</v>
      </c>
      <c r="E458" s="199" t="s">
        <v>8166</v>
      </c>
      <c r="I458" s="198">
        <v>2.13</v>
      </c>
      <c r="K458" s="198">
        <v>65823.570000000007</v>
      </c>
    </row>
    <row r="459" spans="3:11" x14ac:dyDescent="0.2">
      <c r="C459" s="201" t="s">
        <v>8165</v>
      </c>
      <c r="D459" s="200">
        <v>44270</v>
      </c>
      <c r="E459" s="199" t="s">
        <v>8164</v>
      </c>
      <c r="I459" s="198">
        <v>1.81</v>
      </c>
      <c r="K459" s="198">
        <v>65825.38</v>
      </c>
    </row>
    <row r="460" spans="3:11" x14ac:dyDescent="0.2">
      <c r="C460" s="201" t="s">
        <v>8163</v>
      </c>
      <c r="D460" s="200">
        <v>44270</v>
      </c>
      <c r="E460" s="199" t="s">
        <v>8162</v>
      </c>
      <c r="I460" s="198">
        <v>0.37</v>
      </c>
      <c r="K460" s="198">
        <v>65825.75</v>
      </c>
    </row>
    <row r="461" spans="3:11" x14ac:dyDescent="0.2">
      <c r="C461" s="201" t="s">
        <v>8161</v>
      </c>
      <c r="D461" s="200">
        <v>44270</v>
      </c>
      <c r="E461" s="199" t="s">
        <v>8160</v>
      </c>
      <c r="I461" s="198">
        <v>11.28</v>
      </c>
      <c r="K461" s="198">
        <v>65837.03</v>
      </c>
    </row>
    <row r="462" spans="3:11" x14ac:dyDescent="0.2">
      <c r="C462" s="201" t="s">
        <v>8159</v>
      </c>
      <c r="D462" s="200">
        <v>44270</v>
      </c>
      <c r="E462" s="199" t="s">
        <v>8158</v>
      </c>
      <c r="I462" s="198">
        <v>1.69</v>
      </c>
      <c r="K462" s="198">
        <v>65838.720000000001</v>
      </c>
    </row>
    <row r="463" spans="3:11" x14ac:dyDescent="0.2">
      <c r="C463" s="201" t="s">
        <v>8157</v>
      </c>
      <c r="D463" s="200">
        <v>44270</v>
      </c>
      <c r="E463" s="199" t="s">
        <v>8156</v>
      </c>
      <c r="I463" s="198">
        <v>56</v>
      </c>
      <c r="K463" s="198">
        <v>65894.720000000001</v>
      </c>
    </row>
    <row r="464" spans="3:11" x14ac:dyDescent="0.2">
      <c r="C464" s="201" t="s">
        <v>8155</v>
      </c>
      <c r="D464" s="200">
        <v>44270</v>
      </c>
      <c r="E464" s="199" t="s">
        <v>8154</v>
      </c>
      <c r="I464" s="198">
        <v>4.1900000000000004</v>
      </c>
      <c r="K464" s="198">
        <v>65898.91</v>
      </c>
    </row>
    <row r="465" spans="3:11" x14ac:dyDescent="0.2">
      <c r="C465" s="201" t="s">
        <v>8153</v>
      </c>
      <c r="D465" s="200">
        <v>44270</v>
      </c>
      <c r="E465" s="199" t="s">
        <v>8152</v>
      </c>
      <c r="I465" s="198">
        <v>16.760000000000002</v>
      </c>
      <c r="K465" s="198">
        <v>65915.67</v>
      </c>
    </row>
    <row r="466" spans="3:11" x14ac:dyDescent="0.2">
      <c r="C466" s="201" t="s">
        <v>8151</v>
      </c>
      <c r="D466" s="200">
        <v>44270</v>
      </c>
      <c r="E466" s="199" t="s">
        <v>8150</v>
      </c>
      <c r="I466" s="198">
        <v>15.92</v>
      </c>
      <c r="K466" s="198">
        <v>65931.59</v>
      </c>
    </row>
    <row r="467" spans="3:11" x14ac:dyDescent="0.2">
      <c r="C467" s="201" t="s">
        <v>8149</v>
      </c>
      <c r="D467" s="200">
        <v>44270</v>
      </c>
      <c r="E467" s="199" t="s">
        <v>8148</v>
      </c>
      <c r="I467" s="198">
        <v>3.71</v>
      </c>
      <c r="K467" s="198">
        <v>65935.3</v>
      </c>
    </row>
    <row r="468" spans="3:11" x14ac:dyDescent="0.2">
      <c r="C468" s="201" t="s">
        <v>8147</v>
      </c>
      <c r="D468" s="200">
        <v>44270</v>
      </c>
      <c r="E468" s="199" t="s">
        <v>8146</v>
      </c>
      <c r="I468" s="198">
        <v>6.76</v>
      </c>
      <c r="K468" s="198">
        <v>65942.06</v>
      </c>
    </row>
    <row r="469" spans="3:11" x14ac:dyDescent="0.2">
      <c r="C469" s="201" t="s">
        <v>8145</v>
      </c>
      <c r="D469" s="200">
        <v>44270</v>
      </c>
      <c r="E469" s="199" t="s">
        <v>8144</v>
      </c>
      <c r="I469" s="198">
        <v>8.3800000000000008</v>
      </c>
      <c r="K469" s="198">
        <v>65950.44</v>
      </c>
    </row>
    <row r="470" spans="3:11" x14ac:dyDescent="0.2">
      <c r="C470" s="201" t="s">
        <v>8143</v>
      </c>
      <c r="D470" s="200">
        <v>44270</v>
      </c>
      <c r="E470" s="199" t="s">
        <v>8142</v>
      </c>
      <c r="I470" s="198">
        <v>1.95</v>
      </c>
      <c r="K470" s="198">
        <v>65952.39</v>
      </c>
    </row>
    <row r="471" spans="3:11" x14ac:dyDescent="0.2">
      <c r="C471" s="201" t="s">
        <v>8141</v>
      </c>
      <c r="D471" s="200">
        <v>44270</v>
      </c>
      <c r="E471" s="199" t="s">
        <v>8140</v>
      </c>
      <c r="I471" s="198">
        <v>1.9</v>
      </c>
      <c r="K471" s="198">
        <v>65954.289999999994</v>
      </c>
    </row>
    <row r="472" spans="3:11" x14ac:dyDescent="0.2">
      <c r="C472" s="201" t="s">
        <v>8139</v>
      </c>
      <c r="D472" s="200">
        <v>44270</v>
      </c>
      <c r="E472" s="199" t="s">
        <v>8138</v>
      </c>
      <c r="I472" s="198">
        <v>3.36</v>
      </c>
      <c r="K472" s="198">
        <v>65957.649999999994</v>
      </c>
    </row>
    <row r="473" spans="3:11" x14ac:dyDescent="0.2">
      <c r="C473" s="201" t="s">
        <v>8137</v>
      </c>
      <c r="D473" s="200">
        <v>44270</v>
      </c>
      <c r="E473" s="199" t="s">
        <v>8136</v>
      </c>
      <c r="I473" s="198">
        <v>9.6999999999999993</v>
      </c>
      <c r="K473" s="198">
        <v>65967.350000000006</v>
      </c>
    </row>
    <row r="474" spans="3:11" x14ac:dyDescent="0.2">
      <c r="C474" s="201" t="s">
        <v>8135</v>
      </c>
      <c r="D474" s="200">
        <v>44270</v>
      </c>
      <c r="E474" s="199" t="s">
        <v>8134</v>
      </c>
      <c r="I474" s="198">
        <v>7.45</v>
      </c>
      <c r="K474" s="198">
        <v>65974.8</v>
      </c>
    </row>
    <row r="475" spans="3:11" x14ac:dyDescent="0.2">
      <c r="C475" s="201" t="s">
        <v>8133</v>
      </c>
      <c r="D475" s="200">
        <v>44270</v>
      </c>
      <c r="E475" s="199" t="s">
        <v>8132</v>
      </c>
      <c r="I475" s="198">
        <v>25.13</v>
      </c>
      <c r="K475" s="198">
        <v>65999.929999999993</v>
      </c>
    </row>
    <row r="476" spans="3:11" x14ac:dyDescent="0.2">
      <c r="C476" s="201" t="s">
        <v>8131</v>
      </c>
      <c r="D476" s="200">
        <v>44270</v>
      </c>
      <c r="E476" s="199" t="s">
        <v>8130</v>
      </c>
      <c r="I476" s="198">
        <v>1.68</v>
      </c>
      <c r="K476" s="198">
        <v>66001.61</v>
      </c>
    </row>
    <row r="477" spans="3:11" x14ac:dyDescent="0.2">
      <c r="C477" s="201" t="s">
        <v>8129</v>
      </c>
      <c r="D477" s="200">
        <v>44270</v>
      </c>
      <c r="E477" s="199" t="s">
        <v>8128</v>
      </c>
      <c r="I477" s="198">
        <v>12.46</v>
      </c>
      <c r="K477" s="198">
        <v>66014.070000000007</v>
      </c>
    </row>
    <row r="478" spans="3:11" x14ac:dyDescent="0.2">
      <c r="C478" s="201" t="s">
        <v>8127</v>
      </c>
      <c r="D478" s="200">
        <v>44270</v>
      </c>
      <c r="E478" s="199" t="s">
        <v>8126</v>
      </c>
      <c r="J478" s="222">
        <v>2800</v>
      </c>
      <c r="K478" s="198">
        <v>63214.07</v>
      </c>
    </row>
    <row r="479" spans="3:11" x14ac:dyDescent="0.2">
      <c r="C479" s="201" t="s">
        <v>1539</v>
      </c>
      <c r="D479" s="200">
        <v>44270</v>
      </c>
      <c r="E479" s="199" t="s">
        <v>8125</v>
      </c>
      <c r="J479" s="222">
        <v>521.77</v>
      </c>
      <c r="K479" s="198">
        <v>62692.3</v>
      </c>
    </row>
    <row r="480" spans="3:11" x14ac:dyDescent="0.2">
      <c r="C480" s="201" t="s">
        <v>1538</v>
      </c>
      <c r="D480" s="200">
        <v>44270</v>
      </c>
      <c r="E480" s="199" t="s">
        <v>8124</v>
      </c>
      <c r="J480" s="222">
        <v>3600</v>
      </c>
      <c r="K480" s="198">
        <v>59092.3</v>
      </c>
    </row>
    <row r="481" spans="3:11" x14ac:dyDescent="0.2">
      <c r="C481" s="201" t="s">
        <v>1537</v>
      </c>
      <c r="D481" s="200">
        <v>44270</v>
      </c>
      <c r="E481" s="199" t="s">
        <v>8123</v>
      </c>
      <c r="J481" s="222">
        <v>1800</v>
      </c>
      <c r="K481" s="198">
        <v>57292.3</v>
      </c>
    </row>
    <row r="482" spans="3:11" x14ac:dyDescent="0.2">
      <c r="C482" s="201" t="s">
        <v>8122</v>
      </c>
      <c r="D482" s="200">
        <v>44271</v>
      </c>
      <c r="E482" s="199" t="s">
        <v>8121</v>
      </c>
      <c r="I482" s="198">
        <v>4.8</v>
      </c>
      <c r="K482" s="198">
        <v>57297.1</v>
      </c>
    </row>
    <row r="483" spans="3:11" x14ac:dyDescent="0.2">
      <c r="C483" s="201" t="s">
        <v>8120</v>
      </c>
      <c r="D483" s="200">
        <v>44271</v>
      </c>
      <c r="E483" s="199" t="s">
        <v>8119</v>
      </c>
      <c r="I483" s="198">
        <v>1</v>
      </c>
      <c r="K483" s="198">
        <v>57298.1</v>
      </c>
    </row>
    <row r="484" spans="3:11" x14ac:dyDescent="0.2">
      <c r="C484" s="201" t="s">
        <v>8118</v>
      </c>
      <c r="D484" s="200">
        <v>44271</v>
      </c>
      <c r="E484" s="199" t="s">
        <v>8117</v>
      </c>
      <c r="I484" s="198">
        <v>4.2699999999999996</v>
      </c>
      <c r="K484" s="198">
        <v>57302.37</v>
      </c>
    </row>
    <row r="485" spans="3:11" x14ac:dyDescent="0.2">
      <c r="C485" s="201" t="s">
        <v>8116</v>
      </c>
      <c r="D485" s="200">
        <v>44271</v>
      </c>
      <c r="E485" s="199" t="s">
        <v>8115</v>
      </c>
      <c r="I485" s="198">
        <v>1.71</v>
      </c>
      <c r="K485" s="198">
        <v>57304.08</v>
      </c>
    </row>
    <row r="486" spans="3:11" x14ac:dyDescent="0.2">
      <c r="C486" s="201" t="s">
        <v>8114</v>
      </c>
      <c r="D486" s="200">
        <v>44271</v>
      </c>
      <c r="E486" s="199" t="s">
        <v>8113</v>
      </c>
      <c r="I486" s="198">
        <v>0.78</v>
      </c>
      <c r="K486" s="198">
        <v>57304.86</v>
      </c>
    </row>
    <row r="487" spans="3:11" x14ac:dyDescent="0.2">
      <c r="C487" s="201" t="s">
        <v>8112</v>
      </c>
      <c r="D487" s="200">
        <v>44271</v>
      </c>
      <c r="E487" s="199" t="s">
        <v>8111</v>
      </c>
      <c r="I487" s="198">
        <v>7.2</v>
      </c>
      <c r="K487" s="198">
        <v>57312.06</v>
      </c>
    </row>
    <row r="488" spans="3:11" x14ac:dyDescent="0.2">
      <c r="C488" s="201" t="s">
        <v>8110</v>
      </c>
      <c r="D488" s="200">
        <v>44271</v>
      </c>
      <c r="E488" s="199" t="s">
        <v>8109</v>
      </c>
      <c r="I488" s="198">
        <v>15.36</v>
      </c>
      <c r="K488" s="198">
        <v>57327.42</v>
      </c>
    </row>
    <row r="489" spans="3:11" x14ac:dyDescent="0.2">
      <c r="C489" s="201" t="s">
        <v>8108</v>
      </c>
      <c r="D489" s="200">
        <v>44271</v>
      </c>
      <c r="E489" s="199" t="s">
        <v>8107</v>
      </c>
      <c r="I489" s="198">
        <v>3.76</v>
      </c>
      <c r="K489" s="198">
        <v>57331.18</v>
      </c>
    </row>
    <row r="490" spans="3:11" x14ac:dyDescent="0.2">
      <c r="C490" s="201" t="s">
        <v>8106</v>
      </c>
      <c r="D490" s="200">
        <v>44271</v>
      </c>
      <c r="E490" s="199" t="s">
        <v>8105</v>
      </c>
      <c r="I490" s="198">
        <v>2.36</v>
      </c>
      <c r="K490" s="198">
        <v>57333.54</v>
      </c>
    </row>
    <row r="491" spans="3:11" x14ac:dyDescent="0.2">
      <c r="C491" s="201" t="s">
        <v>8104</v>
      </c>
      <c r="D491" s="200">
        <v>44271</v>
      </c>
      <c r="E491" s="199" t="s">
        <v>8103</v>
      </c>
      <c r="I491" s="198">
        <v>10.53</v>
      </c>
      <c r="K491" s="198">
        <v>57344.07</v>
      </c>
    </row>
    <row r="492" spans="3:11" x14ac:dyDescent="0.2">
      <c r="C492" s="201" t="s">
        <v>8102</v>
      </c>
      <c r="D492" s="200">
        <v>44271</v>
      </c>
      <c r="E492" s="199" t="s">
        <v>8101</v>
      </c>
      <c r="I492" s="198">
        <v>2.46</v>
      </c>
      <c r="K492" s="198">
        <v>57346.53</v>
      </c>
    </row>
    <row r="493" spans="3:11" x14ac:dyDescent="0.2">
      <c r="C493" s="201" t="s">
        <v>8100</v>
      </c>
      <c r="D493" s="200">
        <v>44271</v>
      </c>
      <c r="E493" s="199" t="s">
        <v>8099</v>
      </c>
      <c r="I493" s="198">
        <v>1.81</v>
      </c>
      <c r="K493" s="198">
        <v>57348.34</v>
      </c>
    </row>
    <row r="494" spans="3:11" x14ac:dyDescent="0.2">
      <c r="C494" s="201" t="s">
        <v>8098</v>
      </c>
      <c r="D494" s="200">
        <v>44271</v>
      </c>
      <c r="E494" s="199" t="s">
        <v>8097</v>
      </c>
      <c r="I494" s="198">
        <v>3.16</v>
      </c>
      <c r="K494" s="198">
        <v>57351.5</v>
      </c>
    </row>
    <row r="495" spans="3:11" x14ac:dyDescent="0.2">
      <c r="C495" s="201" t="s">
        <v>8096</v>
      </c>
      <c r="D495" s="200">
        <v>44271</v>
      </c>
      <c r="E495" s="199" t="s">
        <v>8095</v>
      </c>
      <c r="I495" s="198">
        <v>5.49</v>
      </c>
      <c r="K495" s="198">
        <v>57356.99</v>
      </c>
    </row>
    <row r="496" spans="3:11" x14ac:dyDescent="0.2">
      <c r="C496" s="201" t="s">
        <v>8094</v>
      </c>
      <c r="D496" s="200">
        <v>44271</v>
      </c>
      <c r="E496" s="199" t="s">
        <v>8093</v>
      </c>
      <c r="I496" s="198">
        <v>6.36</v>
      </c>
      <c r="K496" s="198">
        <v>57363.35</v>
      </c>
    </row>
    <row r="497" spans="3:11" x14ac:dyDescent="0.2">
      <c r="C497" s="201" t="s">
        <v>8092</v>
      </c>
      <c r="D497" s="200">
        <v>44271</v>
      </c>
      <c r="E497" s="199" t="s">
        <v>8091</v>
      </c>
      <c r="I497" s="198">
        <v>5.09</v>
      </c>
      <c r="K497" s="198">
        <v>57368.44</v>
      </c>
    </row>
    <row r="498" spans="3:11" x14ac:dyDescent="0.2">
      <c r="C498" s="201" t="s">
        <v>8090</v>
      </c>
      <c r="D498" s="200">
        <v>44271</v>
      </c>
      <c r="E498" s="199" t="s">
        <v>8089</v>
      </c>
      <c r="I498" s="198">
        <v>7.11</v>
      </c>
      <c r="K498" s="198">
        <v>57375.55</v>
      </c>
    </row>
    <row r="499" spans="3:11" x14ac:dyDescent="0.2">
      <c r="C499" s="201" t="s">
        <v>8088</v>
      </c>
      <c r="D499" s="200">
        <v>44271</v>
      </c>
      <c r="E499" s="199" t="s">
        <v>8087</v>
      </c>
      <c r="I499" s="198">
        <v>0.78</v>
      </c>
      <c r="K499" s="198">
        <v>57376.33</v>
      </c>
    </row>
    <row r="500" spans="3:11" x14ac:dyDescent="0.2">
      <c r="C500" s="201" t="s">
        <v>8086</v>
      </c>
      <c r="D500" s="200">
        <v>44271</v>
      </c>
      <c r="E500" s="199" t="s">
        <v>8085</v>
      </c>
      <c r="I500" s="198">
        <v>25.9</v>
      </c>
      <c r="K500" s="198">
        <v>57402.23</v>
      </c>
    </row>
    <row r="501" spans="3:11" x14ac:dyDescent="0.2">
      <c r="C501" s="201" t="s">
        <v>8084</v>
      </c>
      <c r="D501" s="200">
        <v>44271</v>
      </c>
      <c r="E501" s="199" t="s">
        <v>8083</v>
      </c>
      <c r="I501" s="198">
        <v>4.09</v>
      </c>
      <c r="K501" s="198">
        <v>57406.32</v>
      </c>
    </row>
    <row r="502" spans="3:11" x14ac:dyDescent="0.2">
      <c r="C502" s="201" t="s">
        <v>8082</v>
      </c>
      <c r="D502" s="200">
        <v>44271</v>
      </c>
      <c r="E502" s="199" t="s">
        <v>8081</v>
      </c>
      <c r="I502" s="198">
        <v>2.13</v>
      </c>
      <c r="K502" s="198">
        <v>57408.45</v>
      </c>
    </row>
    <row r="503" spans="3:11" x14ac:dyDescent="0.2">
      <c r="C503" s="201" t="s">
        <v>8080</v>
      </c>
      <c r="D503" s="200">
        <v>44271</v>
      </c>
      <c r="E503" s="199" t="s">
        <v>8079</v>
      </c>
      <c r="I503" s="198">
        <v>8.3800000000000008</v>
      </c>
      <c r="K503" s="198">
        <v>57416.83</v>
      </c>
    </row>
    <row r="504" spans="3:11" x14ac:dyDescent="0.2">
      <c r="C504" s="201" t="s">
        <v>8078</v>
      </c>
      <c r="D504" s="200">
        <v>44271</v>
      </c>
      <c r="E504" s="199" t="s">
        <v>8077</v>
      </c>
      <c r="I504" s="198">
        <v>111</v>
      </c>
      <c r="K504" s="198">
        <v>57527.83</v>
      </c>
    </row>
    <row r="505" spans="3:11" x14ac:dyDescent="0.2">
      <c r="C505" s="201" t="s">
        <v>7713</v>
      </c>
      <c r="D505" s="200">
        <v>44271</v>
      </c>
      <c r="E505" s="199" t="s">
        <v>7712</v>
      </c>
      <c r="I505" s="198">
        <v>400</v>
      </c>
      <c r="K505" s="198">
        <v>57927.83</v>
      </c>
    </row>
    <row r="506" spans="3:11" x14ac:dyDescent="0.2">
      <c r="C506" s="201" t="s">
        <v>8076</v>
      </c>
      <c r="D506" s="200">
        <v>44272</v>
      </c>
      <c r="E506" s="199" t="s">
        <v>8075</v>
      </c>
      <c r="I506" s="198">
        <v>11.41</v>
      </c>
      <c r="K506" s="198">
        <v>57939.24</v>
      </c>
    </row>
    <row r="507" spans="3:11" x14ac:dyDescent="0.2">
      <c r="C507" s="201" t="s">
        <v>8074</v>
      </c>
      <c r="D507" s="200">
        <v>44272</v>
      </c>
      <c r="E507" s="199" t="s">
        <v>8073</v>
      </c>
      <c r="I507" s="198">
        <v>3.02</v>
      </c>
      <c r="K507" s="198">
        <v>57942.26</v>
      </c>
    </row>
    <row r="508" spans="3:11" x14ac:dyDescent="0.2">
      <c r="C508" s="201" t="s">
        <v>8072</v>
      </c>
      <c r="D508" s="200">
        <v>44272</v>
      </c>
      <c r="E508" s="199" t="s">
        <v>8071</v>
      </c>
      <c r="I508" s="198">
        <v>4.37</v>
      </c>
      <c r="K508" s="198">
        <v>57946.63</v>
      </c>
    </row>
    <row r="509" spans="3:11" x14ac:dyDescent="0.2">
      <c r="C509" s="201" t="s">
        <v>8070</v>
      </c>
      <c r="D509" s="200">
        <v>44272</v>
      </c>
      <c r="E509" s="199" t="s">
        <v>8069</v>
      </c>
      <c r="I509" s="198">
        <v>10.37</v>
      </c>
      <c r="K509" s="198">
        <v>57957</v>
      </c>
    </row>
    <row r="510" spans="3:11" x14ac:dyDescent="0.2">
      <c r="C510" s="201" t="s">
        <v>8068</v>
      </c>
      <c r="D510" s="200">
        <v>44272</v>
      </c>
      <c r="E510" s="199" t="s">
        <v>8067</v>
      </c>
      <c r="I510" s="198">
        <v>1.94</v>
      </c>
      <c r="K510" s="198">
        <v>57958.94</v>
      </c>
    </row>
    <row r="511" spans="3:11" x14ac:dyDescent="0.2">
      <c r="C511" s="201" t="s">
        <v>8066</v>
      </c>
      <c r="D511" s="200">
        <v>44272</v>
      </c>
      <c r="E511" s="199" t="s">
        <v>8065</v>
      </c>
      <c r="I511" s="198">
        <v>4.13</v>
      </c>
      <c r="K511" s="198">
        <v>57963.07</v>
      </c>
    </row>
    <row r="512" spans="3:11" x14ac:dyDescent="0.2">
      <c r="C512" s="201" t="s">
        <v>8064</v>
      </c>
      <c r="D512" s="200">
        <v>44272</v>
      </c>
      <c r="E512" s="199" t="s">
        <v>8063</v>
      </c>
      <c r="I512" s="198">
        <v>24.56</v>
      </c>
      <c r="K512" s="198">
        <v>57987.63</v>
      </c>
    </row>
    <row r="513" spans="3:11" x14ac:dyDescent="0.2">
      <c r="C513" s="201" t="s">
        <v>8062</v>
      </c>
      <c r="D513" s="200">
        <v>44272</v>
      </c>
      <c r="E513" s="199" t="s">
        <v>8061</v>
      </c>
      <c r="I513" s="198">
        <v>12.72</v>
      </c>
      <c r="K513" s="198">
        <v>58000.35</v>
      </c>
    </row>
    <row r="514" spans="3:11" x14ac:dyDescent="0.2">
      <c r="C514" s="201" t="s">
        <v>8060</v>
      </c>
      <c r="D514" s="200">
        <v>44272</v>
      </c>
      <c r="E514" s="199" t="s">
        <v>8059</v>
      </c>
      <c r="I514" s="198">
        <v>70.38</v>
      </c>
      <c r="K514" s="198">
        <v>58070.73</v>
      </c>
    </row>
    <row r="515" spans="3:11" x14ac:dyDescent="0.2">
      <c r="C515" s="201" t="s">
        <v>8058</v>
      </c>
      <c r="D515" s="200">
        <v>44272</v>
      </c>
      <c r="E515" s="199" t="s">
        <v>8057</v>
      </c>
      <c r="I515" s="198">
        <v>3.4</v>
      </c>
      <c r="K515" s="198">
        <v>58074.13</v>
      </c>
    </row>
    <row r="516" spans="3:11" x14ac:dyDescent="0.2">
      <c r="C516" s="201" t="s">
        <v>8056</v>
      </c>
      <c r="D516" s="200">
        <v>44272</v>
      </c>
      <c r="E516" s="199" t="s">
        <v>8055</v>
      </c>
      <c r="I516" s="198">
        <v>13.23</v>
      </c>
      <c r="K516" s="198">
        <v>58087.360000000001</v>
      </c>
    </row>
    <row r="517" spans="3:11" x14ac:dyDescent="0.2">
      <c r="C517" s="201" t="s">
        <v>8054</v>
      </c>
      <c r="D517" s="200">
        <v>44272</v>
      </c>
      <c r="E517" s="199" t="s">
        <v>8053</v>
      </c>
      <c r="I517" s="198">
        <v>1.68</v>
      </c>
      <c r="K517" s="198">
        <v>58089.04</v>
      </c>
    </row>
    <row r="518" spans="3:11" x14ac:dyDescent="0.2">
      <c r="C518" s="201" t="s">
        <v>8052</v>
      </c>
      <c r="D518" s="200">
        <v>44272</v>
      </c>
      <c r="E518" s="199" t="s">
        <v>8051</v>
      </c>
      <c r="I518" s="198">
        <v>4.1900000000000004</v>
      </c>
      <c r="K518" s="198">
        <v>58093.23</v>
      </c>
    </row>
    <row r="519" spans="3:11" x14ac:dyDescent="0.2">
      <c r="C519" s="201" t="s">
        <v>8050</v>
      </c>
      <c r="D519" s="200">
        <v>44272</v>
      </c>
      <c r="E519" s="199" t="s">
        <v>8049</v>
      </c>
      <c r="I519" s="198">
        <v>4.07</v>
      </c>
      <c r="K519" s="198">
        <v>58097.3</v>
      </c>
    </row>
    <row r="520" spans="3:11" x14ac:dyDescent="0.2">
      <c r="C520" s="201" t="s">
        <v>8048</v>
      </c>
      <c r="D520" s="200">
        <v>44272</v>
      </c>
      <c r="E520" s="199" t="s">
        <v>8047</v>
      </c>
      <c r="I520" s="198">
        <v>4.42</v>
      </c>
      <c r="K520" s="198">
        <v>58101.72</v>
      </c>
    </row>
    <row r="521" spans="3:11" x14ac:dyDescent="0.2">
      <c r="C521" s="201" t="s">
        <v>8046</v>
      </c>
      <c r="D521" s="200">
        <v>44272</v>
      </c>
      <c r="E521" s="199" t="s">
        <v>8045</v>
      </c>
      <c r="I521" s="198">
        <v>12.3</v>
      </c>
      <c r="K521" s="198">
        <v>58114.02</v>
      </c>
    </row>
    <row r="522" spans="3:11" x14ac:dyDescent="0.2">
      <c r="C522" s="201" t="s">
        <v>8044</v>
      </c>
      <c r="D522" s="200">
        <v>44272</v>
      </c>
      <c r="E522" s="199" t="s">
        <v>8043</v>
      </c>
      <c r="I522" s="198">
        <v>16.87</v>
      </c>
      <c r="K522" s="198">
        <v>58130.89</v>
      </c>
    </row>
    <row r="523" spans="3:11" x14ac:dyDescent="0.2">
      <c r="C523" s="201" t="s">
        <v>8042</v>
      </c>
      <c r="D523" s="200">
        <v>44272</v>
      </c>
      <c r="E523" s="199" t="s">
        <v>8041</v>
      </c>
      <c r="I523" s="198">
        <v>5.58</v>
      </c>
      <c r="K523" s="198">
        <v>58136.47</v>
      </c>
    </row>
    <row r="524" spans="3:11" x14ac:dyDescent="0.2">
      <c r="C524" s="201" t="s">
        <v>8040</v>
      </c>
      <c r="D524" s="200">
        <v>44272</v>
      </c>
      <c r="E524" s="199" t="s">
        <v>8039</v>
      </c>
      <c r="I524" s="198">
        <v>4.5199999999999996</v>
      </c>
      <c r="K524" s="198">
        <v>58140.99</v>
      </c>
    </row>
    <row r="525" spans="3:11" x14ac:dyDescent="0.2">
      <c r="C525" s="201" t="s">
        <v>8038</v>
      </c>
      <c r="D525" s="200">
        <v>44272</v>
      </c>
      <c r="E525" s="199" t="s">
        <v>8037</v>
      </c>
      <c r="I525" s="198">
        <v>2.46</v>
      </c>
      <c r="K525" s="198">
        <v>58143.45</v>
      </c>
    </row>
    <row r="526" spans="3:11" x14ac:dyDescent="0.2">
      <c r="C526" s="201" t="s">
        <v>8036</v>
      </c>
      <c r="D526" s="200">
        <v>44272</v>
      </c>
      <c r="E526" s="199" t="s">
        <v>8035</v>
      </c>
      <c r="I526" s="198">
        <v>1.78</v>
      </c>
      <c r="K526" s="198">
        <v>58145.23</v>
      </c>
    </row>
    <row r="527" spans="3:11" x14ac:dyDescent="0.2">
      <c r="C527" s="201" t="s">
        <v>8034</v>
      </c>
      <c r="D527" s="200">
        <v>44272</v>
      </c>
      <c r="E527" s="199" t="s">
        <v>8033</v>
      </c>
      <c r="I527" s="198">
        <v>7.04</v>
      </c>
      <c r="K527" s="198">
        <v>58152.27</v>
      </c>
    </row>
    <row r="528" spans="3:11" x14ac:dyDescent="0.2">
      <c r="C528" s="201" t="s">
        <v>8032</v>
      </c>
      <c r="D528" s="200">
        <v>44272</v>
      </c>
      <c r="E528" s="199" t="s">
        <v>8031</v>
      </c>
      <c r="I528" s="198">
        <v>9.2799999999999994</v>
      </c>
      <c r="K528" s="198">
        <v>58161.55</v>
      </c>
    </row>
    <row r="529" spans="3:11" x14ac:dyDescent="0.2">
      <c r="C529" s="201" t="s">
        <v>8030</v>
      </c>
      <c r="D529" s="200">
        <v>44272</v>
      </c>
      <c r="E529" s="199" t="s">
        <v>8029</v>
      </c>
      <c r="I529" s="198">
        <v>3.68</v>
      </c>
      <c r="K529" s="198">
        <v>58165.23</v>
      </c>
    </row>
    <row r="530" spans="3:11" x14ac:dyDescent="0.2">
      <c r="C530" s="201" t="s">
        <v>8028</v>
      </c>
      <c r="D530" s="200">
        <v>44272</v>
      </c>
      <c r="E530" s="199" t="s">
        <v>8027</v>
      </c>
      <c r="I530" s="198">
        <v>5.13</v>
      </c>
      <c r="K530" s="198">
        <v>58170.36</v>
      </c>
    </row>
    <row r="531" spans="3:11" x14ac:dyDescent="0.2">
      <c r="C531" s="201" t="s">
        <v>8026</v>
      </c>
      <c r="D531" s="200">
        <v>44272</v>
      </c>
      <c r="E531" s="199" t="s">
        <v>8025</v>
      </c>
      <c r="I531" s="198">
        <v>33.92</v>
      </c>
      <c r="K531" s="198">
        <v>58204.28</v>
      </c>
    </row>
    <row r="532" spans="3:11" x14ac:dyDescent="0.2">
      <c r="C532" s="201" t="s">
        <v>8024</v>
      </c>
      <c r="D532" s="200">
        <v>44272</v>
      </c>
      <c r="E532" s="199" t="s">
        <v>8023</v>
      </c>
      <c r="I532" s="198">
        <v>48.03</v>
      </c>
      <c r="K532" s="198">
        <v>58252.31</v>
      </c>
    </row>
    <row r="533" spans="3:11" x14ac:dyDescent="0.2">
      <c r="C533" s="201" t="s">
        <v>8022</v>
      </c>
      <c r="D533" s="200">
        <v>44272</v>
      </c>
      <c r="E533" s="199" t="s">
        <v>8021</v>
      </c>
      <c r="I533" s="198">
        <v>1.88</v>
      </c>
      <c r="K533" s="198">
        <v>58254.19</v>
      </c>
    </row>
    <row r="534" spans="3:11" x14ac:dyDescent="0.2">
      <c r="C534" s="201" t="s">
        <v>8020</v>
      </c>
      <c r="D534" s="200">
        <v>44272</v>
      </c>
      <c r="E534" s="199" t="s">
        <v>8019</v>
      </c>
      <c r="I534" s="198">
        <v>1.68</v>
      </c>
      <c r="K534" s="198">
        <v>58255.87</v>
      </c>
    </row>
    <row r="535" spans="3:11" x14ac:dyDescent="0.2">
      <c r="C535" s="201" t="s">
        <v>8018</v>
      </c>
      <c r="D535" s="200">
        <v>44272</v>
      </c>
      <c r="E535" s="199" t="s">
        <v>8017</v>
      </c>
      <c r="I535" s="198">
        <v>1.68</v>
      </c>
      <c r="K535" s="198">
        <v>58257.55</v>
      </c>
    </row>
    <row r="536" spans="3:11" x14ac:dyDescent="0.2">
      <c r="C536" s="201" t="s">
        <v>8016</v>
      </c>
      <c r="D536" s="200">
        <v>44272</v>
      </c>
      <c r="E536" s="199" t="s">
        <v>8015</v>
      </c>
      <c r="I536" s="198">
        <v>4.3</v>
      </c>
      <c r="K536" s="198">
        <v>58261.85</v>
      </c>
    </row>
    <row r="537" spans="3:11" x14ac:dyDescent="0.2">
      <c r="C537" s="201" t="s">
        <v>8014</v>
      </c>
      <c r="D537" s="200">
        <v>44273</v>
      </c>
      <c r="E537" s="199" t="s">
        <v>8013</v>
      </c>
      <c r="I537" s="198">
        <v>2.63</v>
      </c>
      <c r="K537" s="198">
        <v>58264.480000000003</v>
      </c>
    </row>
    <row r="538" spans="3:11" x14ac:dyDescent="0.2">
      <c r="C538" s="201" t="s">
        <v>8012</v>
      </c>
      <c r="D538" s="200">
        <v>44273</v>
      </c>
      <c r="E538" s="199" t="s">
        <v>8011</v>
      </c>
      <c r="I538" s="198">
        <v>2.09</v>
      </c>
      <c r="K538" s="198">
        <v>58266.57</v>
      </c>
    </row>
    <row r="539" spans="3:11" x14ac:dyDescent="0.2">
      <c r="C539" s="201" t="s">
        <v>8010</v>
      </c>
      <c r="D539" s="200">
        <v>44273</v>
      </c>
      <c r="E539" s="199" t="s">
        <v>8009</v>
      </c>
      <c r="I539" s="198">
        <v>1.68</v>
      </c>
      <c r="K539" s="198">
        <v>58268.25</v>
      </c>
    </row>
    <row r="540" spans="3:11" x14ac:dyDescent="0.2">
      <c r="C540" s="201" t="s">
        <v>8008</v>
      </c>
      <c r="D540" s="200">
        <v>44273</v>
      </c>
      <c r="E540" s="199" t="s">
        <v>8007</v>
      </c>
      <c r="I540" s="198">
        <v>10.07</v>
      </c>
      <c r="K540" s="198">
        <v>58278.32</v>
      </c>
    </row>
    <row r="541" spans="3:11" x14ac:dyDescent="0.2">
      <c r="C541" s="201" t="s">
        <v>8006</v>
      </c>
      <c r="D541" s="200">
        <v>44273</v>
      </c>
      <c r="E541" s="199" t="s">
        <v>8005</v>
      </c>
      <c r="I541" s="198">
        <v>2.86</v>
      </c>
      <c r="K541" s="198">
        <v>58281.18</v>
      </c>
    </row>
    <row r="542" spans="3:11" x14ac:dyDescent="0.2">
      <c r="C542" s="201" t="s">
        <v>8004</v>
      </c>
      <c r="D542" s="200">
        <v>44273</v>
      </c>
      <c r="E542" s="199" t="s">
        <v>8003</v>
      </c>
      <c r="I542" s="198">
        <v>9.17</v>
      </c>
      <c r="K542" s="198">
        <v>58290.35</v>
      </c>
    </row>
    <row r="543" spans="3:11" x14ac:dyDescent="0.2">
      <c r="C543" s="201" t="s">
        <v>8002</v>
      </c>
      <c r="D543" s="200">
        <v>44273</v>
      </c>
      <c r="E543" s="199" t="s">
        <v>8001</v>
      </c>
      <c r="I543" s="198">
        <v>1.94</v>
      </c>
      <c r="K543" s="198">
        <v>58292.29</v>
      </c>
    </row>
    <row r="544" spans="3:11" x14ac:dyDescent="0.2">
      <c r="C544" s="201" t="s">
        <v>8000</v>
      </c>
      <c r="D544" s="200">
        <v>44273</v>
      </c>
      <c r="E544" s="199" t="s">
        <v>7999</v>
      </c>
      <c r="I544" s="198">
        <v>17.350000000000001</v>
      </c>
      <c r="K544" s="198">
        <v>58309.64</v>
      </c>
    </row>
    <row r="545" spans="3:11" x14ac:dyDescent="0.2">
      <c r="C545" s="201" t="s">
        <v>7998</v>
      </c>
      <c r="D545" s="200">
        <v>44273</v>
      </c>
      <c r="E545" s="199" t="s">
        <v>7997</v>
      </c>
      <c r="I545" s="198">
        <v>5.29</v>
      </c>
      <c r="K545" s="198">
        <v>58314.93</v>
      </c>
    </row>
    <row r="546" spans="3:11" x14ac:dyDescent="0.2">
      <c r="C546" s="201" t="s">
        <v>7996</v>
      </c>
      <c r="D546" s="200">
        <v>44273</v>
      </c>
      <c r="E546" s="199" t="s">
        <v>7995</v>
      </c>
      <c r="I546" s="198">
        <v>0.24</v>
      </c>
      <c r="K546" s="198">
        <v>58315.17</v>
      </c>
    </row>
    <row r="547" spans="3:11" x14ac:dyDescent="0.2">
      <c r="C547" s="201" t="s">
        <v>7994</v>
      </c>
      <c r="D547" s="200">
        <v>44273</v>
      </c>
      <c r="E547" s="199" t="s">
        <v>7993</v>
      </c>
      <c r="I547" s="198">
        <v>8.3800000000000008</v>
      </c>
      <c r="K547" s="198">
        <v>58323.55</v>
      </c>
    </row>
    <row r="548" spans="3:11" x14ac:dyDescent="0.2">
      <c r="C548" s="201" t="s">
        <v>7992</v>
      </c>
      <c r="D548" s="200">
        <v>44273</v>
      </c>
      <c r="E548" s="199" t="s">
        <v>7991</v>
      </c>
      <c r="I548" s="198">
        <v>22.51</v>
      </c>
      <c r="K548" s="198">
        <v>58346.06</v>
      </c>
    </row>
    <row r="549" spans="3:11" x14ac:dyDescent="0.2">
      <c r="C549" s="201" t="s">
        <v>7990</v>
      </c>
      <c r="D549" s="200">
        <v>44273</v>
      </c>
      <c r="E549" s="199" t="s">
        <v>7989</v>
      </c>
      <c r="I549" s="198">
        <v>4.83</v>
      </c>
      <c r="K549" s="198">
        <v>58350.89</v>
      </c>
    </row>
    <row r="550" spans="3:11" x14ac:dyDescent="0.2">
      <c r="C550" s="201" t="s">
        <v>7988</v>
      </c>
      <c r="D550" s="200">
        <v>44273</v>
      </c>
      <c r="E550" s="199" t="s">
        <v>7987</v>
      </c>
      <c r="I550" s="198">
        <v>4.1900000000000004</v>
      </c>
      <c r="K550" s="198">
        <v>58355.08</v>
      </c>
    </row>
    <row r="551" spans="3:11" x14ac:dyDescent="0.2">
      <c r="C551" s="201" t="s">
        <v>7986</v>
      </c>
      <c r="D551" s="200">
        <v>44273</v>
      </c>
      <c r="E551" s="199" t="s">
        <v>7985</v>
      </c>
      <c r="I551" s="198">
        <v>8.3800000000000008</v>
      </c>
      <c r="K551" s="198">
        <v>58363.46</v>
      </c>
    </row>
    <row r="552" spans="3:11" x14ac:dyDescent="0.2">
      <c r="C552" s="201" t="s">
        <v>7984</v>
      </c>
      <c r="D552" s="200">
        <v>44273</v>
      </c>
      <c r="E552" s="199" t="s">
        <v>7983</v>
      </c>
      <c r="I552" s="198">
        <v>4.1900000000000004</v>
      </c>
      <c r="K552" s="198">
        <v>58367.65</v>
      </c>
    </row>
    <row r="553" spans="3:11" x14ac:dyDescent="0.2">
      <c r="C553" s="201" t="s">
        <v>7982</v>
      </c>
      <c r="D553" s="200">
        <v>44273</v>
      </c>
      <c r="E553" s="199" t="s">
        <v>7981</v>
      </c>
      <c r="J553" s="222">
        <v>260.19</v>
      </c>
      <c r="K553" s="198">
        <v>58107.46</v>
      </c>
    </row>
    <row r="554" spans="3:11" x14ac:dyDescent="0.2">
      <c r="C554" s="201" t="s">
        <v>7980</v>
      </c>
      <c r="D554" s="200">
        <v>44274</v>
      </c>
      <c r="E554" s="199" t="s">
        <v>7979</v>
      </c>
      <c r="I554" s="198">
        <v>2.96</v>
      </c>
      <c r="K554" s="198">
        <v>58110.42</v>
      </c>
    </row>
    <row r="555" spans="3:11" x14ac:dyDescent="0.2">
      <c r="C555" s="201" t="s">
        <v>7978</v>
      </c>
      <c r="D555" s="200">
        <v>44274</v>
      </c>
      <c r="E555" s="199" t="s">
        <v>7977</v>
      </c>
      <c r="I555" s="198">
        <v>7.11</v>
      </c>
      <c r="K555" s="198">
        <v>58117.53</v>
      </c>
    </row>
    <row r="556" spans="3:11" x14ac:dyDescent="0.2">
      <c r="C556" s="201" t="s">
        <v>7976</v>
      </c>
      <c r="D556" s="200">
        <v>44274</v>
      </c>
      <c r="E556" s="199" t="s">
        <v>7975</v>
      </c>
      <c r="I556" s="198">
        <v>1.71</v>
      </c>
      <c r="K556" s="198">
        <v>58119.24</v>
      </c>
    </row>
    <row r="557" spans="3:11" x14ac:dyDescent="0.2">
      <c r="C557" s="201" t="s">
        <v>7974</v>
      </c>
      <c r="D557" s="200">
        <v>44274</v>
      </c>
      <c r="E557" s="199" t="s">
        <v>7973</v>
      </c>
      <c r="I557" s="198">
        <v>1.68</v>
      </c>
      <c r="K557" s="198">
        <v>58120.92</v>
      </c>
    </row>
    <row r="558" spans="3:11" x14ac:dyDescent="0.2">
      <c r="C558" s="201" t="s">
        <v>7972</v>
      </c>
      <c r="D558" s="200">
        <v>44274</v>
      </c>
      <c r="E558" s="199" t="s">
        <v>7971</v>
      </c>
      <c r="I558" s="198">
        <v>2.2200000000000002</v>
      </c>
      <c r="K558" s="198">
        <v>58123.14</v>
      </c>
    </row>
    <row r="559" spans="3:11" x14ac:dyDescent="0.2">
      <c r="C559" s="201" t="s">
        <v>7970</v>
      </c>
      <c r="D559" s="200">
        <v>44274</v>
      </c>
      <c r="E559" s="199" t="s">
        <v>7969</v>
      </c>
      <c r="I559" s="198">
        <v>8.3800000000000008</v>
      </c>
      <c r="K559" s="198">
        <v>58131.519999999997</v>
      </c>
    </row>
    <row r="560" spans="3:11" x14ac:dyDescent="0.2">
      <c r="C560" s="201" t="s">
        <v>7968</v>
      </c>
      <c r="D560" s="200">
        <v>44274</v>
      </c>
      <c r="E560" s="199" t="s">
        <v>7967</v>
      </c>
      <c r="I560" s="198">
        <v>36.56</v>
      </c>
      <c r="K560" s="198">
        <v>58168.08</v>
      </c>
    </row>
    <row r="561" spans="3:11" x14ac:dyDescent="0.2">
      <c r="C561" s="201" t="s">
        <v>7966</v>
      </c>
      <c r="D561" s="200">
        <v>44274</v>
      </c>
      <c r="E561" s="199" t="s">
        <v>7965</v>
      </c>
      <c r="I561" s="198">
        <v>1.68</v>
      </c>
      <c r="K561" s="198">
        <v>58169.760000000002</v>
      </c>
    </row>
    <row r="562" spans="3:11" x14ac:dyDescent="0.2">
      <c r="C562" s="201" t="s">
        <v>7964</v>
      </c>
      <c r="D562" s="200">
        <v>44274</v>
      </c>
      <c r="E562" s="199" t="s">
        <v>7963</v>
      </c>
      <c r="I562" s="198">
        <v>36.1</v>
      </c>
      <c r="K562" s="198">
        <v>58205.86</v>
      </c>
    </row>
    <row r="563" spans="3:11" x14ac:dyDescent="0.2">
      <c r="C563" s="201" t="s">
        <v>7962</v>
      </c>
      <c r="D563" s="200">
        <v>44274</v>
      </c>
      <c r="E563" s="199" t="s">
        <v>7961</v>
      </c>
      <c r="I563" s="198">
        <v>6.15</v>
      </c>
      <c r="K563" s="198">
        <v>58212.01</v>
      </c>
    </row>
    <row r="564" spans="3:11" x14ac:dyDescent="0.2">
      <c r="C564" s="201" t="s">
        <v>7960</v>
      </c>
      <c r="D564" s="200">
        <v>44274</v>
      </c>
      <c r="E564" s="199" t="s">
        <v>7959</v>
      </c>
      <c r="I564" s="198">
        <v>8.01</v>
      </c>
      <c r="K564" s="198">
        <v>58220.02</v>
      </c>
    </row>
    <row r="565" spans="3:11" x14ac:dyDescent="0.2">
      <c r="C565" s="201" t="s">
        <v>7958</v>
      </c>
      <c r="D565" s="200">
        <v>44274</v>
      </c>
      <c r="E565" s="199" t="s">
        <v>7957</v>
      </c>
      <c r="I565" s="198">
        <v>54.67</v>
      </c>
      <c r="K565" s="198">
        <v>58274.69</v>
      </c>
    </row>
    <row r="566" spans="3:11" x14ac:dyDescent="0.2">
      <c r="C566" s="201" t="s">
        <v>7956</v>
      </c>
      <c r="D566" s="200">
        <v>44274</v>
      </c>
      <c r="E566" s="199" t="s">
        <v>7955</v>
      </c>
      <c r="I566" s="198">
        <v>2.0499999999999998</v>
      </c>
      <c r="K566" s="198">
        <v>58276.74</v>
      </c>
    </row>
    <row r="567" spans="3:11" x14ac:dyDescent="0.2">
      <c r="C567" s="201" t="s">
        <v>7954</v>
      </c>
      <c r="D567" s="200">
        <v>44274</v>
      </c>
      <c r="E567" s="199" t="s">
        <v>7953</v>
      </c>
      <c r="I567" s="198">
        <v>1.35</v>
      </c>
      <c r="K567" s="198">
        <v>58278.09</v>
      </c>
    </row>
    <row r="568" spans="3:11" x14ac:dyDescent="0.2">
      <c r="C568" s="201" t="s">
        <v>7952</v>
      </c>
      <c r="D568" s="200">
        <v>44274</v>
      </c>
      <c r="E568" s="199" t="s">
        <v>7951</v>
      </c>
      <c r="I568" s="198">
        <v>1.93</v>
      </c>
      <c r="K568" s="198">
        <v>58280.02</v>
      </c>
    </row>
    <row r="569" spans="3:11" x14ac:dyDescent="0.2">
      <c r="C569" s="201" t="s">
        <v>7950</v>
      </c>
      <c r="D569" s="200">
        <v>44274</v>
      </c>
      <c r="E569" s="199" t="s">
        <v>7949</v>
      </c>
      <c r="I569" s="198">
        <v>15.3</v>
      </c>
      <c r="K569" s="198">
        <v>58295.32</v>
      </c>
    </row>
    <row r="570" spans="3:11" x14ac:dyDescent="0.2">
      <c r="C570" s="201" t="s">
        <v>7948</v>
      </c>
      <c r="D570" s="200">
        <v>44274</v>
      </c>
      <c r="E570" s="199" t="s">
        <v>7947</v>
      </c>
      <c r="I570" s="198">
        <v>3.05</v>
      </c>
      <c r="K570" s="198">
        <v>58298.37</v>
      </c>
    </row>
    <row r="571" spans="3:11" x14ac:dyDescent="0.2">
      <c r="C571" s="201" t="s">
        <v>1544</v>
      </c>
      <c r="D571" s="200">
        <v>44274</v>
      </c>
      <c r="E571" s="199" t="s">
        <v>7946</v>
      </c>
      <c r="J571" s="222">
        <v>108.42</v>
      </c>
      <c r="K571" s="198">
        <v>58189.95</v>
      </c>
    </row>
    <row r="572" spans="3:11" x14ac:dyDescent="0.2">
      <c r="C572" s="201" t="s">
        <v>1543</v>
      </c>
      <c r="D572" s="200">
        <v>44274</v>
      </c>
      <c r="E572" s="199" t="s">
        <v>7945</v>
      </c>
      <c r="J572" s="222">
        <v>7.13</v>
      </c>
      <c r="K572" s="198">
        <v>58182.82</v>
      </c>
    </row>
    <row r="573" spans="3:11" x14ac:dyDescent="0.2">
      <c r="C573" s="201" t="s">
        <v>1545</v>
      </c>
      <c r="D573" s="200">
        <v>44274</v>
      </c>
      <c r="E573" s="199" t="s">
        <v>7944</v>
      </c>
      <c r="J573" s="222">
        <v>8.7799999999999994</v>
      </c>
      <c r="K573" s="198">
        <v>58174.04</v>
      </c>
    </row>
    <row r="574" spans="3:11" x14ac:dyDescent="0.2">
      <c r="C574" s="201" t="s">
        <v>1548</v>
      </c>
      <c r="D574" s="200">
        <v>44274</v>
      </c>
      <c r="E574" s="199" t="s">
        <v>7943</v>
      </c>
      <c r="J574" s="222">
        <v>11.78</v>
      </c>
      <c r="K574" s="198">
        <v>58162.26</v>
      </c>
    </row>
    <row r="575" spans="3:11" x14ac:dyDescent="0.2">
      <c r="C575" s="201" t="s">
        <v>1547</v>
      </c>
      <c r="D575" s="200">
        <v>44274</v>
      </c>
      <c r="E575" s="199" t="s">
        <v>7942</v>
      </c>
      <c r="J575" s="222">
        <v>8.41</v>
      </c>
      <c r="K575" s="198">
        <v>58153.85</v>
      </c>
    </row>
    <row r="576" spans="3:11" x14ac:dyDescent="0.2">
      <c r="C576" s="201" t="s">
        <v>1546</v>
      </c>
      <c r="D576" s="200">
        <v>44274</v>
      </c>
      <c r="E576" s="199" t="s">
        <v>7941</v>
      </c>
      <c r="J576" s="222">
        <v>8.4</v>
      </c>
      <c r="K576" s="198">
        <v>58145.45</v>
      </c>
    </row>
    <row r="577" spans="3:11" x14ac:dyDescent="0.2">
      <c r="C577" s="201" t="s">
        <v>11</v>
      </c>
      <c r="D577" s="200">
        <v>44274</v>
      </c>
      <c r="E577" s="199" t="s">
        <v>7940</v>
      </c>
      <c r="J577" s="222">
        <v>25.65</v>
      </c>
      <c r="K577" s="198">
        <v>58119.8</v>
      </c>
    </row>
    <row r="578" spans="3:11" x14ac:dyDescent="0.2">
      <c r="C578" s="201" t="s">
        <v>7939</v>
      </c>
      <c r="D578" s="200">
        <v>44275</v>
      </c>
      <c r="E578" s="199" t="s">
        <v>7938</v>
      </c>
      <c r="I578" s="198">
        <v>5.54</v>
      </c>
      <c r="K578" s="198">
        <v>58125.34</v>
      </c>
    </row>
    <row r="579" spans="3:11" x14ac:dyDescent="0.2">
      <c r="C579" s="201" t="s">
        <v>7937</v>
      </c>
      <c r="D579" s="200">
        <v>44275</v>
      </c>
      <c r="E579" s="199" t="s">
        <v>7936</v>
      </c>
      <c r="I579" s="198">
        <v>5.34</v>
      </c>
      <c r="K579" s="198">
        <v>58130.68</v>
      </c>
    </row>
    <row r="580" spans="3:11" x14ac:dyDescent="0.2">
      <c r="C580" s="201" t="s">
        <v>7935</v>
      </c>
      <c r="D580" s="200">
        <v>44275</v>
      </c>
      <c r="E580" s="199" t="s">
        <v>7934</v>
      </c>
      <c r="I580" s="198">
        <v>3.35</v>
      </c>
      <c r="K580" s="198">
        <v>58134.03</v>
      </c>
    </row>
    <row r="581" spans="3:11" x14ac:dyDescent="0.2">
      <c r="C581" s="201" t="s">
        <v>7933</v>
      </c>
      <c r="D581" s="200">
        <v>44275</v>
      </c>
      <c r="E581" s="199" t="s">
        <v>7932</v>
      </c>
      <c r="I581" s="198">
        <v>2.1800000000000002</v>
      </c>
      <c r="K581" s="198">
        <v>58136.21</v>
      </c>
    </row>
    <row r="582" spans="3:11" x14ac:dyDescent="0.2">
      <c r="C582" s="201" t="s">
        <v>7931</v>
      </c>
      <c r="D582" s="200">
        <v>44275</v>
      </c>
      <c r="E582" s="199" t="s">
        <v>7930</v>
      </c>
      <c r="I582" s="198">
        <v>7.35</v>
      </c>
      <c r="K582" s="198">
        <v>58143.56</v>
      </c>
    </row>
    <row r="583" spans="3:11" x14ac:dyDescent="0.2">
      <c r="C583" s="201" t="s">
        <v>7929</v>
      </c>
      <c r="D583" s="200">
        <v>44275</v>
      </c>
      <c r="E583" s="199" t="s">
        <v>7928</v>
      </c>
      <c r="I583" s="198">
        <v>12.66</v>
      </c>
      <c r="K583" s="198">
        <v>58156.22</v>
      </c>
    </row>
    <row r="584" spans="3:11" x14ac:dyDescent="0.2">
      <c r="C584" s="201" t="s">
        <v>7927</v>
      </c>
      <c r="D584" s="200">
        <v>44275</v>
      </c>
      <c r="E584" s="199" t="s">
        <v>7926</v>
      </c>
      <c r="I584" s="198">
        <v>7.72</v>
      </c>
      <c r="K584" s="198">
        <v>58163.94</v>
      </c>
    </row>
    <row r="585" spans="3:11" x14ac:dyDescent="0.2">
      <c r="C585" s="201" t="s">
        <v>7925</v>
      </c>
      <c r="D585" s="200">
        <v>44275</v>
      </c>
      <c r="E585" s="199" t="s">
        <v>7924</v>
      </c>
      <c r="I585" s="198">
        <v>19.91</v>
      </c>
      <c r="K585" s="198">
        <v>58183.85</v>
      </c>
    </row>
    <row r="586" spans="3:11" x14ac:dyDescent="0.2">
      <c r="C586" s="201" t="s">
        <v>7923</v>
      </c>
      <c r="D586" s="200">
        <v>44275</v>
      </c>
      <c r="E586" s="199" t="s">
        <v>7922</v>
      </c>
      <c r="I586" s="198">
        <v>17.78</v>
      </c>
      <c r="K586" s="198">
        <v>58201.63</v>
      </c>
    </row>
    <row r="587" spans="3:11" x14ac:dyDescent="0.2">
      <c r="C587" s="201" t="s">
        <v>7921</v>
      </c>
      <c r="D587" s="200">
        <v>44276</v>
      </c>
      <c r="E587" s="199" t="s">
        <v>7920</v>
      </c>
      <c r="I587" s="198">
        <v>16.28</v>
      </c>
      <c r="K587" s="198">
        <v>58217.91</v>
      </c>
    </row>
    <row r="588" spans="3:11" x14ac:dyDescent="0.2">
      <c r="C588" s="201" t="s">
        <v>7919</v>
      </c>
      <c r="D588" s="200">
        <v>44276</v>
      </c>
      <c r="E588" s="199" t="s">
        <v>7918</v>
      </c>
      <c r="I588" s="198">
        <v>3.15</v>
      </c>
      <c r="K588" s="198">
        <v>58221.06</v>
      </c>
    </row>
    <row r="589" spans="3:11" x14ac:dyDescent="0.2">
      <c r="C589" s="201" t="s">
        <v>7917</v>
      </c>
      <c r="D589" s="200">
        <v>44277</v>
      </c>
      <c r="E589" s="199" t="s">
        <v>7916</v>
      </c>
      <c r="I589" s="198">
        <v>3</v>
      </c>
      <c r="K589" s="198">
        <v>58224.06</v>
      </c>
    </row>
    <row r="590" spans="3:11" x14ac:dyDescent="0.2">
      <c r="C590" s="201" t="s">
        <v>7915</v>
      </c>
      <c r="D590" s="200">
        <v>44277</v>
      </c>
      <c r="E590" s="199" t="s">
        <v>7914</v>
      </c>
      <c r="I590" s="198">
        <v>123.79</v>
      </c>
      <c r="K590" s="198">
        <v>58347.85</v>
      </c>
    </row>
    <row r="591" spans="3:11" x14ac:dyDescent="0.2">
      <c r="C591" s="201" t="s">
        <v>7913</v>
      </c>
      <c r="D591" s="200">
        <v>44277</v>
      </c>
      <c r="E591" s="199" t="s">
        <v>7912</v>
      </c>
      <c r="I591" s="198">
        <v>1.27</v>
      </c>
      <c r="K591" s="198">
        <v>58349.120000000003</v>
      </c>
    </row>
    <row r="592" spans="3:11" x14ac:dyDescent="0.2">
      <c r="C592" s="201" t="s">
        <v>7911</v>
      </c>
      <c r="D592" s="200">
        <v>44277</v>
      </c>
      <c r="E592" s="199" t="s">
        <v>7910</v>
      </c>
      <c r="I592" s="198">
        <v>30.92</v>
      </c>
      <c r="K592" s="198">
        <v>58380.04</v>
      </c>
    </row>
    <row r="593" spans="3:11" x14ac:dyDescent="0.2">
      <c r="C593" s="201" t="s">
        <v>7909</v>
      </c>
      <c r="D593" s="200">
        <v>44277</v>
      </c>
      <c r="E593" s="199" t="s">
        <v>7908</v>
      </c>
      <c r="I593" s="198">
        <v>8.83</v>
      </c>
      <c r="K593" s="198">
        <v>58388.87</v>
      </c>
    </row>
    <row r="594" spans="3:11" x14ac:dyDescent="0.2">
      <c r="C594" s="201" t="s">
        <v>7907</v>
      </c>
      <c r="D594" s="200">
        <v>44277</v>
      </c>
      <c r="E594" s="199" t="s">
        <v>7906</v>
      </c>
      <c r="I594" s="198">
        <v>6.47</v>
      </c>
      <c r="K594" s="198">
        <v>58395.34</v>
      </c>
    </row>
    <row r="595" spans="3:11" x14ac:dyDescent="0.2">
      <c r="C595" s="201" t="s">
        <v>7905</v>
      </c>
      <c r="D595" s="200">
        <v>44277</v>
      </c>
      <c r="E595" s="199" t="s">
        <v>7904</v>
      </c>
      <c r="I595" s="198">
        <v>36.880000000000003</v>
      </c>
      <c r="K595" s="198">
        <v>58432.22</v>
      </c>
    </row>
    <row r="596" spans="3:11" x14ac:dyDescent="0.2">
      <c r="C596" s="201" t="s">
        <v>7903</v>
      </c>
      <c r="D596" s="200">
        <v>44277</v>
      </c>
      <c r="E596" s="199" t="s">
        <v>7902</v>
      </c>
      <c r="I596" s="198">
        <v>5.28</v>
      </c>
      <c r="K596" s="198">
        <v>58437.5</v>
      </c>
    </row>
    <row r="597" spans="3:11" x14ac:dyDescent="0.2">
      <c r="C597" s="201" t="s">
        <v>7901</v>
      </c>
      <c r="D597" s="200">
        <v>44277</v>
      </c>
      <c r="E597" s="199" t="s">
        <v>7900</v>
      </c>
      <c r="I597" s="198">
        <v>2.15</v>
      </c>
      <c r="K597" s="198">
        <v>58439.65</v>
      </c>
    </row>
    <row r="598" spans="3:11" x14ac:dyDescent="0.2">
      <c r="C598" s="201" t="s">
        <v>7899</v>
      </c>
      <c r="D598" s="200">
        <v>44277</v>
      </c>
      <c r="E598" s="199" t="s">
        <v>7898</v>
      </c>
      <c r="I598" s="198">
        <v>8.8000000000000007</v>
      </c>
      <c r="K598" s="198">
        <v>58448.45</v>
      </c>
    </row>
    <row r="599" spans="3:11" x14ac:dyDescent="0.2">
      <c r="C599" s="201" t="s">
        <v>7897</v>
      </c>
      <c r="D599" s="200">
        <v>44277</v>
      </c>
      <c r="E599" s="199" t="s">
        <v>7896</v>
      </c>
      <c r="I599" s="198">
        <v>2.79</v>
      </c>
      <c r="K599" s="198">
        <v>58451.24</v>
      </c>
    </row>
    <row r="600" spans="3:11" x14ac:dyDescent="0.2">
      <c r="C600" s="201" t="s">
        <v>7895</v>
      </c>
      <c r="D600" s="200">
        <v>44277</v>
      </c>
      <c r="E600" s="199" t="s">
        <v>7894</v>
      </c>
      <c r="I600" s="198">
        <v>25.14</v>
      </c>
      <c r="K600" s="198">
        <v>58476.38</v>
      </c>
    </row>
    <row r="601" spans="3:11" x14ac:dyDescent="0.2">
      <c r="C601" s="201" t="s">
        <v>7893</v>
      </c>
      <c r="D601" s="200">
        <v>44278</v>
      </c>
      <c r="E601" s="199" t="s">
        <v>7892</v>
      </c>
      <c r="I601" s="198">
        <v>6</v>
      </c>
      <c r="K601" s="198">
        <v>58482.38</v>
      </c>
    </row>
    <row r="602" spans="3:11" x14ac:dyDescent="0.2">
      <c r="C602" s="201" t="s">
        <v>20181</v>
      </c>
      <c r="D602" s="200">
        <v>44278</v>
      </c>
      <c r="E602" s="199" t="s">
        <v>20174</v>
      </c>
      <c r="I602" s="198">
        <v>4</v>
      </c>
      <c r="K602" s="198">
        <v>58486.38</v>
      </c>
    </row>
    <row r="603" spans="3:11" x14ac:dyDescent="0.2">
      <c r="C603" s="201" t="s">
        <v>7891</v>
      </c>
      <c r="D603" s="200">
        <v>44278</v>
      </c>
      <c r="E603" s="199" t="s">
        <v>7890</v>
      </c>
      <c r="I603" s="198">
        <v>13.82</v>
      </c>
      <c r="K603" s="198">
        <v>58500.2</v>
      </c>
    </row>
    <row r="604" spans="3:11" x14ac:dyDescent="0.2">
      <c r="C604" s="201" t="s">
        <v>7889</v>
      </c>
      <c r="D604" s="200">
        <v>44278</v>
      </c>
      <c r="E604" s="199" t="s">
        <v>7888</v>
      </c>
      <c r="I604" s="198">
        <v>16.760000000000002</v>
      </c>
      <c r="K604" s="198">
        <v>58516.959999999999</v>
      </c>
    </row>
    <row r="605" spans="3:11" x14ac:dyDescent="0.2">
      <c r="C605" s="201" t="s">
        <v>7887</v>
      </c>
      <c r="D605" s="200">
        <v>44278</v>
      </c>
      <c r="E605" s="199" t="s">
        <v>7886</v>
      </c>
      <c r="I605" s="198">
        <v>15.65</v>
      </c>
      <c r="K605" s="198">
        <v>58532.61</v>
      </c>
    </row>
    <row r="606" spans="3:11" x14ac:dyDescent="0.2">
      <c r="C606" s="201" t="s">
        <v>7885</v>
      </c>
      <c r="D606" s="200">
        <v>44278</v>
      </c>
      <c r="E606" s="199" t="s">
        <v>7884</v>
      </c>
      <c r="I606" s="198">
        <v>16.04</v>
      </c>
      <c r="K606" s="198">
        <v>58548.65</v>
      </c>
    </row>
    <row r="607" spans="3:11" x14ac:dyDescent="0.2">
      <c r="C607" s="201" t="s">
        <v>7883</v>
      </c>
      <c r="D607" s="200">
        <v>44278</v>
      </c>
      <c r="E607" s="199" t="s">
        <v>7882</v>
      </c>
      <c r="I607" s="198">
        <v>5.52</v>
      </c>
      <c r="K607" s="198">
        <v>58554.17</v>
      </c>
    </row>
    <row r="608" spans="3:11" x14ac:dyDescent="0.2">
      <c r="C608" s="201" t="s">
        <v>7881</v>
      </c>
      <c r="D608" s="200">
        <v>44278</v>
      </c>
      <c r="E608" s="199" t="s">
        <v>7880</v>
      </c>
      <c r="I608" s="198">
        <v>10</v>
      </c>
      <c r="K608" s="198">
        <v>58564.17</v>
      </c>
    </row>
    <row r="609" spans="3:11" x14ac:dyDescent="0.2">
      <c r="C609" s="201" t="s">
        <v>7879</v>
      </c>
      <c r="D609" s="200">
        <v>44278</v>
      </c>
      <c r="E609" s="199" t="s">
        <v>7878</v>
      </c>
      <c r="I609" s="198">
        <v>9.06</v>
      </c>
      <c r="K609" s="198">
        <v>58573.23</v>
      </c>
    </row>
    <row r="610" spans="3:11" x14ac:dyDescent="0.2">
      <c r="C610" s="201" t="s">
        <v>7877</v>
      </c>
      <c r="D610" s="200">
        <v>44279</v>
      </c>
      <c r="E610" s="199" t="s">
        <v>7876</v>
      </c>
      <c r="I610" s="198">
        <v>8.2200000000000006</v>
      </c>
      <c r="K610" s="198">
        <v>58581.45</v>
      </c>
    </row>
    <row r="611" spans="3:11" x14ac:dyDescent="0.2">
      <c r="C611" s="201" t="s">
        <v>7875</v>
      </c>
      <c r="D611" s="200">
        <v>44279</v>
      </c>
      <c r="E611" s="199" t="s">
        <v>7874</v>
      </c>
      <c r="I611" s="198">
        <v>35.54</v>
      </c>
      <c r="K611" s="198">
        <v>58616.99</v>
      </c>
    </row>
    <row r="612" spans="3:11" x14ac:dyDescent="0.2">
      <c r="C612" s="201" t="s">
        <v>7873</v>
      </c>
      <c r="D612" s="200">
        <v>44279</v>
      </c>
      <c r="E612" s="199" t="s">
        <v>7872</v>
      </c>
      <c r="I612" s="198">
        <v>11.29</v>
      </c>
      <c r="K612" s="198">
        <v>58628.28</v>
      </c>
    </row>
    <row r="613" spans="3:11" x14ac:dyDescent="0.2">
      <c r="C613" s="201" t="s">
        <v>7871</v>
      </c>
      <c r="D613" s="200">
        <v>44279</v>
      </c>
      <c r="E613" s="199" t="s">
        <v>7870</v>
      </c>
      <c r="I613" s="198">
        <v>2.6</v>
      </c>
      <c r="K613" s="198">
        <v>58630.879999999997</v>
      </c>
    </row>
    <row r="614" spans="3:11" x14ac:dyDescent="0.2">
      <c r="C614" s="201" t="s">
        <v>7869</v>
      </c>
      <c r="D614" s="200">
        <v>44279</v>
      </c>
      <c r="E614" s="199" t="s">
        <v>7868</v>
      </c>
      <c r="I614" s="198">
        <v>5.18</v>
      </c>
      <c r="K614" s="198">
        <v>58636.06</v>
      </c>
    </row>
    <row r="615" spans="3:11" x14ac:dyDescent="0.2">
      <c r="C615" s="201" t="s">
        <v>7867</v>
      </c>
      <c r="D615" s="200">
        <v>44279</v>
      </c>
      <c r="E615" s="199" t="s">
        <v>7866</v>
      </c>
      <c r="I615" s="198">
        <v>8.3800000000000008</v>
      </c>
      <c r="K615" s="198">
        <v>58644.44</v>
      </c>
    </row>
    <row r="616" spans="3:11" x14ac:dyDescent="0.2">
      <c r="C616" s="201" t="s">
        <v>7865</v>
      </c>
      <c r="D616" s="200">
        <v>44279</v>
      </c>
      <c r="E616" s="199" t="s">
        <v>7864</v>
      </c>
      <c r="I616" s="198">
        <v>3.44</v>
      </c>
      <c r="K616" s="198">
        <v>58647.88</v>
      </c>
    </row>
    <row r="617" spans="3:11" x14ac:dyDescent="0.2">
      <c r="C617" s="201" t="s">
        <v>7863</v>
      </c>
      <c r="D617" s="200">
        <v>44280</v>
      </c>
      <c r="E617" s="199" t="s">
        <v>7862</v>
      </c>
      <c r="I617" s="198">
        <v>4.1100000000000003</v>
      </c>
      <c r="K617" s="198">
        <v>58651.99</v>
      </c>
    </row>
    <row r="618" spans="3:11" x14ac:dyDescent="0.2">
      <c r="C618" s="201" t="s">
        <v>7861</v>
      </c>
      <c r="D618" s="200">
        <v>44280</v>
      </c>
      <c r="E618" s="199" t="s">
        <v>7860</v>
      </c>
      <c r="I618" s="198">
        <v>3.75</v>
      </c>
      <c r="K618" s="198">
        <v>58655.74</v>
      </c>
    </row>
    <row r="619" spans="3:11" x14ac:dyDescent="0.2">
      <c r="C619" s="201" t="s">
        <v>7859</v>
      </c>
      <c r="D619" s="200">
        <v>44280</v>
      </c>
      <c r="E619" s="199" t="s">
        <v>7858</v>
      </c>
      <c r="I619" s="198">
        <v>1</v>
      </c>
      <c r="K619" s="198">
        <v>58656.74</v>
      </c>
    </row>
    <row r="620" spans="3:11" x14ac:dyDescent="0.2">
      <c r="C620" s="201" t="s">
        <v>7857</v>
      </c>
      <c r="D620" s="200">
        <v>44280</v>
      </c>
      <c r="E620" s="199" t="s">
        <v>7856</v>
      </c>
      <c r="I620" s="198">
        <v>5.64</v>
      </c>
      <c r="K620" s="198">
        <v>58662.38</v>
      </c>
    </row>
    <row r="621" spans="3:11" x14ac:dyDescent="0.2">
      <c r="C621" s="201" t="s">
        <v>7855</v>
      </c>
      <c r="D621" s="200">
        <v>44280</v>
      </c>
      <c r="E621" s="199" t="s">
        <v>7854</v>
      </c>
      <c r="I621" s="198">
        <v>5.04</v>
      </c>
      <c r="K621" s="198">
        <v>58667.42</v>
      </c>
    </row>
    <row r="622" spans="3:11" x14ac:dyDescent="0.2">
      <c r="C622" s="201" t="s">
        <v>7853</v>
      </c>
      <c r="D622" s="200">
        <v>44280</v>
      </c>
      <c r="E622" s="199" t="s">
        <v>7852</v>
      </c>
      <c r="I622" s="198">
        <v>5.51</v>
      </c>
      <c r="K622" s="198">
        <v>58672.93</v>
      </c>
    </row>
    <row r="623" spans="3:11" x14ac:dyDescent="0.2">
      <c r="C623" s="201" t="s">
        <v>7851</v>
      </c>
      <c r="D623" s="200">
        <v>44280</v>
      </c>
      <c r="E623" s="199" t="s">
        <v>7850</v>
      </c>
      <c r="I623" s="198">
        <v>1.68</v>
      </c>
      <c r="K623" s="198">
        <v>58674.61</v>
      </c>
    </row>
    <row r="624" spans="3:11" x14ac:dyDescent="0.2">
      <c r="C624" s="201" t="s">
        <v>7849</v>
      </c>
      <c r="D624" s="200">
        <v>44280</v>
      </c>
      <c r="E624" s="199" t="s">
        <v>7848</v>
      </c>
      <c r="I624" s="198">
        <v>4.01</v>
      </c>
      <c r="K624" s="198">
        <v>58678.62</v>
      </c>
    </row>
    <row r="625" spans="3:11" x14ac:dyDescent="0.2">
      <c r="C625" s="201" t="s">
        <v>7847</v>
      </c>
      <c r="D625" s="200">
        <v>44280</v>
      </c>
      <c r="E625" s="199" t="s">
        <v>7846</v>
      </c>
      <c r="I625" s="198">
        <v>6.43</v>
      </c>
      <c r="K625" s="198">
        <v>58685.05</v>
      </c>
    </row>
    <row r="626" spans="3:11" x14ac:dyDescent="0.2">
      <c r="C626" s="201" t="s">
        <v>7845</v>
      </c>
      <c r="D626" s="200">
        <v>44280</v>
      </c>
      <c r="E626" s="199" t="s">
        <v>7844</v>
      </c>
      <c r="I626" s="198">
        <v>9.3699999999999992</v>
      </c>
      <c r="K626" s="198">
        <v>58694.42</v>
      </c>
    </row>
    <row r="627" spans="3:11" x14ac:dyDescent="0.2">
      <c r="C627" s="201" t="s">
        <v>7843</v>
      </c>
      <c r="D627" s="200">
        <v>44280</v>
      </c>
      <c r="E627" s="199" t="s">
        <v>7842</v>
      </c>
      <c r="I627" s="198">
        <v>16.39</v>
      </c>
      <c r="K627" s="198">
        <v>58710.81</v>
      </c>
    </row>
    <row r="628" spans="3:11" x14ac:dyDescent="0.2">
      <c r="C628" s="201" t="s">
        <v>7841</v>
      </c>
      <c r="D628" s="200">
        <v>44280</v>
      </c>
      <c r="E628" s="199" t="s">
        <v>7840</v>
      </c>
      <c r="I628" s="198">
        <v>8.3800000000000008</v>
      </c>
      <c r="K628" s="198">
        <v>58719.19</v>
      </c>
    </row>
    <row r="629" spans="3:11" x14ac:dyDescent="0.2">
      <c r="C629" s="201" t="s">
        <v>7839</v>
      </c>
      <c r="D629" s="200">
        <v>44280</v>
      </c>
      <c r="E629" s="199" t="s">
        <v>7838</v>
      </c>
      <c r="I629" s="198">
        <v>19.75</v>
      </c>
      <c r="K629" s="198">
        <v>58738.94</v>
      </c>
    </row>
    <row r="630" spans="3:11" x14ac:dyDescent="0.2">
      <c r="C630" s="201" t="s">
        <v>7837</v>
      </c>
      <c r="D630" s="200">
        <v>44280</v>
      </c>
      <c r="E630" s="199" t="s">
        <v>7836</v>
      </c>
      <c r="I630" s="198">
        <v>9.9499999999999993</v>
      </c>
      <c r="K630" s="198">
        <v>58748.89</v>
      </c>
    </row>
    <row r="631" spans="3:11" x14ac:dyDescent="0.2">
      <c r="C631" s="201" t="s">
        <v>7835</v>
      </c>
      <c r="D631" s="200">
        <v>44280</v>
      </c>
      <c r="E631" s="199" t="s">
        <v>7834</v>
      </c>
      <c r="I631" s="198">
        <v>3.36</v>
      </c>
      <c r="K631" s="198">
        <v>58752.25</v>
      </c>
    </row>
    <row r="632" spans="3:11" x14ac:dyDescent="0.2">
      <c r="C632" s="201" t="s">
        <v>7833</v>
      </c>
      <c r="D632" s="200">
        <v>44280</v>
      </c>
      <c r="E632" s="199" t="s">
        <v>7832</v>
      </c>
      <c r="I632" s="198">
        <v>11.19</v>
      </c>
      <c r="K632" s="198">
        <v>58763.44</v>
      </c>
    </row>
    <row r="633" spans="3:11" x14ac:dyDescent="0.2">
      <c r="C633" s="201" t="s">
        <v>7831</v>
      </c>
      <c r="D633" s="200">
        <v>44280</v>
      </c>
      <c r="E633" s="199" t="s">
        <v>7830</v>
      </c>
      <c r="I633" s="198">
        <v>8.3800000000000008</v>
      </c>
      <c r="K633" s="198">
        <v>58771.82</v>
      </c>
    </row>
    <row r="634" spans="3:11" x14ac:dyDescent="0.2">
      <c r="C634" s="201" t="s">
        <v>7829</v>
      </c>
      <c r="D634" s="200">
        <v>44280</v>
      </c>
      <c r="E634" s="199" t="s">
        <v>7828</v>
      </c>
      <c r="I634" s="198">
        <v>5.44</v>
      </c>
      <c r="K634" s="198">
        <v>58777.26</v>
      </c>
    </row>
    <row r="635" spans="3:11" x14ac:dyDescent="0.2">
      <c r="C635" s="201" t="s">
        <v>7827</v>
      </c>
      <c r="D635" s="200">
        <v>44280</v>
      </c>
      <c r="E635" s="199" t="s">
        <v>7826</v>
      </c>
      <c r="I635" s="198">
        <v>7.36</v>
      </c>
      <c r="K635" s="198">
        <v>58784.62</v>
      </c>
    </row>
    <row r="636" spans="3:11" x14ac:dyDescent="0.2">
      <c r="C636" s="201" t="s">
        <v>7825</v>
      </c>
      <c r="D636" s="200">
        <v>44280</v>
      </c>
      <c r="E636" s="199" t="s">
        <v>7824</v>
      </c>
      <c r="I636" s="198">
        <v>1.79</v>
      </c>
      <c r="K636" s="198">
        <v>58786.41</v>
      </c>
    </row>
    <row r="637" spans="3:11" x14ac:dyDescent="0.2">
      <c r="C637" s="201" t="s">
        <v>7823</v>
      </c>
      <c r="D637" s="200">
        <v>44280</v>
      </c>
      <c r="E637" s="199" t="s">
        <v>7822</v>
      </c>
      <c r="I637" s="198">
        <v>4.93</v>
      </c>
      <c r="K637" s="198">
        <v>58791.34</v>
      </c>
    </row>
    <row r="638" spans="3:11" x14ac:dyDescent="0.2">
      <c r="C638" s="201" t="s">
        <v>7821</v>
      </c>
      <c r="D638" s="200">
        <v>44280</v>
      </c>
      <c r="E638" s="199" t="s">
        <v>7820</v>
      </c>
      <c r="I638" s="198">
        <v>18.28</v>
      </c>
      <c r="K638" s="198">
        <v>58809.62</v>
      </c>
    </row>
    <row r="639" spans="3:11" x14ac:dyDescent="0.2">
      <c r="C639" s="201" t="s">
        <v>7819</v>
      </c>
      <c r="D639" s="200">
        <v>44280</v>
      </c>
      <c r="E639" s="199" t="s">
        <v>7818</v>
      </c>
      <c r="I639" s="198">
        <v>17.899999999999999</v>
      </c>
      <c r="K639" s="198">
        <v>58827.519999999997</v>
      </c>
    </row>
    <row r="640" spans="3:11" x14ac:dyDescent="0.2">
      <c r="C640" s="201" t="s">
        <v>7817</v>
      </c>
      <c r="D640" s="200">
        <v>44280</v>
      </c>
      <c r="E640" s="199" t="s">
        <v>7816</v>
      </c>
      <c r="I640" s="198">
        <v>16.760000000000002</v>
      </c>
      <c r="K640" s="198">
        <v>58844.28</v>
      </c>
    </row>
    <row r="641" spans="3:11" x14ac:dyDescent="0.2">
      <c r="C641" s="201" t="s">
        <v>7815</v>
      </c>
      <c r="D641" s="200">
        <v>44280</v>
      </c>
      <c r="E641" s="199" t="s">
        <v>7814</v>
      </c>
      <c r="I641" s="198">
        <v>1.94</v>
      </c>
      <c r="K641" s="198">
        <v>58846.22</v>
      </c>
    </row>
    <row r="642" spans="3:11" x14ac:dyDescent="0.2">
      <c r="C642" s="201" t="s">
        <v>7813</v>
      </c>
      <c r="D642" s="200">
        <v>44280</v>
      </c>
      <c r="E642" s="199" t="s">
        <v>7812</v>
      </c>
      <c r="I642" s="198">
        <v>5.01</v>
      </c>
      <c r="K642" s="198">
        <v>58851.23</v>
      </c>
    </row>
    <row r="643" spans="3:11" x14ac:dyDescent="0.2">
      <c r="C643" s="201" t="s">
        <v>7811</v>
      </c>
      <c r="D643" s="200">
        <v>44280</v>
      </c>
      <c r="E643" s="199" t="s">
        <v>7810</v>
      </c>
      <c r="I643" s="198">
        <v>9.24</v>
      </c>
      <c r="K643" s="198">
        <v>58860.47</v>
      </c>
    </row>
    <row r="644" spans="3:11" x14ac:dyDescent="0.2">
      <c r="C644" s="201" t="s">
        <v>7809</v>
      </c>
      <c r="D644" s="200">
        <v>44280</v>
      </c>
      <c r="E644" s="199" t="s">
        <v>7808</v>
      </c>
      <c r="I644" s="198">
        <v>1.75</v>
      </c>
      <c r="K644" s="198">
        <v>58862.22</v>
      </c>
    </row>
    <row r="645" spans="3:11" x14ac:dyDescent="0.2">
      <c r="C645" s="201" t="s">
        <v>7807</v>
      </c>
      <c r="D645" s="200">
        <v>44280</v>
      </c>
      <c r="E645" s="199" t="s">
        <v>7806</v>
      </c>
      <c r="I645" s="198">
        <v>4.1900000000000004</v>
      </c>
      <c r="K645" s="198">
        <v>58866.41</v>
      </c>
    </row>
    <row r="646" spans="3:11" x14ac:dyDescent="0.2">
      <c r="C646" s="201" t="s">
        <v>7805</v>
      </c>
      <c r="D646" s="200">
        <v>44280</v>
      </c>
      <c r="E646" s="199" t="s">
        <v>7804</v>
      </c>
      <c r="I646" s="198">
        <v>1.68</v>
      </c>
      <c r="K646" s="198">
        <v>58868.09</v>
      </c>
    </row>
    <row r="647" spans="3:11" x14ac:dyDescent="0.2">
      <c r="C647" s="201" t="s">
        <v>7803</v>
      </c>
      <c r="D647" s="200">
        <v>44280</v>
      </c>
      <c r="E647" s="199" t="s">
        <v>7802</v>
      </c>
      <c r="I647" s="198">
        <v>1.68</v>
      </c>
      <c r="K647" s="198">
        <v>58869.77</v>
      </c>
    </row>
    <row r="648" spans="3:11" x14ac:dyDescent="0.2">
      <c r="C648" s="201" t="s">
        <v>7801</v>
      </c>
      <c r="D648" s="200">
        <v>44280</v>
      </c>
      <c r="E648" s="199" t="s">
        <v>7800</v>
      </c>
      <c r="I648" s="198">
        <v>6.15</v>
      </c>
      <c r="K648" s="198">
        <v>58875.92</v>
      </c>
    </row>
    <row r="649" spans="3:11" x14ac:dyDescent="0.2">
      <c r="C649" s="201" t="s">
        <v>7799</v>
      </c>
      <c r="D649" s="200">
        <v>44280</v>
      </c>
      <c r="E649" s="199" t="s">
        <v>7798</v>
      </c>
      <c r="I649" s="198">
        <v>3.52</v>
      </c>
      <c r="K649" s="198">
        <v>58879.44</v>
      </c>
    </row>
    <row r="650" spans="3:11" x14ac:dyDescent="0.2">
      <c r="C650" s="201" t="s">
        <v>7797</v>
      </c>
      <c r="D650" s="200">
        <v>44280</v>
      </c>
      <c r="E650" s="199" t="s">
        <v>7796</v>
      </c>
      <c r="I650" s="198">
        <v>3.36</v>
      </c>
      <c r="K650" s="198">
        <v>58882.8</v>
      </c>
    </row>
    <row r="651" spans="3:11" x14ac:dyDescent="0.2">
      <c r="C651" s="201" t="s">
        <v>7795</v>
      </c>
      <c r="D651" s="200">
        <v>44281</v>
      </c>
      <c r="E651" s="199" t="s">
        <v>7794</v>
      </c>
      <c r="I651" s="198">
        <v>2.8</v>
      </c>
      <c r="K651" s="198">
        <v>58885.599999999999</v>
      </c>
    </row>
    <row r="652" spans="3:11" x14ac:dyDescent="0.2">
      <c r="C652" s="201" t="s">
        <v>7793</v>
      </c>
      <c r="D652" s="200">
        <v>44281</v>
      </c>
      <c r="E652" s="199" t="s">
        <v>7792</v>
      </c>
      <c r="I652" s="198">
        <v>5.42</v>
      </c>
      <c r="K652" s="198">
        <v>58891.02</v>
      </c>
    </row>
    <row r="653" spans="3:11" x14ac:dyDescent="0.2">
      <c r="C653" s="201" t="s">
        <v>7791</v>
      </c>
      <c r="D653" s="200">
        <v>44281</v>
      </c>
      <c r="E653" s="199" t="s">
        <v>7790</v>
      </c>
      <c r="I653" s="198">
        <v>10</v>
      </c>
      <c r="K653" s="198">
        <v>58901.02</v>
      </c>
    </row>
    <row r="654" spans="3:11" x14ac:dyDescent="0.2">
      <c r="C654" s="201" t="s">
        <v>7789</v>
      </c>
      <c r="D654" s="200">
        <v>44281</v>
      </c>
      <c r="E654" s="199" t="s">
        <v>7788</v>
      </c>
      <c r="I654" s="198">
        <v>3.4</v>
      </c>
      <c r="K654" s="198">
        <v>58904.42</v>
      </c>
    </row>
    <row r="655" spans="3:11" x14ac:dyDescent="0.2">
      <c r="C655" s="201" t="s">
        <v>7787</v>
      </c>
      <c r="D655" s="200">
        <v>44281</v>
      </c>
      <c r="E655" s="199" t="s">
        <v>7786</v>
      </c>
      <c r="I655" s="198">
        <v>33.520000000000003</v>
      </c>
      <c r="K655" s="198">
        <v>58937.94</v>
      </c>
    </row>
    <row r="656" spans="3:11" x14ac:dyDescent="0.2">
      <c r="C656" s="201" t="s">
        <v>7785</v>
      </c>
      <c r="D656" s="200">
        <v>44281</v>
      </c>
      <c r="E656" s="199" t="s">
        <v>7784</v>
      </c>
      <c r="I656" s="198">
        <v>4.17</v>
      </c>
      <c r="K656" s="198">
        <v>58942.11</v>
      </c>
    </row>
    <row r="657" spans="3:11" x14ac:dyDescent="0.2">
      <c r="C657" s="201" t="s">
        <v>7783</v>
      </c>
      <c r="D657" s="200">
        <v>44281</v>
      </c>
      <c r="E657" s="199" t="s">
        <v>7782</v>
      </c>
      <c r="I657" s="198">
        <v>20.399999999999999</v>
      </c>
      <c r="K657" s="198">
        <v>58962.51</v>
      </c>
    </row>
    <row r="658" spans="3:11" x14ac:dyDescent="0.2">
      <c r="C658" s="201" t="s">
        <v>7781</v>
      </c>
      <c r="D658" s="200">
        <v>44281</v>
      </c>
      <c r="E658" s="199" t="s">
        <v>7780</v>
      </c>
      <c r="I658" s="198">
        <v>9.42</v>
      </c>
      <c r="K658" s="198">
        <v>58971.93</v>
      </c>
    </row>
    <row r="659" spans="3:11" x14ac:dyDescent="0.2">
      <c r="C659" s="201" t="s">
        <v>7779</v>
      </c>
      <c r="D659" s="200">
        <v>44281</v>
      </c>
      <c r="E659" s="199" t="s">
        <v>7778</v>
      </c>
      <c r="I659" s="198">
        <v>1.93</v>
      </c>
      <c r="K659" s="198">
        <v>58973.86</v>
      </c>
    </row>
    <row r="660" spans="3:11" x14ac:dyDescent="0.2">
      <c r="C660" s="201" t="s">
        <v>7777</v>
      </c>
      <c r="D660" s="200">
        <v>44281</v>
      </c>
      <c r="E660" s="199" t="s">
        <v>7776</v>
      </c>
      <c r="I660" s="198">
        <v>14.67</v>
      </c>
      <c r="K660" s="198">
        <v>58988.53</v>
      </c>
    </row>
    <row r="661" spans="3:11" x14ac:dyDescent="0.2">
      <c r="C661" s="201" t="s">
        <v>7775</v>
      </c>
      <c r="D661" s="200">
        <v>44281</v>
      </c>
      <c r="E661" s="199" t="s">
        <v>7774</v>
      </c>
      <c r="I661" s="198">
        <v>5.62</v>
      </c>
      <c r="K661" s="198">
        <v>58994.15</v>
      </c>
    </row>
    <row r="662" spans="3:11" x14ac:dyDescent="0.2">
      <c r="C662" s="201" t="s">
        <v>7773</v>
      </c>
      <c r="D662" s="200">
        <v>44281</v>
      </c>
      <c r="E662" s="199" t="s">
        <v>7772</v>
      </c>
      <c r="I662" s="198">
        <v>5.04</v>
      </c>
      <c r="K662" s="198">
        <v>58999.19</v>
      </c>
    </row>
    <row r="663" spans="3:11" x14ac:dyDescent="0.2">
      <c r="C663" s="201" t="s">
        <v>7771</v>
      </c>
      <c r="D663" s="200">
        <v>44281</v>
      </c>
      <c r="E663" s="199" t="s">
        <v>7770</v>
      </c>
      <c r="I663" s="198">
        <v>16.46</v>
      </c>
      <c r="K663" s="198">
        <v>59015.65</v>
      </c>
    </row>
    <row r="664" spans="3:11" x14ac:dyDescent="0.2">
      <c r="C664" s="201" t="s">
        <v>7769</v>
      </c>
      <c r="D664" s="200">
        <v>44281</v>
      </c>
      <c r="E664" s="199" t="s">
        <v>7768</v>
      </c>
      <c r="I664" s="198">
        <v>7.91</v>
      </c>
      <c r="K664" s="198">
        <v>59023.56</v>
      </c>
    </row>
    <row r="665" spans="3:11" x14ac:dyDescent="0.2">
      <c r="C665" s="201" t="s">
        <v>7767</v>
      </c>
      <c r="D665" s="200">
        <v>44281</v>
      </c>
      <c r="E665" s="199" t="s">
        <v>7766</v>
      </c>
      <c r="I665" s="198">
        <v>8.06</v>
      </c>
      <c r="K665" s="198">
        <v>59031.62</v>
      </c>
    </row>
    <row r="666" spans="3:11" x14ac:dyDescent="0.2">
      <c r="C666" s="201" t="s">
        <v>7765</v>
      </c>
      <c r="D666" s="200">
        <v>44281</v>
      </c>
      <c r="E666" s="199" t="s">
        <v>7764</v>
      </c>
      <c r="I666" s="198">
        <v>1.94</v>
      </c>
      <c r="K666" s="198">
        <v>59033.56</v>
      </c>
    </row>
    <row r="667" spans="3:11" x14ac:dyDescent="0.2">
      <c r="C667" s="201" t="s">
        <v>7763</v>
      </c>
      <c r="D667" s="200">
        <v>44281</v>
      </c>
      <c r="E667" s="199" t="s">
        <v>7762</v>
      </c>
      <c r="I667" s="198">
        <v>8.6</v>
      </c>
      <c r="K667" s="198">
        <v>59042.16</v>
      </c>
    </row>
    <row r="668" spans="3:11" x14ac:dyDescent="0.2">
      <c r="C668" s="201" t="s">
        <v>7761</v>
      </c>
      <c r="D668" s="200">
        <v>44281</v>
      </c>
      <c r="E668" s="199" t="s">
        <v>7760</v>
      </c>
      <c r="I668" s="198">
        <v>0.9</v>
      </c>
      <c r="K668" s="198">
        <v>59043.06</v>
      </c>
    </row>
    <row r="669" spans="3:11" x14ac:dyDescent="0.2">
      <c r="C669" s="201" t="s">
        <v>7759</v>
      </c>
      <c r="D669" s="200">
        <v>44281</v>
      </c>
      <c r="E669" s="199" t="s">
        <v>7758</v>
      </c>
      <c r="I669" s="198">
        <v>10.23</v>
      </c>
      <c r="K669" s="198">
        <v>59053.29</v>
      </c>
    </row>
    <row r="670" spans="3:11" x14ac:dyDescent="0.2">
      <c r="C670" s="201" t="s">
        <v>7757</v>
      </c>
      <c r="D670" s="200">
        <v>44281</v>
      </c>
      <c r="E670" s="199" t="s">
        <v>7756</v>
      </c>
      <c r="I670" s="198">
        <v>1.72</v>
      </c>
      <c r="K670" s="198">
        <v>59055.01</v>
      </c>
    </row>
    <row r="671" spans="3:11" x14ac:dyDescent="0.2">
      <c r="C671" s="201" t="s">
        <v>7755</v>
      </c>
      <c r="D671" s="200">
        <v>44281</v>
      </c>
      <c r="E671" s="199" t="s">
        <v>7754</v>
      </c>
      <c r="I671" s="198">
        <v>1.68</v>
      </c>
      <c r="K671" s="198">
        <v>59056.69</v>
      </c>
    </row>
    <row r="672" spans="3:11" x14ac:dyDescent="0.2">
      <c r="C672" s="201" t="s">
        <v>7753</v>
      </c>
      <c r="D672" s="200">
        <v>44281</v>
      </c>
      <c r="E672" s="199" t="s">
        <v>7752</v>
      </c>
      <c r="I672" s="198">
        <v>10.3</v>
      </c>
      <c r="K672" s="198">
        <v>59066.99</v>
      </c>
    </row>
    <row r="673" spans="3:11" x14ac:dyDescent="0.2">
      <c r="C673" s="201" t="s">
        <v>7751</v>
      </c>
      <c r="D673" s="200">
        <v>44281</v>
      </c>
      <c r="E673" s="199" t="s">
        <v>7750</v>
      </c>
      <c r="I673" s="198">
        <v>1.68</v>
      </c>
      <c r="K673" s="198">
        <v>59068.67</v>
      </c>
    </row>
    <row r="674" spans="3:11" x14ac:dyDescent="0.2">
      <c r="C674" s="201" t="s">
        <v>7749</v>
      </c>
      <c r="D674" s="200">
        <v>44281</v>
      </c>
      <c r="E674" s="199" t="s">
        <v>7748</v>
      </c>
      <c r="I674" s="198">
        <v>4.3</v>
      </c>
      <c r="K674" s="198">
        <v>59072.97</v>
      </c>
    </row>
    <row r="675" spans="3:11" x14ac:dyDescent="0.2">
      <c r="C675" s="201" t="s">
        <v>7747</v>
      </c>
      <c r="D675" s="200">
        <v>44281</v>
      </c>
      <c r="E675" s="199" t="s">
        <v>7746</v>
      </c>
      <c r="I675" s="198">
        <v>41.05</v>
      </c>
      <c r="K675" s="198">
        <v>59114.02</v>
      </c>
    </row>
    <row r="676" spans="3:11" x14ac:dyDescent="0.2">
      <c r="C676" s="201" t="s">
        <v>7745</v>
      </c>
      <c r="D676" s="200">
        <v>44281</v>
      </c>
      <c r="E676" s="199" t="s">
        <v>7744</v>
      </c>
      <c r="I676" s="198">
        <v>15.79</v>
      </c>
      <c r="K676" s="198">
        <v>59129.81</v>
      </c>
    </row>
    <row r="677" spans="3:11" x14ac:dyDescent="0.2">
      <c r="C677" s="201" t="s">
        <v>7743</v>
      </c>
      <c r="D677" s="200">
        <v>44281</v>
      </c>
      <c r="E677" s="199" t="s">
        <v>7742</v>
      </c>
      <c r="I677" s="198">
        <v>5.48</v>
      </c>
      <c r="K677" s="198">
        <v>59135.29</v>
      </c>
    </row>
    <row r="678" spans="3:11" x14ac:dyDescent="0.2">
      <c r="C678" s="201" t="s">
        <v>7741</v>
      </c>
      <c r="D678" s="200">
        <v>44281</v>
      </c>
      <c r="E678" s="199" t="s">
        <v>7740</v>
      </c>
      <c r="I678" s="198">
        <v>5.17</v>
      </c>
      <c r="K678" s="198">
        <v>59140.46</v>
      </c>
    </row>
    <row r="679" spans="3:11" x14ac:dyDescent="0.2">
      <c r="C679" s="201" t="s">
        <v>7739</v>
      </c>
      <c r="D679" s="200">
        <v>44281</v>
      </c>
      <c r="E679" s="199" t="s">
        <v>7738</v>
      </c>
      <c r="I679" s="198">
        <v>8.3800000000000008</v>
      </c>
      <c r="K679" s="198">
        <v>59148.84</v>
      </c>
    </row>
    <row r="680" spans="3:11" x14ac:dyDescent="0.2">
      <c r="C680" s="201" t="s">
        <v>7737</v>
      </c>
      <c r="D680" s="200">
        <v>44281</v>
      </c>
      <c r="E680" s="199" t="s">
        <v>7736</v>
      </c>
      <c r="I680" s="198">
        <v>6.94</v>
      </c>
      <c r="K680" s="198">
        <v>59155.78</v>
      </c>
    </row>
    <row r="681" spans="3:11" x14ac:dyDescent="0.2">
      <c r="C681" s="201" t="s">
        <v>7735</v>
      </c>
      <c r="D681" s="200">
        <v>44281</v>
      </c>
      <c r="E681" s="199" t="s">
        <v>7734</v>
      </c>
      <c r="I681" s="198">
        <v>1.95</v>
      </c>
      <c r="K681" s="198">
        <v>59157.73</v>
      </c>
    </row>
    <row r="682" spans="3:11" x14ac:dyDescent="0.2">
      <c r="C682" s="201" t="s">
        <v>7733</v>
      </c>
      <c r="D682" s="200">
        <v>44281</v>
      </c>
      <c r="E682" s="199" t="s">
        <v>7732</v>
      </c>
      <c r="I682" s="198">
        <v>3.87</v>
      </c>
      <c r="K682" s="198">
        <v>59161.599999999999</v>
      </c>
    </row>
    <row r="683" spans="3:11" x14ac:dyDescent="0.2">
      <c r="C683" s="201" t="s">
        <v>7731</v>
      </c>
      <c r="D683" s="200">
        <v>44281</v>
      </c>
      <c r="E683" s="199" t="s">
        <v>7730</v>
      </c>
      <c r="I683" s="198">
        <v>16.760000000000002</v>
      </c>
      <c r="K683" s="198">
        <v>59178.36</v>
      </c>
    </row>
    <row r="684" spans="3:11" x14ac:dyDescent="0.2">
      <c r="C684" s="201" t="s">
        <v>7729</v>
      </c>
      <c r="D684" s="200">
        <v>44281</v>
      </c>
      <c r="E684" s="199" t="s">
        <v>7728</v>
      </c>
      <c r="I684" s="198">
        <v>3.23</v>
      </c>
      <c r="K684" s="198">
        <v>59181.59</v>
      </c>
    </row>
    <row r="685" spans="3:11" x14ac:dyDescent="0.2">
      <c r="C685" s="201" t="s">
        <v>7727</v>
      </c>
      <c r="D685" s="200">
        <v>44281</v>
      </c>
      <c r="E685" s="199" t="s">
        <v>7726</v>
      </c>
      <c r="I685" s="198">
        <v>2.78</v>
      </c>
      <c r="K685" s="198">
        <v>59184.37</v>
      </c>
    </row>
    <row r="686" spans="3:11" x14ac:dyDescent="0.2">
      <c r="C686" s="201" t="s">
        <v>7725</v>
      </c>
      <c r="D686" s="200">
        <v>44281</v>
      </c>
      <c r="E686" s="199" t="s">
        <v>7724</v>
      </c>
      <c r="I686" s="198">
        <v>1.68</v>
      </c>
      <c r="K686" s="198">
        <v>59186.05</v>
      </c>
    </row>
    <row r="687" spans="3:11" x14ac:dyDescent="0.2">
      <c r="C687" s="201" t="s">
        <v>7723</v>
      </c>
      <c r="D687" s="200">
        <v>44281</v>
      </c>
      <c r="E687" s="199" t="s">
        <v>7722</v>
      </c>
      <c r="I687" s="198">
        <v>4.71</v>
      </c>
      <c r="K687" s="198">
        <v>59190.76</v>
      </c>
    </row>
    <row r="688" spans="3:11" x14ac:dyDescent="0.2">
      <c r="C688" s="201" t="s">
        <v>7721</v>
      </c>
      <c r="D688" s="200">
        <v>44281</v>
      </c>
      <c r="E688" s="199" t="s">
        <v>7720</v>
      </c>
      <c r="I688" s="198">
        <v>3.55</v>
      </c>
      <c r="K688" s="198">
        <v>59194.31</v>
      </c>
    </row>
    <row r="689" spans="3:11" x14ac:dyDescent="0.2">
      <c r="C689" s="201" t="s">
        <v>7719</v>
      </c>
      <c r="D689" s="200">
        <v>44281</v>
      </c>
      <c r="E689" s="199" t="s">
        <v>7718</v>
      </c>
      <c r="I689" s="198">
        <v>7.47</v>
      </c>
      <c r="K689" s="198">
        <v>59201.78</v>
      </c>
    </row>
    <row r="690" spans="3:11" x14ac:dyDescent="0.2">
      <c r="C690" s="201" t="s">
        <v>7717</v>
      </c>
      <c r="D690" s="200">
        <v>44281</v>
      </c>
      <c r="E690" s="199" t="s">
        <v>7716</v>
      </c>
      <c r="I690" s="198">
        <v>4.3499999999999996</v>
      </c>
      <c r="K690" s="198">
        <v>59206.13</v>
      </c>
    </row>
    <row r="691" spans="3:11" x14ac:dyDescent="0.2">
      <c r="C691" s="201" t="s">
        <v>7715</v>
      </c>
      <c r="D691" s="200">
        <v>44281</v>
      </c>
      <c r="E691" s="199" t="s">
        <v>7714</v>
      </c>
      <c r="I691" s="198">
        <v>2.68</v>
      </c>
      <c r="K691" s="198">
        <v>59208.81</v>
      </c>
    </row>
    <row r="692" spans="3:11" x14ac:dyDescent="0.2">
      <c r="C692" s="201" t="s">
        <v>7711</v>
      </c>
      <c r="D692" s="200">
        <v>44282</v>
      </c>
      <c r="E692" s="199" t="s">
        <v>7710</v>
      </c>
      <c r="I692" s="198">
        <v>1.68</v>
      </c>
      <c r="K692" s="198">
        <v>59210.49</v>
      </c>
    </row>
    <row r="693" spans="3:11" x14ac:dyDescent="0.2">
      <c r="C693" s="201" t="s">
        <v>7709</v>
      </c>
      <c r="D693" s="200">
        <v>44282</v>
      </c>
      <c r="E693" s="199" t="s">
        <v>7708</v>
      </c>
      <c r="I693" s="198">
        <v>5.54</v>
      </c>
      <c r="K693" s="198">
        <v>59216.03</v>
      </c>
    </row>
    <row r="694" spans="3:11" x14ac:dyDescent="0.2">
      <c r="C694" s="201" t="s">
        <v>7707</v>
      </c>
      <c r="D694" s="200">
        <v>44282</v>
      </c>
      <c r="E694" s="199" t="s">
        <v>7706</v>
      </c>
      <c r="I694" s="198">
        <v>5.04</v>
      </c>
      <c r="K694" s="198">
        <v>59221.07</v>
      </c>
    </row>
    <row r="695" spans="3:11" x14ac:dyDescent="0.2">
      <c r="C695" s="201" t="s">
        <v>7705</v>
      </c>
      <c r="D695" s="200">
        <v>44282</v>
      </c>
      <c r="E695" s="199" t="s">
        <v>7704</v>
      </c>
      <c r="I695" s="198">
        <v>5.0599999999999996</v>
      </c>
      <c r="K695" s="198">
        <v>59226.13</v>
      </c>
    </row>
    <row r="696" spans="3:11" x14ac:dyDescent="0.2">
      <c r="C696" s="201" t="s">
        <v>7703</v>
      </c>
      <c r="D696" s="200">
        <v>44282</v>
      </c>
      <c r="E696" s="199" t="s">
        <v>7702</v>
      </c>
      <c r="I696" s="198">
        <v>6.22</v>
      </c>
      <c r="K696" s="198">
        <v>59232.35</v>
      </c>
    </row>
    <row r="697" spans="3:11" x14ac:dyDescent="0.2">
      <c r="C697" s="201" t="s">
        <v>7701</v>
      </c>
      <c r="D697" s="200">
        <v>44282</v>
      </c>
      <c r="E697" s="199" t="s">
        <v>7700</v>
      </c>
      <c r="I697" s="198">
        <v>5.79</v>
      </c>
      <c r="K697" s="198">
        <v>59238.14</v>
      </c>
    </row>
    <row r="698" spans="3:11" x14ac:dyDescent="0.2">
      <c r="C698" s="201" t="s">
        <v>7699</v>
      </c>
      <c r="D698" s="200">
        <v>44282</v>
      </c>
      <c r="E698" s="199" t="s">
        <v>7698</v>
      </c>
      <c r="I698" s="198">
        <v>3.49</v>
      </c>
      <c r="K698" s="198">
        <v>59241.63</v>
      </c>
    </row>
    <row r="699" spans="3:11" x14ac:dyDescent="0.2">
      <c r="C699" s="201" t="s">
        <v>7697</v>
      </c>
      <c r="D699" s="200">
        <v>44282</v>
      </c>
      <c r="E699" s="199" t="s">
        <v>7696</v>
      </c>
      <c r="I699" s="198">
        <v>0.85</v>
      </c>
      <c r="K699" s="198">
        <v>59242.48</v>
      </c>
    </row>
    <row r="700" spans="3:11" x14ac:dyDescent="0.2">
      <c r="C700" s="201" t="s">
        <v>7695</v>
      </c>
      <c r="D700" s="200">
        <v>44282</v>
      </c>
      <c r="E700" s="199" t="s">
        <v>7694</v>
      </c>
      <c r="I700" s="198">
        <v>3.36</v>
      </c>
      <c r="K700" s="198">
        <v>59245.84</v>
      </c>
    </row>
    <row r="701" spans="3:11" x14ac:dyDescent="0.2">
      <c r="C701" s="201" t="s">
        <v>7693</v>
      </c>
      <c r="D701" s="200">
        <v>44282</v>
      </c>
      <c r="E701" s="199" t="s">
        <v>7692</v>
      </c>
      <c r="I701" s="198">
        <v>4.8499999999999996</v>
      </c>
      <c r="K701" s="198">
        <v>59250.69</v>
      </c>
    </row>
    <row r="702" spans="3:11" x14ac:dyDescent="0.2">
      <c r="C702" s="201" t="s">
        <v>7691</v>
      </c>
      <c r="D702" s="200">
        <v>44282</v>
      </c>
      <c r="E702" s="199" t="s">
        <v>7690</v>
      </c>
      <c r="I702" s="198">
        <v>1.68</v>
      </c>
      <c r="K702" s="198">
        <v>59252.37</v>
      </c>
    </row>
    <row r="703" spans="3:11" x14ac:dyDescent="0.2">
      <c r="C703" s="201" t="s">
        <v>7689</v>
      </c>
      <c r="D703" s="200">
        <v>44282</v>
      </c>
      <c r="E703" s="199" t="s">
        <v>7688</v>
      </c>
      <c r="I703" s="198">
        <v>1.68</v>
      </c>
      <c r="K703" s="198">
        <v>59254.05</v>
      </c>
    </row>
    <row r="704" spans="3:11" x14ac:dyDescent="0.2">
      <c r="C704" s="201" t="s">
        <v>7687</v>
      </c>
      <c r="D704" s="200">
        <v>44282</v>
      </c>
      <c r="E704" s="199" t="s">
        <v>7686</v>
      </c>
      <c r="I704" s="198">
        <v>3.85</v>
      </c>
      <c r="K704" s="198">
        <v>59257.9</v>
      </c>
    </row>
    <row r="705" spans="3:11" x14ac:dyDescent="0.2">
      <c r="C705" s="201" t="s">
        <v>7685</v>
      </c>
      <c r="D705" s="200">
        <v>44282</v>
      </c>
      <c r="E705" s="199" t="s">
        <v>7684</v>
      </c>
      <c r="I705" s="198">
        <v>14.02</v>
      </c>
      <c r="K705" s="198">
        <v>59271.92</v>
      </c>
    </row>
    <row r="706" spans="3:11" x14ac:dyDescent="0.2">
      <c r="C706" s="201" t="s">
        <v>7683</v>
      </c>
      <c r="D706" s="200">
        <v>44282</v>
      </c>
      <c r="E706" s="199" t="s">
        <v>7682</v>
      </c>
      <c r="I706" s="198">
        <v>0.12</v>
      </c>
      <c r="K706" s="198">
        <v>59272.04</v>
      </c>
    </row>
    <row r="707" spans="3:11" x14ac:dyDescent="0.2">
      <c r="C707" s="201" t="s">
        <v>7681</v>
      </c>
      <c r="D707" s="200">
        <v>44283</v>
      </c>
      <c r="E707" s="199" t="s">
        <v>7680</v>
      </c>
      <c r="I707" s="198">
        <v>1.68</v>
      </c>
      <c r="K707" s="198">
        <v>59273.72</v>
      </c>
    </row>
    <row r="708" spans="3:11" x14ac:dyDescent="0.2">
      <c r="C708" s="201" t="s">
        <v>7679</v>
      </c>
      <c r="D708" s="200">
        <v>44283</v>
      </c>
      <c r="E708" s="199" t="s">
        <v>7678</v>
      </c>
      <c r="I708" s="198">
        <v>2.7</v>
      </c>
      <c r="K708" s="198">
        <v>59276.42</v>
      </c>
    </row>
    <row r="709" spans="3:11" x14ac:dyDescent="0.2">
      <c r="C709" s="201" t="s">
        <v>7677</v>
      </c>
      <c r="D709" s="200">
        <v>44283</v>
      </c>
      <c r="E709" s="199" t="s">
        <v>7676</v>
      </c>
      <c r="I709" s="198">
        <v>3.4</v>
      </c>
      <c r="K709" s="198">
        <v>59279.82</v>
      </c>
    </row>
    <row r="710" spans="3:11" x14ac:dyDescent="0.2">
      <c r="C710" s="201" t="s">
        <v>7675</v>
      </c>
      <c r="D710" s="200">
        <v>44283</v>
      </c>
      <c r="E710" s="199" t="s">
        <v>7674</v>
      </c>
      <c r="I710" s="198">
        <v>3.2</v>
      </c>
      <c r="K710" s="198">
        <v>59283.02</v>
      </c>
    </row>
    <row r="711" spans="3:11" x14ac:dyDescent="0.2">
      <c r="C711" s="201" t="s">
        <v>7673</v>
      </c>
      <c r="D711" s="200">
        <v>44283</v>
      </c>
      <c r="E711" s="199" t="s">
        <v>7672</v>
      </c>
      <c r="I711" s="198">
        <v>3.12</v>
      </c>
      <c r="K711" s="198">
        <v>59286.14</v>
      </c>
    </row>
    <row r="712" spans="3:11" x14ac:dyDescent="0.2">
      <c r="C712" s="201" t="s">
        <v>7671</v>
      </c>
      <c r="D712" s="200">
        <v>44284</v>
      </c>
      <c r="E712" s="199" t="s">
        <v>7670</v>
      </c>
      <c r="I712" s="198">
        <v>5.78</v>
      </c>
      <c r="K712" s="198">
        <v>59291.92</v>
      </c>
    </row>
    <row r="713" spans="3:11" x14ac:dyDescent="0.2">
      <c r="C713" s="201" t="s">
        <v>7669</v>
      </c>
      <c r="D713" s="200">
        <v>44284</v>
      </c>
      <c r="E713" s="199" t="s">
        <v>7668</v>
      </c>
      <c r="I713" s="198">
        <v>38.64</v>
      </c>
      <c r="K713" s="198">
        <v>59330.559999999998</v>
      </c>
    </row>
    <row r="714" spans="3:11" x14ac:dyDescent="0.2">
      <c r="C714" s="201" t="s">
        <v>7667</v>
      </c>
      <c r="D714" s="200">
        <v>44284</v>
      </c>
      <c r="E714" s="199" t="s">
        <v>7666</v>
      </c>
      <c r="I714" s="198">
        <v>1.68</v>
      </c>
      <c r="K714" s="198">
        <v>59332.24</v>
      </c>
    </row>
    <row r="715" spans="3:11" x14ac:dyDescent="0.2">
      <c r="C715" s="201" t="s">
        <v>7665</v>
      </c>
      <c r="D715" s="200">
        <v>44284</v>
      </c>
      <c r="E715" s="199" t="s">
        <v>7664</v>
      </c>
      <c r="I715" s="198">
        <v>16.760000000000002</v>
      </c>
      <c r="K715" s="198">
        <v>59349</v>
      </c>
    </row>
    <row r="716" spans="3:11" x14ac:dyDescent="0.2">
      <c r="C716" s="201" t="s">
        <v>7663</v>
      </c>
      <c r="D716" s="200">
        <v>44284</v>
      </c>
      <c r="E716" s="199" t="s">
        <v>7662</v>
      </c>
      <c r="I716" s="198">
        <v>3.73</v>
      </c>
      <c r="K716" s="198">
        <v>59352.73</v>
      </c>
    </row>
    <row r="717" spans="3:11" x14ac:dyDescent="0.2">
      <c r="C717" s="201" t="s">
        <v>7661</v>
      </c>
      <c r="D717" s="200">
        <v>44284</v>
      </c>
      <c r="E717" s="199" t="s">
        <v>7660</v>
      </c>
      <c r="I717" s="198">
        <v>6.94</v>
      </c>
      <c r="K717" s="198">
        <v>59359.67</v>
      </c>
    </row>
    <row r="718" spans="3:11" x14ac:dyDescent="0.2">
      <c r="C718" s="201" t="s">
        <v>7659</v>
      </c>
      <c r="D718" s="200">
        <v>44284</v>
      </c>
      <c r="E718" s="199" t="s">
        <v>7658</v>
      </c>
      <c r="I718" s="198">
        <v>3.9</v>
      </c>
      <c r="K718" s="198">
        <v>59363.57</v>
      </c>
    </row>
    <row r="719" spans="3:11" x14ac:dyDescent="0.2">
      <c r="C719" s="201" t="s">
        <v>7657</v>
      </c>
      <c r="D719" s="200">
        <v>44284</v>
      </c>
      <c r="E719" s="199" t="s">
        <v>7656</v>
      </c>
      <c r="I719" s="198">
        <v>5.35</v>
      </c>
      <c r="K719" s="198">
        <v>59368.92</v>
      </c>
    </row>
    <row r="720" spans="3:11" x14ac:dyDescent="0.2">
      <c r="C720" s="201" t="s">
        <v>7655</v>
      </c>
      <c r="D720" s="200">
        <v>44284</v>
      </c>
      <c r="E720" s="199" t="s">
        <v>7654</v>
      </c>
      <c r="I720" s="198">
        <v>5.19</v>
      </c>
      <c r="K720" s="198">
        <v>59374.11</v>
      </c>
    </row>
    <row r="721" spans="3:11" x14ac:dyDescent="0.2">
      <c r="C721" s="201" t="s">
        <v>7653</v>
      </c>
      <c r="D721" s="200">
        <v>44284</v>
      </c>
      <c r="E721" s="199" t="s">
        <v>7652</v>
      </c>
      <c r="I721" s="198">
        <v>1.68</v>
      </c>
      <c r="K721" s="198">
        <v>59375.79</v>
      </c>
    </row>
    <row r="722" spans="3:11" x14ac:dyDescent="0.2">
      <c r="C722" s="201" t="s">
        <v>7651</v>
      </c>
      <c r="D722" s="200">
        <v>44284</v>
      </c>
      <c r="E722" s="199" t="s">
        <v>7650</v>
      </c>
      <c r="I722" s="198">
        <v>2.93</v>
      </c>
      <c r="K722" s="198">
        <v>59378.720000000001</v>
      </c>
    </row>
    <row r="723" spans="3:11" x14ac:dyDescent="0.2">
      <c r="C723" s="201" t="s">
        <v>7649</v>
      </c>
      <c r="D723" s="200">
        <v>44284</v>
      </c>
      <c r="E723" s="199" t="s">
        <v>7648</v>
      </c>
      <c r="I723" s="198">
        <v>3.67</v>
      </c>
      <c r="K723" s="198">
        <v>59382.39</v>
      </c>
    </row>
    <row r="724" spans="3:11" x14ac:dyDescent="0.2">
      <c r="C724" s="201" t="s">
        <v>7647</v>
      </c>
      <c r="D724" s="200">
        <v>44284</v>
      </c>
      <c r="E724" s="199" t="s">
        <v>7646</v>
      </c>
      <c r="I724" s="198">
        <v>5.68</v>
      </c>
      <c r="K724" s="198">
        <v>59388.07</v>
      </c>
    </row>
    <row r="725" spans="3:11" x14ac:dyDescent="0.2">
      <c r="C725" s="201" t="s">
        <v>7645</v>
      </c>
      <c r="D725" s="200">
        <v>44284</v>
      </c>
      <c r="E725" s="199" t="s">
        <v>7644</v>
      </c>
      <c r="I725" s="198">
        <v>6.94</v>
      </c>
      <c r="K725" s="198">
        <v>59395.01</v>
      </c>
    </row>
    <row r="726" spans="3:11" x14ac:dyDescent="0.2">
      <c r="C726" s="201" t="s">
        <v>7643</v>
      </c>
      <c r="D726" s="200">
        <v>44284</v>
      </c>
      <c r="E726" s="199" t="s">
        <v>7642</v>
      </c>
      <c r="I726" s="198">
        <v>20.82</v>
      </c>
      <c r="K726" s="198">
        <v>59415.83</v>
      </c>
    </row>
    <row r="727" spans="3:11" x14ac:dyDescent="0.2">
      <c r="C727" s="201" t="s">
        <v>7641</v>
      </c>
      <c r="D727" s="200">
        <v>44284</v>
      </c>
      <c r="E727" s="199" t="s">
        <v>7640</v>
      </c>
      <c r="I727" s="198">
        <v>2.82</v>
      </c>
      <c r="K727" s="198">
        <v>59418.65</v>
      </c>
    </row>
    <row r="728" spans="3:11" x14ac:dyDescent="0.2">
      <c r="C728" s="201" t="s">
        <v>7639</v>
      </c>
      <c r="D728" s="200">
        <v>44284</v>
      </c>
      <c r="E728" s="199" t="s">
        <v>7638</v>
      </c>
      <c r="I728" s="198">
        <v>14.35</v>
      </c>
      <c r="K728" s="198">
        <v>59433</v>
      </c>
    </row>
    <row r="729" spans="3:11" x14ac:dyDescent="0.2">
      <c r="C729" s="201" t="s">
        <v>7637</v>
      </c>
      <c r="D729" s="200">
        <v>44284</v>
      </c>
      <c r="E729" s="199" t="s">
        <v>7636</v>
      </c>
      <c r="I729" s="198">
        <v>37.659999999999997</v>
      </c>
      <c r="K729" s="198">
        <v>59470.66</v>
      </c>
    </row>
    <row r="730" spans="3:11" x14ac:dyDescent="0.2">
      <c r="C730" s="201" t="s">
        <v>7635</v>
      </c>
      <c r="D730" s="200">
        <v>44284</v>
      </c>
      <c r="E730" s="199" t="s">
        <v>7634</v>
      </c>
      <c r="I730" s="198">
        <v>1.7</v>
      </c>
      <c r="K730" s="198">
        <v>59472.36</v>
      </c>
    </row>
    <row r="731" spans="3:11" x14ac:dyDescent="0.2">
      <c r="C731" s="201" t="s">
        <v>7633</v>
      </c>
      <c r="D731" s="200">
        <v>44284</v>
      </c>
      <c r="E731" s="199" t="s">
        <v>7632</v>
      </c>
      <c r="I731" s="198">
        <v>23.46</v>
      </c>
      <c r="K731" s="198">
        <v>59495.82</v>
      </c>
    </row>
    <row r="732" spans="3:11" x14ac:dyDescent="0.2">
      <c r="C732" s="201" t="s">
        <v>7631</v>
      </c>
      <c r="D732" s="200">
        <v>44284</v>
      </c>
      <c r="E732" s="199" t="s">
        <v>7630</v>
      </c>
      <c r="I732" s="198">
        <v>4.3600000000000003</v>
      </c>
      <c r="K732" s="198">
        <v>59500.18</v>
      </c>
    </row>
    <row r="733" spans="3:11" x14ac:dyDescent="0.2">
      <c r="C733" s="201" t="s">
        <v>7629</v>
      </c>
      <c r="D733" s="200">
        <v>44284</v>
      </c>
      <c r="E733" s="199" t="s">
        <v>7628</v>
      </c>
      <c r="I733" s="198">
        <v>7.52</v>
      </c>
      <c r="K733" s="198">
        <v>59507.7</v>
      </c>
    </row>
    <row r="734" spans="3:11" x14ac:dyDescent="0.2">
      <c r="C734" s="201" t="s">
        <v>7627</v>
      </c>
      <c r="D734" s="200">
        <v>44284</v>
      </c>
      <c r="E734" s="199" t="s">
        <v>7626</v>
      </c>
      <c r="I734" s="198">
        <v>2.33</v>
      </c>
      <c r="K734" s="198">
        <v>59510.03</v>
      </c>
    </row>
    <row r="735" spans="3:11" x14ac:dyDescent="0.2">
      <c r="C735" s="201" t="s">
        <v>7625</v>
      </c>
      <c r="D735" s="200">
        <v>44284</v>
      </c>
      <c r="E735" s="199" t="s">
        <v>7624</v>
      </c>
      <c r="I735" s="198">
        <v>8.4</v>
      </c>
      <c r="K735" s="198">
        <v>59518.43</v>
      </c>
    </row>
    <row r="736" spans="3:11" x14ac:dyDescent="0.2">
      <c r="C736" s="201" t="s">
        <v>7623</v>
      </c>
      <c r="D736" s="200">
        <v>44284</v>
      </c>
      <c r="E736" s="199" t="s">
        <v>7622</v>
      </c>
      <c r="I736" s="198">
        <v>4.05</v>
      </c>
      <c r="K736" s="198">
        <v>59522.48</v>
      </c>
    </row>
    <row r="737" spans="3:11" x14ac:dyDescent="0.2">
      <c r="C737" s="201" t="s">
        <v>7621</v>
      </c>
      <c r="D737" s="200">
        <v>44284</v>
      </c>
      <c r="E737" s="199" t="s">
        <v>7620</v>
      </c>
      <c r="I737" s="198">
        <v>2.41</v>
      </c>
      <c r="K737" s="198">
        <v>59524.89</v>
      </c>
    </row>
    <row r="738" spans="3:11" x14ac:dyDescent="0.2">
      <c r="C738" s="201" t="s">
        <v>7619</v>
      </c>
      <c r="D738" s="200">
        <v>44284</v>
      </c>
      <c r="E738" s="199" t="s">
        <v>7618</v>
      </c>
      <c r="I738" s="198">
        <v>6.71</v>
      </c>
      <c r="K738" s="198">
        <v>59531.6</v>
      </c>
    </row>
    <row r="739" spans="3:11" x14ac:dyDescent="0.2">
      <c r="C739" s="201" t="s">
        <v>7617</v>
      </c>
      <c r="D739" s="200">
        <v>44284</v>
      </c>
      <c r="E739" s="199" t="s">
        <v>7616</v>
      </c>
      <c r="I739" s="198">
        <v>1.97</v>
      </c>
      <c r="K739" s="198">
        <v>59533.57</v>
      </c>
    </row>
    <row r="740" spans="3:11" x14ac:dyDescent="0.2">
      <c r="C740" s="201" t="s">
        <v>7615</v>
      </c>
      <c r="D740" s="200">
        <v>44284</v>
      </c>
      <c r="E740" s="199" t="s">
        <v>7614</v>
      </c>
      <c r="I740" s="198">
        <v>1.68</v>
      </c>
      <c r="K740" s="198">
        <v>59535.25</v>
      </c>
    </row>
    <row r="741" spans="3:11" x14ac:dyDescent="0.2">
      <c r="C741" s="201" t="s">
        <v>7613</v>
      </c>
      <c r="D741" s="200">
        <v>44284</v>
      </c>
      <c r="E741" s="199" t="s">
        <v>7612</v>
      </c>
      <c r="I741" s="198">
        <v>3.83</v>
      </c>
      <c r="K741" s="198">
        <v>59539.08</v>
      </c>
    </row>
    <row r="742" spans="3:11" x14ac:dyDescent="0.2">
      <c r="C742" s="201" t="s">
        <v>7611</v>
      </c>
      <c r="D742" s="200">
        <v>44284</v>
      </c>
      <c r="E742" s="199" t="s">
        <v>7610</v>
      </c>
      <c r="I742" s="198">
        <v>3.36</v>
      </c>
      <c r="K742" s="198">
        <v>59542.44</v>
      </c>
    </row>
    <row r="743" spans="3:11" x14ac:dyDescent="0.2">
      <c r="C743" s="201" t="s">
        <v>7609</v>
      </c>
      <c r="D743" s="200">
        <v>44284</v>
      </c>
      <c r="E743" s="199" t="s">
        <v>7608</v>
      </c>
      <c r="I743" s="198">
        <v>0.24</v>
      </c>
      <c r="K743" s="198">
        <v>59542.68</v>
      </c>
    </row>
    <row r="744" spans="3:11" x14ac:dyDescent="0.2">
      <c r="C744" s="201" t="s">
        <v>7607</v>
      </c>
      <c r="D744" s="200">
        <v>44284</v>
      </c>
      <c r="E744" s="199" t="s">
        <v>7606</v>
      </c>
      <c r="I744" s="198">
        <v>3.21</v>
      </c>
      <c r="K744" s="198">
        <v>59545.89</v>
      </c>
    </row>
    <row r="745" spans="3:11" x14ac:dyDescent="0.2">
      <c r="C745" s="201" t="s">
        <v>7605</v>
      </c>
      <c r="D745" s="200">
        <v>44284</v>
      </c>
      <c r="E745" s="199" t="s">
        <v>7604</v>
      </c>
      <c r="I745" s="198">
        <v>2.2999999999999998</v>
      </c>
      <c r="K745" s="198">
        <v>59548.19</v>
      </c>
    </row>
    <row r="746" spans="3:11" x14ac:dyDescent="0.2">
      <c r="C746" s="201" t="s">
        <v>7603</v>
      </c>
      <c r="D746" s="200">
        <v>44284</v>
      </c>
      <c r="E746" s="199" t="s">
        <v>7602</v>
      </c>
      <c r="I746" s="198">
        <v>4</v>
      </c>
      <c r="K746" s="198">
        <v>59552.19</v>
      </c>
    </row>
    <row r="747" spans="3:11" x14ac:dyDescent="0.2">
      <c r="C747" s="201" t="s">
        <v>7601</v>
      </c>
      <c r="D747" s="200">
        <v>44285</v>
      </c>
      <c r="E747" s="199" t="s">
        <v>7600</v>
      </c>
      <c r="I747" s="198">
        <v>13.88</v>
      </c>
      <c r="K747" s="198">
        <v>59566.07</v>
      </c>
    </row>
    <row r="748" spans="3:11" x14ac:dyDescent="0.2">
      <c r="C748" s="201" t="s">
        <v>7599</v>
      </c>
      <c r="D748" s="200">
        <v>44285</v>
      </c>
      <c r="E748" s="199" t="s">
        <v>7598</v>
      </c>
      <c r="I748" s="198">
        <v>5.04</v>
      </c>
      <c r="K748" s="198">
        <v>59571.11</v>
      </c>
    </row>
    <row r="749" spans="3:11" x14ac:dyDescent="0.2">
      <c r="C749" s="201" t="s">
        <v>7597</v>
      </c>
      <c r="D749" s="200">
        <v>44285</v>
      </c>
      <c r="E749" s="199" t="s">
        <v>7596</v>
      </c>
      <c r="I749" s="198">
        <v>6.17</v>
      </c>
      <c r="K749" s="198">
        <v>59577.279999999999</v>
      </c>
    </row>
    <row r="750" spans="3:11" x14ac:dyDescent="0.2">
      <c r="C750" s="201" t="s">
        <v>7595</v>
      </c>
      <c r="D750" s="200">
        <v>44285</v>
      </c>
      <c r="E750" s="199" t="s">
        <v>7594</v>
      </c>
      <c r="I750" s="198">
        <v>15.1</v>
      </c>
      <c r="K750" s="198">
        <v>59592.38</v>
      </c>
    </row>
    <row r="751" spans="3:11" x14ac:dyDescent="0.2">
      <c r="C751" s="201" t="s">
        <v>7593</v>
      </c>
      <c r="D751" s="200">
        <v>44285</v>
      </c>
      <c r="E751" s="199" t="s">
        <v>7592</v>
      </c>
      <c r="I751" s="198">
        <v>1.76</v>
      </c>
      <c r="K751" s="198">
        <v>59594.14</v>
      </c>
    </row>
    <row r="752" spans="3:11" x14ac:dyDescent="0.2">
      <c r="C752" s="201" t="s">
        <v>7591</v>
      </c>
      <c r="D752" s="200">
        <v>44285</v>
      </c>
      <c r="E752" s="199" t="s">
        <v>7590</v>
      </c>
      <c r="I752" s="198">
        <v>7.49</v>
      </c>
      <c r="K752" s="198">
        <v>59601.63</v>
      </c>
    </row>
    <row r="753" spans="3:11" x14ac:dyDescent="0.2">
      <c r="C753" s="201" t="s">
        <v>7589</v>
      </c>
      <c r="D753" s="200">
        <v>44285</v>
      </c>
      <c r="E753" s="199" t="s">
        <v>7588</v>
      </c>
      <c r="I753" s="198">
        <v>6.56</v>
      </c>
      <c r="K753" s="198">
        <v>59608.19</v>
      </c>
    </row>
    <row r="754" spans="3:11" x14ac:dyDescent="0.2">
      <c r="C754" s="201" t="s">
        <v>7587</v>
      </c>
      <c r="D754" s="200">
        <v>44285</v>
      </c>
      <c r="E754" s="199" t="s">
        <v>7586</v>
      </c>
      <c r="I754" s="198">
        <v>2.4300000000000002</v>
      </c>
      <c r="K754" s="198">
        <v>59610.62</v>
      </c>
    </row>
    <row r="755" spans="3:11" x14ac:dyDescent="0.2">
      <c r="C755" s="201" t="s">
        <v>7585</v>
      </c>
      <c r="D755" s="200">
        <v>44285</v>
      </c>
      <c r="E755" s="199" t="s">
        <v>7584</v>
      </c>
      <c r="I755" s="198">
        <v>7.96</v>
      </c>
      <c r="K755" s="198">
        <v>59618.58</v>
      </c>
    </row>
    <row r="756" spans="3:11" x14ac:dyDescent="0.2">
      <c r="C756" s="201" t="s">
        <v>7583</v>
      </c>
      <c r="D756" s="200">
        <v>44285</v>
      </c>
      <c r="E756" s="199" t="s">
        <v>7582</v>
      </c>
      <c r="I756" s="198">
        <v>3.42</v>
      </c>
      <c r="K756" s="198">
        <v>59622</v>
      </c>
    </row>
    <row r="757" spans="3:11" x14ac:dyDescent="0.2">
      <c r="C757" s="201" t="s">
        <v>7581</v>
      </c>
      <c r="D757" s="200">
        <v>44285</v>
      </c>
      <c r="E757" s="199" t="s">
        <v>7580</v>
      </c>
      <c r="I757" s="198">
        <v>5.28</v>
      </c>
      <c r="K757" s="198">
        <v>59627.28</v>
      </c>
    </row>
    <row r="758" spans="3:11" x14ac:dyDescent="0.2">
      <c r="C758" s="201" t="s">
        <v>7579</v>
      </c>
      <c r="D758" s="200">
        <v>44285</v>
      </c>
      <c r="E758" s="199" t="s">
        <v>7578</v>
      </c>
      <c r="I758" s="198">
        <v>1.68</v>
      </c>
      <c r="K758" s="198">
        <v>59628.959999999999</v>
      </c>
    </row>
    <row r="759" spans="3:11" x14ac:dyDescent="0.2">
      <c r="C759" s="201" t="s">
        <v>7577</v>
      </c>
      <c r="D759" s="200">
        <v>44285</v>
      </c>
      <c r="E759" s="199" t="s">
        <v>7576</v>
      </c>
      <c r="I759" s="198">
        <v>16.760000000000002</v>
      </c>
      <c r="K759" s="198">
        <v>59645.72</v>
      </c>
    </row>
    <row r="760" spans="3:11" x14ac:dyDescent="0.2">
      <c r="C760" s="201" t="s">
        <v>7575</v>
      </c>
      <c r="D760" s="200">
        <v>44285</v>
      </c>
      <c r="E760" s="199" t="s">
        <v>7574</v>
      </c>
      <c r="I760" s="198">
        <v>6.03</v>
      </c>
      <c r="K760" s="198">
        <v>59651.75</v>
      </c>
    </row>
    <row r="761" spans="3:11" x14ac:dyDescent="0.2">
      <c r="C761" s="201" t="s">
        <v>7573</v>
      </c>
      <c r="D761" s="200">
        <v>44285</v>
      </c>
      <c r="E761" s="199" t="s">
        <v>7572</v>
      </c>
      <c r="I761" s="198">
        <v>7.46</v>
      </c>
      <c r="K761" s="198">
        <v>59659.21</v>
      </c>
    </row>
    <row r="762" spans="3:11" x14ac:dyDescent="0.2">
      <c r="C762" s="201" t="s">
        <v>7571</v>
      </c>
      <c r="D762" s="200">
        <v>44285</v>
      </c>
      <c r="E762" s="199" t="s">
        <v>7570</v>
      </c>
      <c r="I762" s="198">
        <v>27.04</v>
      </c>
      <c r="K762" s="198">
        <v>59686.25</v>
      </c>
    </row>
    <row r="763" spans="3:11" x14ac:dyDescent="0.2">
      <c r="C763" s="201" t="s">
        <v>7569</v>
      </c>
      <c r="D763" s="200">
        <v>44285</v>
      </c>
      <c r="E763" s="199" t="s">
        <v>7568</v>
      </c>
      <c r="I763" s="198">
        <v>5.62</v>
      </c>
      <c r="K763" s="198">
        <v>59691.87</v>
      </c>
    </row>
    <row r="764" spans="3:11" x14ac:dyDescent="0.2">
      <c r="C764" s="201" t="s">
        <v>7567</v>
      </c>
      <c r="D764" s="200">
        <v>44285</v>
      </c>
      <c r="E764" s="199" t="s">
        <v>7566</v>
      </c>
      <c r="I764" s="198">
        <v>1.95</v>
      </c>
      <c r="K764" s="198">
        <v>59693.82</v>
      </c>
    </row>
    <row r="765" spans="3:11" x14ac:dyDescent="0.2">
      <c r="C765" s="201" t="s">
        <v>7565</v>
      </c>
      <c r="D765" s="200">
        <v>44285</v>
      </c>
      <c r="E765" s="199" t="s">
        <v>7564</v>
      </c>
      <c r="I765" s="198">
        <v>1.68</v>
      </c>
      <c r="K765" s="198">
        <v>59695.5</v>
      </c>
    </row>
    <row r="766" spans="3:11" x14ac:dyDescent="0.2">
      <c r="C766" s="201" t="s">
        <v>7563</v>
      </c>
      <c r="D766" s="200">
        <v>44285</v>
      </c>
      <c r="E766" s="199" t="s">
        <v>7562</v>
      </c>
      <c r="I766" s="198">
        <v>8.3800000000000008</v>
      </c>
      <c r="K766" s="198">
        <v>59703.88</v>
      </c>
    </row>
    <row r="767" spans="3:11" x14ac:dyDescent="0.2">
      <c r="C767" s="201" t="s">
        <v>7561</v>
      </c>
      <c r="D767" s="200">
        <v>44285</v>
      </c>
      <c r="E767" s="199" t="s">
        <v>7560</v>
      </c>
      <c r="I767" s="198">
        <v>3.01</v>
      </c>
      <c r="K767" s="198">
        <v>59706.89</v>
      </c>
    </row>
    <row r="768" spans="3:11" x14ac:dyDescent="0.2">
      <c r="C768" s="201" t="s">
        <v>7559</v>
      </c>
      <c r="D768" s="200">
        <v>44285</v>
      </c>
      <c r="E768" s="199" t="s">
        <v>7558</v>
      </c>
      <c r="I768" s="198">
        <v>4.45</v>
      </c>
      <c r="K768" s="198">
        <v>59711.34</v>
      </c>
    </row>
    <row r="769" spans="3:11" x14ac:dyDescent="0.2">
      <c r="C769" s="201" t="s">
        <v>7557</v>
      </c>
      <c r="D769" s="200">
        <v>44285</v>
      </c>
      <c r="E769" s="199" t="s">
        <v>7556</v>
      </c>
      <c r="I769" s="198">
        <v>1.68</v>
      </c>
      <c r="K769" s="198">
        <v>59713.02</v>
      </c>
    </row>
    <row r="770" spans="3:11" x14ac:dyDescent="0.2">
      <c r="C770" s="201" t="s">
        <v>7555</v>
      </c>
      <c r="D770" s="200">
        <v>44285</v>
      </c>
      <c r="E770" s="199" t="s">
        <v>7554</v>
      </c>
      <c r="I770" s="198">
        <v>2.5299999999999998</v>
      </c>
      <c r="K770" s="198">
        <v>59715.55</v>
      </c>
    </row>
    <row r="771" spans="3:11" x14ac:dyDescent="0.2">
      <c r="C771" s="201" t="s">
        <v>7553</v>
      </c>
      <c r="D771" s="200">
        <v>44285</v>
      </c>
      <c r="E771" s="199" t="s">
        <v>7552</v>
      </c>
      <c r="I771" s="198">
        <v>60</v>
      </c>
      <c r="K771" s="198">
        <v>59775.55</v>
      </c>
    </row>
    <row r="772" spans="3:11" x14ac:dyDescent="0.2">
      <c r="C772" s="201" t="s">
        <v>7551</v>
      </c>
      <c r="D772" s="200">
        <v>44286</v>
      </c>
      <c r="E772" s="199" t="s">
        <v>7550</v>
      </c>
      <c r="J772" s="222">
        <v>120.44</v>
      </c>
      <c r="K772" s="198">
        <v>59655.11</v>
      </c>
    </row>
    <row r="773" spans="3:11" x14ac:dyDescent="0.2">
      <c r="C773" s="201" t="s">
        <v>7549</v>
      </c>
      <c r="D773" s="200">
        <v>44286</v>
      </c>
      <c r="E773" s="199" t="s">
        <v>7548</v>
      </c>
      <c r="I773" s="198">
        <v>8251.14</v>
      </c>
      <c r="K773" s="198">
        <v>67906.25</v>
      </c>
    </row>
    <row r="774" spans="3:11" x14ac:dyDescent="0.2">
      <c r="C774" s="201" t="s">
        <v>7547</v>
      </c>
      <c r="D774" s="200">
        <v>44286</v>
      </c>
      <c r="E774" s="199" t="s">
        <v>7546</v>
      </c>
      <c r="I774" s="198">
        <v>2</v>
      </c>
      <c r="K774" s="198">
        <v>67908.25</v>
      </c>
    </row>
    <row r="775" spans="3:11" x14ac:dyDescent="0.2">
      <c r="C775" s="201" t="s">
        <v>7545</v>
      </c>
      <c r="D775" s="200">
        <v>44286</v>
      </c>
      <c r="E775" s="199" t="s">
        <v>7544</v>
      </c>
      <c r="I775" s="198">
        <v>1</v>
      </c>
      <c r="K775" s="198">
        <v>67909.25</v>
      </c>
    </row>
    <row r="776" spans="3:11" x14ac:dyDescent="0.2">
      <c r="C776" s="201" t="s">
        <v>7543</v>
      </c>
      <c r="D776" s="200">
        <v>44286</v>
      </c>
      <c r="E776" s="199" t="s">
        <v>7542</v>
      </c>
      <c r="I776" s="198">
        <v>933.17</v>
      </c>
      <c r="K776" s="198">
        <v>68842.42</v>
      </c>
    </row>
    <row r="777" spans="3:11" x14ac:dyDescent="0.2">
      <c r="C777" s="201" t="s">
        <v>7541</v>
      </c>
      <c r="D777" s="200">
        <v>44286</v>
      </c>
      <c r="E777" s="199" t="s">
        <v>7540</v>
      </c>
      <c r="I777" s="198">
        <v>1.83</v>
      </c>
      <c r="K777" s="198">
        <v>68844.25</v>
      </c>
    </row>
    <row r="778" spans="3:11" x14ac:dyDescent="0.2">
      <c r="C778" s="201" t="s">
        <v>7539</v>
      </c>
      <c r="D778" s="200">
        <v>44286</v>
      </c>
      <c r="E778" s="199" t="s">
        <v>7538</v>
      </c>
      <c r="I778" s="198">
        <v>6.47</v>
      </c>
      <c r="K778" s="198">
        <v>68850.720000000001</v>
      </c>
    </row>
    <row r="779" spans="3:11" x14ac:dyDescent="0.2">
      <c r="C779" s="201" t="s">
        <v>7537</v>
      </c>
      <c r="D779" s="200">
        <v>44286</v>
      </c>
      <c r="E779" s="199" t="s">
        <v>7536</v>
      </c>
      <c r="I779" s="198">
        <v>2.06</v>
      </c>
      <c r="K779" s="198">
        <v>68852.78</v>
      </c>
    </row>
    <row r="780" spans="3:11" x14ac:dyDescent="0.2">
      <c r="C780" s="201" t="s">
        <v>7535</v>
      </c>
      <c r="D780" s="200">
        <v>44286</v>
      </c>
      <c r="E780" s="199" t="s">
        <v>7534</v>
      </c>
      <c r="I780" s="198">
        <v>5.49</v>
      </c>
      <c r="K780" s="198">
        <v>68858.27</v>
      </c>
    </row>
    <row r="781" spans="3:11" x14ac:dyDescent="0.2">
      <c r="C781" s="201" t="s">
        <v>7533</v>
      </c>
      <c r="D781" s="200">
        <v>44286</v>
      </c>
      <c r="E781" s="199" t="s">
        <v>7532</v>
      </c>
      <c r="I781" s="198">
        <v>5.07</v>
      </c>
      <c r="K781" s="198">
        <v>68863.34</v>
      </c>
    </row>
    <row r="782" spans="3:11" x14ac:dyDescent="0.2">
      <c r="C782" s="201" t="s">
        <v>7531</v>
      </c>
      <c r="D782" s="200">
        <v>44286</v>
      </c>
      <c r="E782" s="199" t="s">
        <v>7530</v>
      </c>
      <c r="I782" s="198">
        <v>5.12</v>
      </c>
      <c r="K782" s="198">
        <v>68868.460000000006</v>
      </c>
    </row>
    <row r="783" spans="3:11" x14ac:dyDescent="0.2">
      <c r="C783" s="201" t="s">
        <v>7529</v>
      </c>
      <c r="D783" s="200">
        <v>44286</v>
      </c>
      <c r="E783" s="199" t="s">
        <v>7528</v>
      </c>
      <c r="I783" s="198">
        <v>130.37</v>
      </c>
      <c r="K783" s="198">
        <v>68998.83</v>
      </c>
    </row>
    <row r="784" spans="3:11" x14ac:dyDescent="0.2">
      <c r="C784" s="201" t="s">
        <v>7527</v>
      </c>
      <c r="D784" s="200">
        <v>44286</v>
      </c>
      <c r="E784" s="199" t="s">
        <v>7526</v>
      </c>
      <c r="I784" s="198">
        <v>3.32</v>
      </c>
      <c r="K784" s="198">
        <v>69002.149999999994</v>
      </c>
    </row>
    <row r="785" spans="3:11" x14ac:dyDescent="0.2">
      <c r="C785" s="201" t="s">
        <v>7525</v>
      </c>
      <c r="D785" s="200">
        <v>44286</v>
      </c>
      <c r="E785" s="199" t="s">
        <v>7524</v>
      </c>
      <c r="I785" s="198">
        <v>5.14</v>
      </c>
      <c r="K785" s="198">
        <v>69007.289999999994</v>
      </c>
    </row>
    <row r="786" spans="3:11" x14ac:dyDescent="0.2">
      <c r="C786" s="201" t="s">
        <v>7523</v>
      </c>
      <c r="D786" s="200">
        <v>44286</v>
      </c>
      <c r="E786" s="199" t="s">
        <v>7522</v>
      </c>
      <c r="I786" s="198">
        <v>5.0599999999999996</v>
      </c>
      <c r="K786" s="198">
        <v>69012.350000000006</v>
      </c>
    </row>
    <row r="787" spans="3:11" x14ac:dyDescent="0.2">
      <c r="C787" s="201" t="s">
        <v>7521</v>
      </c>
      <c r="D787" s="200">
        <v>44286</v>
      </c>
      <c r="E787" s="199" t="s">
        <v>7520</v>
      </c>
      <c r="I787" s="198">
        <v>2.69</v>
      </c>
      <c r="K787" s="198">
        <v>69015.039999999994</v>
      </c>
    </row>
    <row r="788" spans="3:11" x14ac:dyDescent="0.2">
      <c r="C788" s="201" t="s">
        <v>7519</v>
      </c>
      <c r="D788" s="200">
        <v>44286</v>
      </c>
      <c r="E788" s="199" t="s">
        <v>7518</v>
      </c>
      <c r="I788" s="198">
        <v>2.69</v>
      </c>
      <c r="K788" s="198">
        <v>69017.73</v>
      </c>
    </row>
    <row r="789" spans="3:11" x14ac:dyDescent="0.2">
      <c r="C789" s="201" t="s">
        <v>7517</v>
      </c>
      <c r="D789" s="200">
        <v>44286</v>
      </c>
      <c r="E789" s="199" t="s">
        <v>7516</v>
      </c>
      <c r="I789" s="198">
        <v>2.97</v>
      </c>
      <c r="K789" s="198">
        <v>69020.7</v>
      </c>
    </row>
    <row r="790" spans="3:11" x14ac:dyDescent="0.2">
      <c r="C790" s="201" t="s">
        <v>7515</v>
      </c>
      <c r="D790" s="200">
        <v>44286</v>
      </c>
      <c r="E790" s="199" t="s">
        <v>7514</v>
      </c>
      <c r="I790" s="198">
        <v>3.55</v>
      </c>
      <c r="K790" s="198">
        <v>69024.25</v>
      </c>
    </row>
    <row r="791" spans="3:11" x14ac:dyDescent="0.2">
      <c r="C791" s="201" t="s">
        <v>7513</v>
      </c>
      <c r="D791" s="200">
        <v>44286</v>
      </c>
      <c r="E791" s="199" t="s">
        <v>7512</v>
      </c>
      <c r="I791" s="198">
        <v>3.62</v>
      </c>
      <c r="K791" s="198">
        <v>69027.87</v>
      </c>
    </row>
    <row r="792" spans="3:11" x14ac:dyDescent="0.2">
      <c r="C792" s="201" t="s">
        <v>7511</v>
      </c>
      <c r="D792" s="200">
        <v>44286</v>
      </c>
      <c r="E792" s="199" t="s">
        <v>7510</v>
      </c>
      <c r="I792" s="198">
        <v>3.38</v>
      </c>
      <c r="K792" s="198">
        <v>69031.25</v>
      </c>
    </row>
    <row r="793" spans="3:11" x14ac:dyDescent="0.2">
      <c r="C793" s="201" t="s">
        <v>7509</v>
      </c>
      <c r="D793" s="200">
        <v>44286</v>
      </c>
      <c r="E793" s="199" t="s">
        <v>7508</v>
      </c>
      <c r="I793" s="198">
        <v>3.36</v>
      </c>
      <c r="K793" s="198">
        <v>69034.61</v>
      </c>
    </row>
    <row r="794" spans="3:11" x14ac:dyDescent="0.2">
      <c r="C794" s="201" t="s">
        <v>7507</v>
      </c>
      <c r="D794" s="200">
        <v>44286</v>
      </c>
      <c r="E794" s="199" t="s">
        <v>7506</v>
      </c>
      <c r="I794" s="198">
        <v>3.61</v>
      </c>
      <c r="K794" s="198">
        <v>69038.22</v>
      </c>
    </row>
    <row r="795" spans="3:11" x14ac:dyDescent="0.2">
      <c r="C795" s="201" t="s">
        <v>7505</v>
      </c>
      <c r="D795" s="200">
        <v>44286</v>
      </c>
      <c r="E795" s="199" t="s">
        <v>7504</v>
      </c>
      <c r="I795" s="198">
        <v>3.58</v>
      </c>
      <c r="K795" s="198">
        <v>69041.8</v>
      </c>
    </row>
    <row r="796" spans="3:11" x14ac:dyDescent="0.2">
      <c r="C796" s="201" t="s">
        <v>7503</v>
      </c>
      <c r="D796" s="200">
        <v>44286</v>
      </c>
      <c r="E796" s="199" t="s">
        <v>7502</v>
      </c>
      <c r="I796" s="198">
        <v>16.760000000000002</v>
      </c>
      <c r="K796" s="198">
        <v>69058.559999999998</v>
      </c>
    </row>
    <row r="797" spans="3:11" x14ac:dyDescent="0.2">
      <c r="C797" s="201" t="s">
        <v>7501</v>
      </c>
      <c r="D797" s="200">
        <v>44286</v>
      </c>
      <c r="E797" s="199" t="s">
        <v>7500</v>
      </c>
      <c r="I797" s="198">
        <v>16.760000000000002</v>
      </c>
      <c r="K797" s="198">
        <v>69075.320000000007</v>
      </c>
    </row>
    <row r="798" spans="3:11" x14ac:dyDescent="0.2">
      <c r="C798" s="201" t="s">
        <v>7499</v>
      </c>
      <c r="D798" s="200">
        <v>44286</v>
      </c>
      <c r="E798" s="199" t="s">
        <v>7498</v>
      </c>
      <c r="I798" s="198">
        <v>4.57</v>
      </c>
      <c r="K798" s="198">
        <v>69079.89</v>
      </c>
    </row>
    <row r="799" spans="3:11" x14ac:dyDescent="0.2">
      <c r="C799" s="201" t="s">
        <v>7497</v>
      </c>
      <c r="D799" s="200">
        <v>44286</v>
      </c>
      <c r="E799" s="199" t="s">
        <v>7496</v>
      </c>
      <c r="I799" s="198">
        <v>12.3</v>
      </c>
      <c r="K799" s="198">
        <v>69092.19</v>
      </c>
    </row>
    <row r="800" spans="3:11" x14ac:dyDescent="0.2">
      <c r="C800" s="201" t="s">
        <v>7495</v>
      </c>
      <c r="D800" s="200">
        <v>44286</v>
      </c>
      <c r="E800" s="199" t="s">
        <v>7494</v>
      </c>
      <c r="I800" s="198">
        <v>1.1299999999999999</v>
      </c>
      <c r="K800" s="198">
        <v>69093.320000000007</v>
      </c>
    </row>
    <row r="801" spans="3:11" x14ac:dyDescent="0.2">
      <c r="C801" s="201" t="s">
        <v>7493</v>
      </c>
      <c r="D801" s="200">
        <v>44286</v>
      </c>
      <c r="E801" s="199" t="s">
        <v>7492</v>
      </c>
      <c r="I801" s="198">
        <v>17.899999999999999</v>
      </c>
      <c r="K801" s="198">
        <v>69111.22</v>
      </c>
    </row>
    <row r="802" spans="3:11" x14ac:dyDescent="0.2">
      <c r="C802" s="201" t="s">
        <v>7491</v>
      </c>
      <c r="D802" s="200">
        <v>44286</v>
      </c>
      <c r="E802" s="199" t="s">
        <v>7490</v>
      </c>
      <c r="I802" s="198">
        <v>9.2799999999999994</v>
      </c>
      <c r="K802" s="198">
        <v>69120.5</v>
      </c>
    </row>
    <row r="803" spans="3:11" x14ac:dyDescent="0.2">
      <c r="C803" s="201" t="s">
        <v>7489</v>
      </c>
      <c r="D803" s="200">
        <v>44286</v>
      </c>
      <c r="E803" s="199" t="s">
        <v>7488</v>
      </c>
      <c r="I803" s="198">
        <v>1.68</v>
      </c>
      <c r="K803" s="198">
        <v>69122.179999999993</v>
      </c>
    </row>
    <row r="804" spans="3:11" x14ac:dyDescent="0.2">
      <c r="C804" s="201" t="s">
        <v>7487</v>
      </c>
      <c r="D804" s="200">
        <v>44286</v>
      </c>
      <c r="E804" s="199" t="s">
        <v>7486</v>
      </c>
      <c r="I804" s="198">
        <v>2.5099999999999998</v>
      </c>
      <c r="K804" s="198">
        <v>69124.69</v>
      </c>
    </row>
    <row r="805" spans="3:11" x14ac:dyDescent="0.2">
      <c r="C805" s="201" t="s">
        <v>7485</v>
      </c>
      <c r="D805" s="200">
        <v>44286</v>
      </c>
      <c r="E805" s="199" t="s">
        <v>7484</v>
      </c>
      <c r="I805" s="198">
        <v>4.21</v>
      </c>
      <c r="K805" s="198">
        <v>69128.899999999994</v>
      </c>
    </row>
    <row r="806" spans="3:11" x14ac:dyDescent="0.2">
      <c r="C806" s="201" t="s">
        <v>7483</v>
      </c>
      <c r="D806" s="200">
        <v>44286</v>
      </c>
      <c r="E806" s="199" t="s">
        <v>7482</v>
      </c>
      <c r="J806" s="222">
        <v>600</v>
      </c>
      <c r="K806" s="198">
        <v>68528.899999999994</v>
      </c>
    </row>
    <row r="807" spans="3:11" x14ac:dyDescent="0.2">
      <c r="C807" s="201" t="s">
        <v>7481</v>
      </c>
      <c r="D807" s="200">
        <v>44286</v>
      </c>
      <c r="E807" s="199" t="s">
        <v>7480</v>
      </c>
      <c r="J807" s="222">
        <v>2872.91</v>
      </c>
      <c r="K807" s="198">
        <v>65655.990000000005</v>
      </c>
    </row>
    <row r="808" spans="3:11" x14ac:dyDescent="0.2">
      <c r="C808" s="201" t="s">
        <v>7479</v>
      </c>
      <c r="D808" s="200">
        <v>44286</v>
      </c>
      <c r="E808" s="199" t="s">
        <v>7478</v>
      </c>
      <c r="J808" s="222">
        <v>1551.52</v>
      </c>
      <c r="K808" s="198">
        <v>64104.47</v>
      </c>
    </row>
    <row r="809" spans="3:11" x14ac:dyDescent="0.2">
      <c r="C809" s="201" t="s">
        <v>20178</v>
      </c>
      <c r="D809" s="200">
        <v>44286</v>
      </c>
      <c r="E809" s="199" t="s">
        <v>20180</v>
      </c>
      <c r="J809" s="222">
        <v>90.14</v>
      </c>
      <c r="K809" s="198">
        <v>64014.33</v>
      </c>
    </row>
    <row r="810" spans="3:11" x14ac:dyDescent="0.2">
      <c r="C810" s="197" t="s">
        <v>22</v>
      </c>
      <c r="D810" s="196">
        <v>60847.82</v>
      </c>
      <c r="E810" s="197" t="s">
        <v>21</v>
      </c>
      <c r="F810" s="196">
        <v>22419.25</v>
      </c>
      <c r="G810" s="197" t="s">
        <v>20</v>
      </c>
      <c r="H810" s="196">
        <v>19252.740000000002</v>
      </c>
      <c r="J810" s="197" t="s">
        <v>19</v>
      </c>
      <c r="K810" s="196">
        <v>64014.33</v>
      </c>
    </row>
    <row r="813" spans="3:11" x14ac:dyDescent="0.2">
      <c r="E813" s="87" t="s">
        <v>18</v>
      </c>
      <c r="K813" s="86" t="s">
        <v>17</v>
      </c>
    </row>
  </sheetData>
  <pageMargins left="0.75" right="0.75" top="1" bottom="1" header="0" footer="0"/>
  <pageSetup orientation="portrait" errors="NA" horizontalDpi="120" verticalDpi="72"/>
  <headerFooter alignWithMargins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8308B-29F4-460C-A8D0-1D15241E22DA}">
  <sheetPr>
    <pageSetUpPr fitToPage="1"/>
  </sheetPr>
  <dimension ref="A1:G237"/>
  <sheetViews>
    <sheetView topLeftCell="A227" workbookViewId="0">
      <selection activeCell="C235" sqref="C235"/>
    </sheetView>
  </sheetViews>
  <sheetFormatPr baseColWidth="10" defaultRowHeight="15" x14ac:dyDescent="0.25"/>
  <cols>
    <col min="2" max="2" width="45.42578125" customWidth="1"/>
    <col min="3" max="3" width="7.7109375" customWidth="1"/>
    <col min="4" max="4" width="12" customWidth="1"/>
    <col min="5" max="5" width="15.7109375" bestFit="1" customWidth="1"/>
    <col min="6" max="6" width="10.28515625" bestFit="1" customWidth="1"/>
    <col min="7" max="7" width="10.7109375" customWidth="1"/>
    <col min="258" max="258" width="45.42578125" customWidth="1"/>
    <col min="259" max="259" width="7.7109375" customWidth="1"/>
    <col min="260" max="260" width="12" customWidth="1"/>
    <col min="261" max="261" width="15.7109375" bestFit="1" customWidth="1"/>
    <col min="262" max="262" width="10.28515625" bestFit="1" customWidth="1"/>
    <col min="263" max="263" width="10.7109375" customWidth="1"/>
    <col min="514" max="514" width="45.42578125" customWidth="1"/>
    <col min="515" max="515" width="7.7109375" customWidth="1"/>
    <col min="516" max="516" width="12" customWidth="1"/>
    <col min="517" max="517" width="15.7109375" bestFit="1" customWidth="1"/>
    <col min="518" max="518" width="10.28515625" bestFit="1" customWidth="1"/>
    <col min="519" max="519" width="10.7109375" customWidth="1"/>
    <col min="770" max="770" width="45.42578125" customWidth="1"/>
    <col min="771" max="771" width="7.7109375" customWidth="1"/>
    <col min="772" max="772" width="12" customWidth="1"/>
    <col min="773" max="773" width="15.7109375" bestFit="1" customWidth="1"/>
    <col min="774" max="774" width="10.28515625" bestFit="1" customWidth="1"/>
    <col min="775" max="775" width="10.7109375" customWidth="1"/>
    <col min="1026" max="1026" width="45.42578125" customWidth="1"/>
    <col min="1027" max="1027" width="7.7109375" customWidth="1"/>
    <col min="1028" max="1028" width="12" customWidth="1"/>
    <col min="1029" max="1029" width="15.7109375" bestFit="1" customWidth="1"/>
    <col min="1030" max="1030" width="10.28515625" bestFit="1" customWidth="1"/>
    <col min="1031" max="1031" width="10.7109375" customWidth="1"/>
    <col min="1282" max="1282" width="45.42578125" customWidth="1"/>
    <col min="1283" max="1283" width="7.7109375" customWidth="1"/>
    <col min="1284" max="1284" width="12" customWidth="1"/>
    <col min="1285" max="1285" width="15.7109375" bestFit="1" customWidth="1"/>
    <col min="1286" max="1286" width="10.28515625" bestFit="1" customWidth="1"/>
    <col min="1287" max="1287" width="10.7109375" customWidth="1"/>
    <col min="1538" max="1538" width="45.42578125" customWidth="1"/>
    <col min="1539" max="1539" width="7.7109375" customWidth="1"/>
    <col min="1540" max="1540" width="12" customWidth="1"/>
    <col min="1541" max="1541" width="15.7109375" bestFit="1" customWidth="1"/>
    <col min="1542" max="1542" width="10.28515625" bestFit="1" customWidth="1"/>
    <col min="1543" max="1543" width="10.7109375" customWidth="1"/>
    <col min="1794" max="1794" width="45.42578125" customWidth="1"/>
    <col min="1795" max="1795" width="7.7109375" customWidth="1"/>
    <col min="1796" max="1796" width="12" customWidth="1"/>
    <col min="1797" max="1797" width="15.7109375" bestFit="1" customWidth="1"/>
    <col min="1798" max="1798" width="10.28515625" bestFit="1" customWidth="1"/>
    <col min="1799" max="1799" width="10.7109375" customWidth="1"/>
    <col min="2050" max="2050" width="45.42578125" customWidth="1"/>
    <col min="2051" max="2051" width="7.7109375" customWidth="1"/>
    <col min="2052" max="2052" width="12" customWidth="1"/>
    <col min="2053" max="2053" width="15.7109375" bestFit="1" customWidth="1"/>
    <col min="2054" max="2054" width="10.28515625" bestFit="1" customWidth="1"/>
    <col min="2055" max="2055" width="10.7109375" customWidth="1"/>
    <col min="2306" max="2306" width="45.42578125" customWidth="1"/>
    <col min="2307" max="2307" width="7.7109375" customWidth="1"/>
    <col min="2308" max="2308" width="12" customWidth="1"/>
    <col min="2309" max="2309" width="15.7109375" bestFit="1" customWidth="1"/>
    <col min="2310" max="2310" width="10.28515625" bestFit="1" customWidth="1"/>
    <col min="2311" max="2311" width="10.7109375" customWidth="1"/>
    <col min="2562" max="2562" width="45.42578125" customWidth="1"/>
    <col min="2563" max="2563" width="7.7109375" customWidth="1"/>
    <col min="2564" max="2564" width="12" customWidth="1"/>
    <col min="2565" max="2565" width="15.7109375" bestFit="1" customWidth="1"/>
    <col min="2566" max="2566" width="10.28515625" bestFit="1" customWidth="1"/>
    <col min="2567" max="2567" width="10.7109375" customWidth="1"/>
    <col min="2818" max="2818" width="45.42578125" customWidth="1"/>
    <col min="2819" max="2819" width="7.7109375" customWidth="1"/>
    <col min="2820" max="2820" width="12" customWidth="1"/>
    <col min="2821" max="2821" width="15.7109375" bestFit="1" customWidth="1"/>
    <col min="2822" max="2822" width="10.28515625" bestFit="1" customWidth="1"/>
    <col min="2823" max="2823" width="10.7109375" customWidth="1"/>
    <col min="3074" max="3074" width="45.42578125" customWidth="1"/>
    <col min="3075" max="3075" width="7.7109375" customWidth="1"/>
    <col min="3076" max="3076" width="12" customWidth="1"/>
    <col min="3077" max="3077" width="15.7109375" bestFit="1" customWidth="1"/>
    <col min="3078" max="3078" width="10.28515625" bestFit="1" customWidth="1"/>
    <col min="3079" max="3079" width="10.7109375" customWidth="1"/>
    <col min="3330" max="3330" width="45.42578125" customWidth="1"/>
    <col min="3331" max="3331" width="7.7109375" customWidth="1"/>
    <col min="3332" max="3332" width="12" customWidth="1"/>
    <col min="3333" max="3333" width="15.7109375" bestFit="1" customWidth="1"/>
    <col min="3334" max="3334" width="10.28515625" bestFit="1" customWidth="1"/>
    <col min="3335" max="3335" width="10.7109375" customWidth="1"/>
    <col min="3586" max="3586" width="45.42578125" customWidth="1"/>
    <col min="3587" max="3587" width="7.7109375" customWidth="1"/>
    <col min="3588" max="3588" width="12" customWidth="1"/>
    <col min="3589" max="3589" width="15.7109375" bestFit="1" customWidth="1"/>
    <col min="3590" max="3590" width="10.28515625" bestFit="1" customWidth="1"/>
    <col min="3591" max="3591" width="10.7109375" customWidth="1"/>
    <col min="3842" max="3842" width="45.42578125" customWidth="1"/>
    <col min="3843" max="3843" width="7.7109375" customWidth="1"/>
    <col min="3844" max="3844" width="12" customWidth="1"/>
    <col min="3845" max="3845" width="15.7109375" bestFit="1" customWidth="1"/>
    <col min="3846" max="3846" width="10.28515625" bestFit="1" customWidth="1"/>
    <col min="3847" max="3847" width="10.7109375" customWidth="1"/>
    <col min="4098" max="4098" width="45.42578125" customWidth="1"/>
    <col min="4099" max="4099" width="7.7109375" customWidth="1"/>
    <col min="4100" max="4100" width="12" customWidth="1"/>
    <col min="4101" max="4101" width="15.7109375" bestFit="1" customWidth="1"/>
    <col min="4102" max="4102" width="10.28515625" bestFit="1" customWidth="1"/>
    <col min="4103" max="4103" width="10.7109375" customWidth="1"/>
    <col min="4354" max="4354" width="45.42578125" customWidth="1"/>
    <col min="4355" max="4355" width="7.7109375" customWidth="1"/>
    <col min="4356" max="4356" width="12" customWidth="1"/>
    <col min="4357" max="4357" width="15.7109375" bestFit="1" customWidth="1"/>
    <col min="4358" max="4358" width="10.28515625" bestFit="1" customWidth="1"/>
    <col min="4359" max="4359" width="10.7109375" customWidth="1"/>
    <col min="4610" max="4610" width="45.42578125" customWidth="1"/>
    <col min="4611" max="4611" width="7.7109375" customWidth="1"/>
    <col min="4612" max="4612" width="12" customWidth="1"/>
    <col min="4613" max="4613" width="15.7109375" bestFit="1" customWidth="1"/>
    <col min="4614" max="4614" width="10.28515625" bestFit="1" customWidth="1"/>
    <col min="4615" max="4615" width="10.7109375" customWidth="1"/>
    <col min="4866" max="4866" width="45.42578125" customWidth="1"/>
    <col min="4867" max="4867" width="7.7109375" customWidth="1"/>
    <col min="4868" max="4868" width="12" customWidth="1"/>
    <col min="4869" max="4869" width="15.7109375" bestFit="1" customWidth="1"/>
    <col min="4870" max="4870" width="10.28515625" bestFit="1" customWidth="1"/>
    <col min="4871" max="4871" width="10.7109375" customWidth="1"/>
    <col min="5122" max="5122" width="45.42578125" customWidth="1"/>
    <col min="5123" max="5123" width="7.7109375" customWidth="1"/>
    <col min="5124" max="5124" width="12" customWidth="1"/>
    <col min="5125" max="5125" width="15.7109375" bestFit="1" customWidth="1"/>
    <col min="5126" max="5126" width="10.28515625" bestFit="1" customWidth="1"/>
    <col min="5127" max="5127" width="10.7109375" customWidth="1"/>
    <col min="5378" max="5378" width="45.42578125" customWidth="1"/>
    <col min="5379" max="5379" width="7.7109375" customWidth="1"/>
    <col min="5380" max="5380" width="12" customWidth="1"/>
    <col min="5381" max="5381" width="15.7109375" bestFit="1" customWidth="1"/>
    <col min="5382" max="5382" width="10.28515625" bestFit="1" customWidth="1"/>
    <col min="5383" max="5383" width="10.7109375" customWidth="1"/>
    <col min="5634" max="5634" width="45.42578125" customWidth="1"/>
    <col min="5635" max="5635" width="7.7109375" customWidth="1"/>
    <col min="5636" max="5636" width="12" customWidth="1"/>
    <col min="5637" max="5637" width="15.7109375" bestFit="1" customWidth="1"/>
    <col min="5638" max="5638" width="10.28515625" bestFit="1" customWidth="1"/>
    <col min="5639" max="5639" width="10.7109375" customWidth="1"/>
    <col min="5890" max="5890" width="45.42578125" customWidth="1"/>
    <col min="5891" max="5891" width="7.7109375" customWidth="1"/>
    <col min="5892" max="5892" width="12" customWidth="1"/>
    <col min="5893" max="5893" width="15.7109375" bestFit="1" customWidth="1"/>
    <col min="5894" max="5894" width="10.28515625" bestFit="1" customWidth="1"/>
    <col min="5895" max="5895" width="10.7109375" customWidth="1"/>
    <col min="6146" max="6146" width="45.42578125" customWidth="1"/>
    <col min="6147" max="6147" width="7.7109375" customWidth="1"/>
    <col min="6148" max="6148" width="12" customWidth="1"/>
    <col min="6149" max="6149" width="15.7109375" bestFit="1" customWidth="1"/>
    <col min="6150" max="6150" width="10.28515625" bestFit="1" customWidth="1"/>
    <col min="6151" max="6151" width="10.7109375" customWidth="1"/>
    <col min="6402" max="6402" width="45.42578125" customWidth="1"/>
    <col min="6403" max="6403" width="7.7109375" customWidth="1"/>
    <col min="6404" max="6404" width="12" customWidth="1"/>
    <col min="6405" max="6405" width="15.7109375" bestFit="1" customWidth="1"/>
    <col min="6406" max="6406" width="10.28515625" bestFit="1" customWidth="1"/>
    <col min="6407" max="6407" width="10.7109375" customWidth="1"/>
    <col min="6658" max="6658" width="45.42578125" customWidth="1"/>
    <col min="6659" max="6659" width="7.7109375" customWidth="1"/>
    <col min="6660" max="6660" width="12" customWidth="1"/>
    <col min="6661" max="6661" width="15.7109375" bestFit="1" customWidth="1"/>
    <col min="6662" max="6662" width="10.28515625" bestFit="1" customWidth="1"/>
    <col min="6663" max="6663" width="10.7109375" customWidth="1"/>
    <col min="6914" max="6914" width="45.42578125" customWidth="1"/>
    <col min="6915" max="6915" width="7.7109375" customWidth="1"/>
    <col min="6916" max="6916" width="12" customWidth="1"/>
    <col min="6917" max="6917" width="15.7109375" bestFit="1" customWidth="1"/>
    <col min="6918" max="6918" width="10.28515625" bestFit="1" customWidth="1"/>
    <col min="6919" max="6919" width="10.7109375" customWidth="1"/>
    <col min="7170" max="7170" width="45.42578125" customWidth="1"/>
    <col min="7171" max="7171" width="7.7109375" customWidth="1"/>
    <col min="7172" max="7172" width="12" customWidth="1"/>
    <col min="7173" max="7173" width="15.7109375" bestFit="1" customWidth="1"/>
    <col min="7174" max="7174" width="10.28515625" bestFit="1" customWidth="1"/>
    <col min="7175" max="7175" width="10.7109375" customWidth="1"/>
    <col min="7426" max="7426" width="45.42578125" customWidth="1"/>
    <col min="7427" max="7427" width="7.7109375" customWidth="1"/>
    <col min="7428" max="7428" width="12" customWidth="1"/>
    <col min="7429" max="7429" width="15.7109375" bestFit="1" customWidth="1"/>
    <col min="7430" max="7430" width="10.28515625" bestFit="1" customWidth="1"/>
    <col min="7431" max="7431" width="10.7109375" customWidth="1"/>
    <col min="7682" max="7682" width="45.42578125" customWidth="1"/>
    <col min="7683" max="7683" width="7.7109375" customWidth="1"/>
    <col min="7684" max="7684" width="12" customWidth="1"/>
    <col min="7685" max="7685" width="15.7109375" bestFit="1" customWidth="1"/>
    <col min="7686" max="7686" width="10.28515625" bestFit="1" customWidth="1"/>
    <col min="7687" max="7687" width="10.7109375" customWidth="1"/>
    <col min="7938" max="7938" width="45.42578125" customWidth="1"/>
    <col min="7939" max="7939" width="7.7109375" customWidth="1"/>
    <col min="7940" max="7940" width="12" customWidth="1"/>
    <col min="7941" max="7941" width="15.7109375" bestFit="1" customWidth="1"/>
    <col min="7942" max="7942" width="10.28515625" bestFit="1" customWidth="1"/>
    <col min="7943" max="7943" width="10.7109375" customWidth="1"/>
    <col min="8194" max="8194" width="45.42578125" customWidth="1"/>
    <col min="8195" max="8195" width="7.7109375" customWidth="1"/>
    <col min="8196" max="8196" width="12" customWidth="1"/>
    <col min="8197" max="8197" width="15.7109375" bestFit="1" customWidth="1"/>
    <col min="8198" max="8198" width="10.28515625" bestFit="1" customWidth="1"/>
    <col min="8199" max="8199" width="10.7109375" customWidth="1"/>
    <col min="8450" max="8450" width="45.42578125" customWidth="1"/>
    <col min="8451" max="8451" width="7.7109375" customWidth="1"/>
    <col min="8452" max="8452" width="12" customWidth="1"/>
    <col min="8453" max="8453" width="15.7109375" bestFit="1" customWidth="1"/>
    <col min="8454" max="8454" width="10.28515625" bestFit="1" customWidth="1"/>
    <col min="8455" max="8455" width="10.7109375" customWidth="1"/>
    <col min="8706" max="8706" width="45.42578125" customWidth="1"/>
    <col min="8707" max="8707" width="7.7109375" customWidth="1"/>
    <col min="8708" max="8708" width="12" customWidth="1"/>
    <col min="8709" max="8709" width="15.7109375" bestFit="1" customWidth="1"/>
    <col min="8710" max="8710" width="10.28515625" bestFit="1" customWidth="1"/>
    <col min="8711" max="8711" width="10.7109375" customWidth="1"/>
    <col min="8962" max="8962" width="45.42578125" customWidth="1"/>
    <col min="8963" max="8963" width="7.7109375" customWidth="1"/>
    <col min="8964" max="8964" width="12" customWidth="1"/>
    <col min="8965" max="8965" width="15.7109375" bestFit="1" customWidth="1"/>
    <col min="8966" max="8966" width="10.28515625" bestFit="1" customWidth="1"/>
    <col min="8967" max="8967" width="10.7109375" customWidth="1"/>
    <col min="9218" max="9218" width="45.42578125" customWidth="1"/>
    <col min="9219" max="9219" width="7.7109375" customWidth="1"/>
    <col min="9220" max="9220" width="12" customWidth="1"/>
    <col min="9221" max="9221" width="15.7109375" bestFit="1" customWidth="1"/>
    <col min="9222" max="9222" width="10.28515625" bestFit="1" customWidth="1"/>
    <col min="9223" max="9223" width="10.7109375" customWidth="1"/>
    <col min="9474" max="9474" width="45.42578125" customWidth="1"/>
    <col min="9475" max="9475" width="7.7109375" customWidth="1"/>
    <col min="9476" max="9476" width="12" customWidth="1"/>
    <col min="9477" max="9477" width="15.7109375" bestFit="1" customWidth="1"/>
    <col min="9478" max="9478" width="10.28515625" bestFit="1" customWidth="1"/>
    <col min="9479" max="9479" width="10.7109375" customWidth="1"/>
    <col min="9730" max="9730" width="45.42578125" customWidth="1"/>
    <col min="9731" max="9731" width="7.7109375" customWidth="1"/>
    <col min="9732" max="9732" width="12" customWidth="1"/>
    <col min="9733" max="9733" width="15.7109375" bestFit="1" customWidth="1"/>
    <col min="9734" max="9734" width="10.28515625" bestFit="1" customWidth="1"/>
    <col min="9735" max="9735" width="10.7109375" customWidth="1"/>
    <col min="9986" max="9986" width="45.42578125" customWidth="1"/>
    <col min="9987" max="9987" width="7.7109375" customWidth="1"/>
    <col min="9988" max="9988" width="12" customWidth="1"/>
    <col min="9989" max="9989" width="15.7109375" bestFit="1" customWidth="1"/>
    <col min="9990" max="9990" width="10.28515625" bestFit="1" customWidth="1"/>
    <col min="9991" max="9991" width="10.7109375" customWidth="1"/>
    <col min="10242" max="10242" width="45.42578125" customWidth="1"/>
    <col min="10243" max="10243" width="7.7109375" customWidth="1"/>
    <col min="10244" max="10244" width="12" customWidth="1"/>
    <col min="10245" max="10245" width="15.7109375" bestFit="1" customWidth="1"/>
    <col min="10246" max="10246" width="10.28515625" bestFit="1" customWidth="1"/>
    <col min="10247" max="10247" width="10.7109375" customWidth="1"/>
    <col min="10498" max="10498" width="45.42578125" customWidth="1"/>
    <col min="10499" max="10499" width="7.7109375" customWidth="1"/>
    <col min="10500" max="10500" width="12" customWidth="1"/>
    <col min="10501" max="10501" width="15.7109375" bestFit="1" customWidth="1"/>
    <col min="10502" max="10502" width="10.28515625" bestFit="1" customWidth="1"/>
    <col min="10503" max="10503" width="10.7109375" customWidth="1"/>
    <col min="10754" max="10754" width="45.42578125" customWidth="1"/>
    <col min="10755" max="10755" width="7.7109375" customWidth="1"/>
    <col min="10756" max="10756" width="12" customWidth="1"/>
    <col min="10757" max="10757" width="15.7109375" bestFit="1" customWidth="1"/>
    <col min="10758" max="10758" width="10.28515625" bestFit="1" customWidth="1"/>
    <col min="10759" max="10759" width="10.7109375" customWidth="1"/>
    <col min="11010" max="11010" width="45.42578125" customWidth="1"/>
    <col min="11011" max="11011" width="7.7109375" customWidth="1"/>
    <col min="11012" max="11012" width="12" customWidth="1"/>
    <col min="11013" max="11013" width="15.7109375" bestFit="1" customWidth="1"/>
    <col min="11014" max="11014" width="10.28515625" bestFit="1" customWidth="1"/>
    <col min="11015" max="11015" width="10.7109375" customWidth="1"/>
    <col min="11266" max="11266" width="45.42578125" customWidth="1"/>
    <col min="11267" max="11267" width="7.7109375" customWidth="1"/>
    <col min="11268" max="11268" width="12" customWidth="1"/>
    <col min="11269" max="11269" width="15.7109375" bestFit="1" customWidth="1"/>
    <col min="11270" max="11270" width="10.28515625" bestFit="1" customWidth="1"/>
    <col min="11271" max="11271" width="10.7109375" customWidth="1"/>
    <col min="11522" max="11522" width="45.42578125" customWidth="1"/>
    <col min="11523" max="11523" width="7.7109375" customWidth="1"/>
    <col min="11524" max="11524" width="12" customWidth="1"/>
    <col min="11525" max="11525" width="15.7109375" bestFit="1" customWidth="1"/>
    <col min="11526" max="11526" width="10.28515625" bestFit="1" customWidth="1"/>
    <col min="11527" max="11527" width="10.7109375" customWidth="1"/>
    <col min="11778" max="11778" width="45.42578125" customWidth="1"/>
    <col min="11779" max="11779" width="7.7109375" customWidth="1"/>
    <col min="11780" max="11780" width="12" customWidth="1"/>
    <col min="11781" max="11781" width="15.7109375" bestFit="1" customWidth="1"/>
    <col min="11782" max="11782" width="10.28515625" bestFit="1" customWidth="1"/>
    <col min="11783" max="11783" width="10.7109375" customWidth="1"/>
    <col min="12034" max="12034" width="45.42578125" customWidth="1"/>
    <col min="12035" max="12035" width="7.7109375" customWidth="1"/>
    <col min="12036" max="12036" width="12" customWidth="1"/>
    <col min="12037" max="12037" width="15.7109375" bestFit="1" customWidth="1"/>
    <col min="12038" max="12038" width="10.28515625" bestFit="1" customWidth="1"/>
    <col min="12039" max="12039" width="10.7109375" customWidth="1"/>
    <col min="12290" max="12290" width="45.42578125" customWidth="1"/>
    <col min="12291" max="12291" width="7.7109375" customWidth="1"/>
    <col min="12292" max="12292" width="12" customWidth="1"/>
    <col min="12293" max="12293" width="15.7109375" bestFit="1" customWidth="1"/>
    <col min="12294" max="12294" width="10.28515625" bestFit="1" customWidth="1"/>
    <col min="12295" max="12295" width="10.7109375" customWidth="1"/>
    <col min="12546" max="12546" width="45.42578125" customWidth="1"/>
    <col min="12547" max="12547" width="7.7109375" customWidth="1"/>
    <col min="12548" max="12548" width="12" customWidth="1"/>
    <col min="12549" max="12549" width="15.7109375" bestFit="1" customWidth="1"/>
    <col min="12550" max="12550" width="10.28515625" bestFit="1" customWidth="1"/>
    <col min="12551" max="12551" width="10.7109375" customWidth="1"/>
    <col min="12802" max="12802" width="45.42578125" customWidth="1"/>
    <col min="12803" max="12803" width="7.7109375" customWidth="1"/>
    <col min="12804" max="12804" width="12" customWidth="1"/>
    <col min="12805" max="12805" width="15.7109375" bestFit="1" customWidth="1"/>
    <col min="12806" max="12806" width="10.28515625" bestFit="1" customWidth="1"/>
    <col min="12807" max="12807" width="10.7109375" customWidth="1"/>
    <col min="13058" max="13058" width="45.42578125" customWidth="1"/>
    <col min="13059" max="13059" width="7.7109375" customWidth="1"/>
    <col min="13060" max="13060" width="12" customWidth="1"/>
    <col min="13061" max="13061" width="15.7109375" bestFit="1" customWidth="1"/>
    <col min="13062" max="13062" width="10.28515625" bestFit="1" customWidth="1"/>
    <col min="13063" max="13063" width="10.7109375" customWidth="1"/>
    <col min="13314" max="13314" width="45.42578125" customWidth="1"/>
    <col min="13315" max="13315" width="7.7109375" customWidth="1"/>
    <col min="13316" max="13316" width="12" customWidth="1"/>
    <col min="13317" max="13317" width="15.7109375" bestFit="1" customWidth="1"/>
    <col min="13318" max="13318" width="10.28515625" bestFit="1" customWidth="1"/>
    <col min="13319" max="13319" width="10.7109375" customWidth="1"/>
    <col min="13570" max="13570" width="45.42578125" customWidth="1"/>
    <col min="13571" max="13571" width="7.7109375" customWidth="1"/>
    <col min="13572" max="13572" width="12" customWidth="1"/>
    <col min="13573" max="13573" width="15.7109375" bestFit="1" customWidth="1"/>
    <col min="13574" max="13574" width="10.28515625" bestFit="1" customWidth="1"/>
    <col min="13575" max="13575" width="10.7109375" customWidth="1"/>
    <col min="13826" max="13826" width="45.42578125" customWidth="1"/>
    <col min="13827" max="13827" width="7.7109375" customWidth="1"/>
    <col min="13828" max="13828" width="12" customWidth="1"/>
    <col min="13829" max="13829" width="15.7109375" bestFit="1" customWidth="1"/>
    <col min="13830" max="13830" width="10.28515625" bestFit="1" customWidth="1"/>
    <col min="13831" max="13831" width="10.7109375" customWidth="1"/>
    <col min="14082" max="14082" width="45.42578125" customWidth="1"/>
    <col min="14083" max="14083" width="7.7109375" customWidth="1"/>
    <col min="14084" max="14084" width="12" customWidth="1"/>
    <col min="14085" max="14085" width="15.7109375" bestFit="1" customWidth="1"/>
    <col min="14086" max="14086" width="10.28515625" bestFit="1" customWidth="1"/>
    <col min="14087" max="14087" width="10.7109375" customWidth="1"/>
    <col min="14338" max="14338" width="45.42578125" customWidth="1"/>
    <col min="14339" max="14339" width="7.7109375" customWidth="1"/>
    <col min="14340" max="14340" width="12" customWidth="1"/>
    <col min="14341" max="14341" width="15.7109375" bestFit="1" customWidth="1"/>
    <col min="14342" max="14342" width="10.28515625" bestFit="1" customWidth="1"/>
    <col min="14343" max="14343" width="10.7109375" customWidth="1"/>
    <col min="14594" max="14594" width="45.42578125" customWidth="1"/>
    <col min="14595" max="14595" width="7.7109375" customWidth="1"/>
    <col min="14596" max="14596" width="12" customWidth="1"/>
    <col min="14597" max="14597" width="15.7109375" bestFit="1" customWidth="1"/>
    <col min="14598" max="14598" width="10.28515625" bestFit="1" customWidth="1"/>
    <col min="14599" max="14599" width="10.7109375" customWidth="1"/>
    <col min="14850" max="14850" width="45.42578125" customWidth="1"/>
    <col min="14851" max="14851" width="7.7109375" customWidth="1"/>
    <col min="14852" max="14852" width="12" customWidth="1"/>
    <col min="14853" max="14853" width="15.7109375" bestFit="1" customWidth="1"/>
    <col min="14854" max="14854" width="10.28515625" bestFit="1" customWidth="1"/>
    <col min="14855" max="14855" width="10.7109375" customWidth="1"/>
    <col min="15106" max="15106" width="45.42578125" customWidth="1"/>
    <col min="15107" max="15107" width="7.7109375" customWidth="1"/>
    <col min="15108" max="15108" width="12" customWidth="1"/>
    <col min="15109" max="15109" width="15.7109375" bestFit="1" customWidth="1"/>
    <col min="15110" max="15110" width="10.28515625" bestFit="1" customWidth="1"/>
    <col min="15111" max="15111" width="10.7109375" customWidth="1"/>
    <col min="15362" max="15362" width="45.42578125" customWidth="1"/>
    <col min="15363" max="15363" width="7.7109375" customWidth="1"/>
    <col min="15364" max="15364" width="12" customWidth="1"/>
    <col min="15365" max="15365" width="15.7109375" bestFit="1" customWidth="1"/>
    <col min="15366" max="15366" width="10.28515625" bestFit="1" customWidth="1"/>
    <col min="15367" max="15367" width="10.7109375" customWidth="1"/>
    <col min="15618" max="15618" width="45.42578125" customWidth="1"/>
    <col min="15619" max="15619" width="7.7109375" customWidth="1"/>
    <col min="15620" max="15620" width="12" customWidth="1"/>
    <col min="15621" max="15621" width="15.7109375" bestFit="1" customWidth="1"/>
    <col min="15622" max="15622" width="10.28515625" bestFit="1" customWidth="1"/>
    <col min="15623" max="15623" width="10.7109375" customWidth="1"/>
    <col min="15874" max="15874" width="45.42578125" customWidth="1"/>
    <col min="15875" max="15875" width="7.7109375" customWidth="1"/>
    <col min="15876" max="15876" width="12" customWidth="1"/>
    <col min="15877" max="15877" width="15.7109375" bestFit="1" customWidth="1"/>
    <col min="15878" max="15878" width="10.28515625" bestFit="1" customWidth="1"/>
    <col min="15879" max="15879" width="10.7109375" customWidth="1"/>
    <col min="16130" max="16130" width="45.42578125" customWidth="1"/>
    <col min="16131" max="16131" width="7.7109375" customWidth="1"/>
    <col min="16132" max="16132" width="12" customWidth="1"/>
    <col min="16133" max="16133" width="15.7109375" bestFit="1" customWidth="1"/>
    <col min="16134" max="16134" width="10.28515625" bestFit="1" customWidth="1"/>
    <col min="16135" max="16135" width="10.7109375" customWidth="1"/>
  </cols>
  <sheetData>
    <row r="1" spans="1:6" x14ac:dyDescent="0.25">
      <c r="A1" s="294" t="s">
        <v>6127</v>
      </c>
      <c r="B1" s="294"/>
      <c r="C1" s="294"/>
      <c r="D1" s="294"/>
      <c r="E1" s="294"/>
      <c r="F1" s="294"/>
    </row>
    <row r="2" spans="1:6" x14ac:dyDescent="0.25">
      <c r="A2" s="140" t="s">
        <v>542</v>
      </c>
      <c r="B2" s="140" t="s">
        <v>543</v>
      </c>
      <c r="C2" s="140" t="s">
        <v>9</v>
      </c>
      <c r="D2" s="140" t="s">
        <v>544</v>
      </c>
      <c r="E2" s="140" t="s">
        <v>5</v>
      </c>
      <c r="F2" s="140" t="s">
        <v>545</v>
      </c>
    </row>
    <row r="3" spans="1:6" x14ac:dyDescent="0.25">
      <c r="A3" s="23" t="str">
        <f>"3907169"</f>
        <v>3907169</v>
      </c>
      <c r="B3" s="23" t="s">
        <v>1134</v>
      </c>
      <c r="C3" s="23">
        <v>15.62</v>
      </c>
      <c r="D3" s="23">
        <v>353339</v>
      </c>
      <c r="E3" s="24">
        <v>44256.543553240743</v>
      </c>
      <c r="F3" s="140">
        <v>2845</v>
      </c>
    </row>
    <row r="4" spans="1:6" x14ac:dyDescent="0.25">
      <c r="A4" s="23" t="str">
        <f>"3900383"</f>
        <v>3900383</v>
      </c>
      <c r="B4" s="23" t="s">
        <v>634</v>
      </c>
      <c r="C4" s="23">
        <v>2.06</v>
      </c>
      <c r="D4" s="23">
        <v>354549</v>
      </c>
      <c r="E4" s="24">
        <v>44256.816192129627</v>
      </c>
      <c r="F4" s="140">
        <v>2846</v>
      </c>
    </row>
    <row r="5" spans="1:6" x14ac:dyDescent="0.25">
      <c r="A5" s="23" t="str">
        <f>"3906750"</f>
        <v>3906750</v>
      </c>
      <c r="B5" s="23" t="s">
        <v>616</v>
      </c>
      <c r="C5" s="23">
        <v>3.4</v>
      </c>
      <c r="D5" s="23">
        <v>354138</v>
      </c>
      <c r="E5" s="24">
        <v>44256.545613425929</v>
      </c>
      <c r="F5" s="140">
        <v>2847</v>
      </c>
    </row>
    <row r="6" spans="1:6" x14ac:dyDescent="0.25">
      <c r="A6" s="23" t="str">
        <f>"3909157"</f>
        <v>3909157</v>
      </c>
      <c r="B6" s="23" t="s">
        <v>3799</v>
      </c>
      <c r="C6" s="23">
        <v>6.8</v>
      </c>
      <c r="D6" s="23">
        <v>354294</v>
      </c>
      <c r="E6" s="24">
        <v>44256.415219907409</v>
      </c>
      <c r="F6" s="140">
        <v>2848</v>
      </c>
    </row>
    <row r="7" spans="1:6" x14ac:dyDescent="0.25">
      <c r="A7" s="23" t="str">
        <f>"3900576"</f>
        <v>3900576</v>
      </c>
      <c r="B7" s="23" t="s">
        <v>3791</v>
      </c>
      <c r="C7" s="23">
        <v>1.68</v>
      </c>
      <c r="D7" s="23">
        <v>354602</v>
      </c>
      <c r="E7" s="24">
        <v>44256.480798611112</v>
      </c>
      <c r="F7" s="140">
        <v>2849</v>
      </c>
    </row>
    <row r="8" spans="1:6" x14ac:dyDescent="0.25">
      <c r="A8" s="23" t="str">
        <f>"3908230"</f>
        <v>3908230</v>
      </c>
      <c r="B8" s="23" t="s">
        <v>1566</v>
      </c>
      <c r="C8" s="23">
        <v>4.75</v>
      </c>
      <c r="D8" s="23">
        <v>353305</v>
      </c>
      <c r="E8" s="24">
        <v>44256.495833333334</v>
      </c>
      <c r="F8" s="140">
        <v>2850</v>
      </c>
    </row>
    <row r="9" spans="1:6" x14ac:dyDescent="0.25">
      <c r="A9" s="23" t="str">
        <f>"3907487"</f>
        <v>3907487</v>
      </c>
      <c r="B9" s="23" t="s">
        <v>6075</v>
      </c>
      <c r="C9" s="23">
        <v>8.0299999999999994</v>
      </c>
      <c r="D9" s="23">
        <v>353656</v>
      </c>
      <c r="E9" s="24">
        <v>44256.498715277776</v>
      </c>
      <c r="F9" s="140">
        <v>2851</v>
      </c>
    </row>
    <row r="10" spans="1:6" x14ac:dyDescent="0.25">
      <c r="A10" s="23" t="str">
        <f>"3901741"</f>
        <v>3901741</v>
      </c>
      <c r="B10" s="23" t="s">
        <v>3770</v>
      </c>
      <c r="C10" s="23">
        <v>1.7</v>
      </c>
      <c r="D10" s="23">
        <v>355017</v>
      </c>
      <c r="E10" s="24">
        <v>44256.500127314815</v>
      </c>
      <c r="F10" s="140">
        <v>2852</v>
      </c>
    </row>
    <row r="11" spans="1:6" x14ac:dyDescent="0.25">
      <c r="A11" s="23" t="str">
        <f>"3940887"</f>
        <v>3940887</v>
      </c>
      <c r="B11" s="23" t="s">
        <v>623</v>
      </c>
      <c r="C11" s="23">
        <v>35.799999999999997</v>
      </c>
      <c r="D11" s="23">
        <v>353420</v>
      </c>
      <c r="E11" s="24">
        <v>44256.572662037041</v>
      </c>
      <c r="F11" s="140">
        <v>2853</v>
      </c>
    </row>
    <row r="12" spans="1:6" x14ac:dyDescent="0.25">
      <c r="A12" s="23" t="str">
        <f>"3903064"</f>
        <v>3903064</v>
      </c>
      <c r="B12" s="23" t="s">
        <v>1096</v>
      </c>
      <c r="C12" s="23">
        <v>6.94</v>
      </c>
      <c r="D12" s="23">
        <v>353642</v>
      </c>
      <c r="E12" s="24">
        <v>44256.57372685185</v>
      </c>
      <c r="F12" s="140">
        <v>2854</v>
      </c>
    </row>
    <row r="13" spans="1:6" x14ac:dyDescent="0.25">
      <c r="A13" s="23" t="str">
        <f>"3908534"</f>
        <v>3908534</v>
      </c>
      <c r="B13" s="23" t="s">
        <v>3773</v>
      </c>
      <c r="C13" s="23">
        <v>2.95</v>
      </c>
      <c r="D13" s="23">
        <v>355246</v>
      </c>
      <c r="E13" s="24">
        <v>44256.62767361111</v>
      </c>
      <c r="F13" s="140">
        <v>2855</v>
      </c>
    </row>
    <row r="14" spans="1:6" x14ac:dyDescent="0.25">
      <c r="A14" s="23" t="str">
        <f>"3909261"</f>
        <v>3909261</v>
      </c>
      <c r="B14" s="23" t="s">
        <v>6076</v>
      </c>
      <c r="C14" s="23">
        <v>0.53</v>
      </c>
      <c r="D14" s="23">
        <v>355349</v>
      </c>
      <c r="E14" s="24">
        <v>44256.644386574073</v>
      </c>
      <c r="F14" s="140">
        <v>2856</v>
      </c>
    </row>
    <row r="15" spans="1:6" x14ac:dyDescent="0.25">
      <c r="A15" s="23" t="str">
        <f>"3903855"</f>
        <v>3903855</v>
      </c>
      <c r="B15" s="23" t="s">
        <v>6077</v>
      </c>
      <c r="C15" s="23">
        <v>6.93</v>
      </c>
      <c r="D15" s="23">
        <v>347820</v>
      </c>
      <c r="E15" s="24">
        <v>44256.644907407404</v>
      </c>
      <c r="F15" s="140">
        <v>2858</v>
      </c>
    </row>
    <row r="16" spans="1:6" x14ac:dyDescent="0.25">
      <c r="A16" s="23" t="str">
        <f>"3908228"</f>
        <v>3908228</v>
      </c>
      <c r="B16" s="23" t="s">
        <v>6078</v>
      </c>
      <c r="C16" s="23">
        <v>26.01</v>
      </c>
      <c r="D16" s="23">
        <v>348166</v>
      </c>
      <c r="E16" s="24">
        <v>44256.683564814812</v>
      </c>
      <c r="F16" s="140">
        <v>2859</v>
      </c>
    </row>
    <row r="17" spans="1:6" x14ac:dyDescent="0.25">
      <c r="A17" s="23" t="str">
        <f>"3907791"</f>
        <v>3907791</v>
      </c>
      <c r="B17" s="23" t="s">
        <v>1084</v>
      </c>
      <c r="C17" s="23">
        <v>3.63</v>
      </c>
      <c r="D17" s="23">
        <v>353948</v>
      </c>
      <c r="E17" s="24">
        <v>44256.746678240743</v>
      </c>
      <c r="F17" s="140">
        <v>2857</v>
      </c>
    </row>
    <row r="18" spans="1:6" x14ac:dyDescent="0.25">
      <c r="A18" s="23"/>
      <c r="B18" s="140">
        <v>1</v>
      </c>
      <c r="C18" s="140">
        <f>SUM(C3:C17)</f>
        <v>126.83</v>
      </c>
      <c r="D18" s="23"/>
      <c r="E18" s="24"/>
      <c r="F18" s="140"/>
    </row>
    <row r="19" spans="1:6" x14ac:dyDescent="0.25">
      <c r="A19" s="23"/>
      <c r="B19" s="23"/>
      <c r="C19" s="23"/>
      <c r="D19" s="23"/>
      <c r="E19" s="24"/>
      <c r="F19" s="140"/>
    </row>
    <row r="20" spans="1:6" x14ac:dyDescent="0.25">
      <c r="A20" s="23" t="str">
        <f>"3960274"</f>
        <v>3960274</v>
      </c>
      <c r="B20" s="23" t="s">
        <v>553</v>
      </c>
      <c r="C20" s="23">
        <v>5.34</v>
      </c>
      <c r="D20" s="23">
        <v>353400</v>
      </c>
      <c r="E20" s="24">
        <v>44257.396087962959</v>
      </c>
      <c r="F20" s="140">
        <v>2916</v>
      </c>
    </row>
    <row r="21" spans="1:6" x14ac:dyDescent="0.25">
      <c r="A21" s="23" t="str">
        <f>"3960392"</f>
        <v>3960392</v>
      </c>
      <c r="B21" s="23" t="s">
        <v>602</v>
      </c>
      <c r="C21" s="23">
        <v>16.760000000000002</v>
      </c>
      <c r="D21" s="23">
        <v>353497</v>
      </c>
      <c r="E21" s="24">
        <v>44257.508460648147</v>
      </c>
      <c r="F21" s="140">
        <v>2917</v>
      </c>
    </row>
    <row r="22" spans="1:6" x14ac:dyDescent="0.25">
      <c r="A22" s="23" t="str">
        <f>"3908621"</f>
        <v>3908621</v>
      </c>
      <c r="B22" s="23" t="s">
        <v>617</v>
      </c>
      <c r="C22" s="23">
        <v>3.36</v>
      </c>
      <c r="D22" s="23">
        <v>353680</v>
      </c>
      <c r="E22" s="24">
        <v>44257.57949074074</v>
      </c>
      <c r="F22" s="140">
        <v>2918</v>
      </c>
    </row>
    <row r="23" spans="1:6" x14ac:dyDescent="0.25">
      <c r="A23" s="23" t="str">
        <f>"3906033"</f>
        <v>3906033</v>
      </c>
      <c r="B23" s="23" t="s">
        <v>1099</v>
      </c>
      <c r="C23" s="23">
        <v>1.68</v>
      </c>
      <c r="D23" s="23">
        <v>354847</v>
      </c>
      <c r="E23" s="24">
        <v>44257.702233796299</v>
      </c>
      <c r="F23" s="140">
        <v>2919</v>
      </c>
    </row>
    <row r="24" spans="1:6" x14ac:dyDescent="0.25">
      <c r="A24" s="23" t="str">
        <f>"3900568"</f>
        <v>3900568</v>
      </c>
      <c r="B24" s="23" t="s">
        <v>1118</v>
      </c>
      <c r="C24" s="23">
        <v>2.16</v>
      </c>
      <c r="D24" s="23">
        <v>354600</v>
      </c>
      <c r="E24" s="24">
        <v>44257.921203703707</v>
      </c>
      <c r="F24" s="140">
        <v>2920</v>
      </c>
    </row>
    <row r="25" spans="1:6" x14ac:dyDescent="0.25">
      <c r="A25" s="23" t="str">
        <f>"3901398"</f>
        <v>3901398</v>
      </c>
      <c r="B25" s="23" t="s">
        <v>568</v>
      </c>
      <c r="C25" s="23">
        <v>2.27</v>
      </c>
      <c r="D25" s="23">
        <v>354652</v>
      </c>
      <c r="E25" s="24">
        <v>44257.921203703707</v>
      </c>
      <c r="F25" s="140">
        <v>2921</v>
      </c>
    </row>
    <row r="26" spans="1:6" x14ac:dyDescent="0.25">
      <c r="A26" s="23" t="str">
        <f>"3907239"</f>
        <v>3907239</v>
      </c>
      <c r="B26" s="23" t="s">
        <v>573</v>
      </c>
      <c r="C26" s="23">
        <v>6.94</v>
      </c>
      <c r="D26" s="23">
        <v>353631</v>
      </c>
      <c r="E26" s="24">
        <v>44257.921203703707</v>
      </c>
      <c r="F26" s="140">
        <v>2922</v>
      </c>
    </row>
    <row r="27" spans="1:6" x14ac:dyDescent="0.25">
      <c r="A27" s="23" t="str">
        <f>"3903883"</f>
        <v>3903883</v>
      </c>
      <c r="B27" s="23" t="s">
        <v>1102</v>
      </c>
      <c r="C27" s="23">
        <v>1.68</v>
      </c>
      <c r="D27" s="23">
        <v>355037</v>
      </c>
      <c r="E27" s="24">
        <v>44257.921203703707</v>
      </c>
      <c r="F27" s="140">
        <v>2923</v>
      </c>
    </row>
    <row r="28" spans="1:6" x14ac:dyDescent="0.25">
      <c r="A28" s="23" t="str">
        <f>"3903364"</f>
        <v>3903364</v>
      </c>
      <c r="B28" s="23" t="s">
        <v>564</v>
      </c>
      <c r="C28" s="23">
        <v>3.94</v>
      </c>
      <c r="D28" s="23">
        <v>353936</v>
      </c>
      <c r="E28" s="24">
        <v>44257.921203703707</v>
      </c>
      <c r="F28" s="140">
        <v>2924</v>
      </c>
    </row>
    <row r="29" spans="1:6" x14ac:dyDescent="0.25">
      <c r="A29" s="23" t="str">
        <f>"3960277"</f>
        <v>3960277</v>
      </c>
      <c r="B29" s="23" t="s">
        <v>575</v>
      </c>
      <c r="C29" s="23">
        <v>7.82</v>
      </c>
      <c r="D29" s="23">
        <v>353416</v>
      </c>
      <c r="E29" s="24">
        <v>44257.921203703707</v>
      </c>
      <c r="F29" s="140">
        <v>2925</v>
      </c>
    </row>
    <row r="30" spans="1:6" x14ac:dyDescent="0.25">
      <c r="A30" s="23" t="str">
        <f>"3903127"</f>
        <v>3903127</v>
      </c>
      <c r="B30" s="23" t="s">
        <v>577</v>
      </c>
      <c r="C30" s="23">
        <v>1.68</v>
      </c>
      <c r="D30" s="23">
        <v>353706</v>
      </c>
      <c r="E30" s="24">
        <v>44257.921203703707</v>
      </c>
      <c r="F30" s="140">
        <v>2926</v>
      </c>
    </row>
    <row r="31" spans="1:6" x14ac:dyDescent="0.25">
      <c r="A31" s="23" t="str">
        <f>"3945105"</f>
        <v>3945105</v>
      </c>
      <c r="B31" s="23" t="s">
        <v>1093</v>
      </c>
      <c r="C31" s="23">
        <v>8.3800000000000008</v>
      </c>
      <c r="D31" s="23">
        <v>353453</v>
      </c>
      <c r="E31" s="24">
        <v>44257.921203703707</v>
      </c>
      <c r="F31" s="140">
        <v>2927</v>
      </c>
    </row>
    <row r="32" spans="1:6" x14ac:dyDescent="0.25">
      <c r="A32" s="23" t="str">
        <f>"3907541"</f>
        <v>3907541</v>
      </c>
      <c r="B32" s="23" t="s">
        <v>578</v>
      </c>
      <c r="C32" s="23">
        <v>4.13</v>
      </c>
      <c r="D32" s="23">
        <v>353719</v>
      </c>
      <c r="E32" s="24">
        <v>44257.921203703707</v>
      </c>
      <c r="F32" s="140">
        <v>2928</v>
      </c>
    </row>
    <row r="33" spans="1:7" x14ac:dyDescent="0.25">
      <c r="A33" s="23" t="str">
        <f>"3945284"</f>
        <v>3945284</v>
      </c>
      <c r="B33" s="23" t="s">
        <v>579</v>
      </c>
      <c r="C33" s="23">
        <v>12.11</v>
      </c>
      <c r="D33" s="23">
        <v>353556</v>
      </c>
      <c r="E33" s="24">
        <v>44257.921203703707</v>
      </c>
      <c r="F33" s="140">
        <v>2929</v>
      </c>
    </row>
    <row r="34" spans="1:7" x14ac:dyDescent="0.25">
      <c r="A34" s="23" t="str">
        <f>"3909936"</f>
        <v>3909936</v>
      </c>
      <c r="B34" s="23" t="s">
        <v>560</v>
      </c>
      <c r="C34" s="23">
        <v>5.21</v>
      </c>
      <c r="D34" s="23">
        <v>353830</v>
      </c>
      <c r="E34" s="24">
        <v>44257.921203703707</v>
      </c>
      <c r="F34" s="140">
        <v>2930</v>
      </c>
    </row>
    <row r="35" spans="1:7" x14ac:dyDescent="0.25">
      <c r="A35" s="23" t="str">
        <f>"3903061"</f>
        <v>3903061</v>
      </c>
      <c r="B35" s="23" t="s">
        <v>569</v>
      </c>
      <c r="C35" s="23">
        <v>6.94</v>
      </c>
      <c r="D35" s="23">
        <v>353641</v>
      </c>
      <c r="E35" s="24">
        <v>44257.921203703707</v>
      </c>
      <c r="F35" s="140">
        <v>2931</v>
      </c>
      <c r="G35" s="26"/>
    </row>
    <row r="36" spans="1:7" x14ac:dyDescent="0.25">
      <c r="A36" s="23" t="str">
        <f>"3909039"</f>
        <v>3909039</v>
      </c>
      <c r="B36" s="23" t="s">
        <v>570</v>
      </c>
      <c r="C36" s="23">
        <v>1.81</v>
      </c>
      <c r="D36" s="23">
        <v>354183</v>
      </c>
      <c r="E36" s="24">
        <v>44257.921203703707</v>
      </c>
      <c r="F36" s="140">
        <v>2932</v>
      </c>
    </row>
    <row r="37" spans="1:7" x14ac:dyDescent="0.25">
      <c r="A37" s="23" t="str">
        <f>"3945435"</f>
        <v>3945435</v>
      </c>
      <c r="B37" s="23" t="s">
        <v>571</v>
      </c>
      <c r="C37" s="23">
        <v>8.3800000000000008</v>
      </c>
      <c r="D37" s="23">
        <v>353482</v>
      </c>
      <c r="E37" s="24">
        <v>44257.921203703707</v>
      </c>
      <c r="F37" s="140">
        <v>2933</v>
      </c>
    </row>
    <row r="38" spans="1:7" x14ac:dyDescent="0.25">
      <c r="A38" s="23" t="str">
        <f>"3950033"</f>
        <v>3950033</v>
      </c>
      <c r="B38" s="23" t="s">
        <v>567</v>
      </c>
      <c r="C38" s="23">
        <v>8.3800000000000008</v>
      </c>
      <c r="D38" s="23">
        <v>353406</v>
      </c>
      <c r="E38" s="24">
        <v>44257.921203703707</v>
      </c>
      <c r="F38" s="140">
        <v>2934</v>
      </c>
    </row>
    <row r="39" spans="1:7" x14ac:dyDescent="0.25">
      <c r="A39" s="23" t="str">
        <f>"3902750"</f>
        <v>3902750</v>
      </c>
      <c r="B39" s="23" t="s">
        <v>563</v>
      </c>
      <c r="C39" s="23">
        <v>8.3800000000000008</v>
      </c>
      <c r="D39" s="23">
        <v>353545</v>
      </c>
      <c r="E39" s="24">
        <v>44257.921203703707</v>
      </c>
      <c r="F39" s="140">
        <v>2935</v>
      </c>
    </row>
    <row r="40" spans="1:7" x14ac:dyDescent="0.25">
      <c r="A40" s="23" t="str">
        <f>"3960315"</f>
        <v>3960315</v>
      </c>
      <c r="B40" s="23" t="s">
        <v>565</v>
      </c>
      <c r="C40" s="23">
        <v>4.1900000000000004</v>
      </c>
      <c r="D40" s="23">
        <v>353502</v>
      </c>
      <c r="E40" s="24">
        <v>44257.921203703707</v>
      </c>
      <c r="F40" s="140">
        <v>2936</v>
      </c>
    </row>
    <row r="41" spans="1:7" x14ac:dyDescent="0.25">
      <c r="A41" s="23" t="str">
        <f>"3900349"</f>
        <v>3900349</v>
      </c>
      <c r="B41" s="23" t="s">
        <v>566</v>
      </c>
      <c r="C41" s="23">
        <v>3.36</v>
      </c>
      <c r="D41" s="23">
        <v>354540</v>
      </c>
      <c r="E41" s="24">
        <v>44257.921203703707</v>
      </c>
      <c r="F41" s="140">
        <v>2937</v>
      </c>
    </row>
    <row r="42" spans="1:7" x14ac:dyDescent="0.25">
      <c r="A42" s="23" t="str">
        <f>"3945102"</f>
        <v>3945102</v>
      </c>
      <c r="B42" s="23" t="s">
        <v>572</v>
      </c>
      <c r="C42" s="23">
        <v>8.3800000000000008</v>
      </c>
      <c r="D42" s="23">
        <v>353447</v>
      </c>
      <c r="E42" s="24">
        <v>44257.921203703707</v>
      </c>
      <c r="F42" s="140">
        <v>2938</v>
      </c>
    </row>
    <row r="43" spans="1:7" x14ac:dyDescent="0.25">
      <c r="A43" s="23" t="str">
        <f>"3960232"</f>
        <v>3960232</v>
      </c>
      <c r="B43" s="23" t="s">
        <v>595</v>
      </c>
      <c r="C43" s="23">
        <v>12.3</v>
      </c>
      <c r="D43" s="23">
        <v>353448</v>
      </c>
      <c r="E43" s="24">
        <v>44257.921203703707</v>
      </c>
      <c r="F43" s="140">
        <v>2939</v>
      </c>
    </row>
    <row r="44" spans="1:7" x14ac:dyDescent="0.25">
      <c r="A44" s="23" t="str">
        <f>"3903282"</f>
        <v>3903282</v>
      </c>
      <c r="B44" s="23" t="s">
        <v>584</v>
      </c>
      <c r="C44" s="23">
        <v>2.08</v>
      </c>
      <c r="D44" s="23">
        <v>354788</v>
      </c>
      <c r="E44" s="24">
        <v>44257.921203703707</v>
      </c>
      <c r="F44" s="140">
        <v>2940</v>
      </c>
    </row>
    <row r="45" spans="1:7" x14ac:dyDescent="0.25">
      <c r="A45" s="23" t="str">
        <f>"3960264"</f>
        <v>3960264</v>
      </c>
      <c r="B45" s="23" t="s">
        <v>594</v>
      </c>
      <c r="C45" s="23">
        <v>7.82</v>
      </c>
      <c r="D45" s="23">
        <v>353393</v>
      </c>
      <c r="E45" s="24">
        <v>44257.921203703707</v>
      </c>
      <c r="F45" s="140">
        <v>2941</v>
      </c>
    </row>
    <row r="46" spans="1:7" x14ac:dyDescent="0.25">
      <c r="A46" s="23" t="str">
        <f>"3909981"</f>
        <v>3909981</v>
      </c>
      <c r="B46" s="23" t="s">
        <v>582</v>
      </c>
      <c r="C46" s="23">
        <v>4.6399999999999997</v>
      </c>
      <c r="D46" s="23">
        <v>353774</v>
      </c>
      <c r="E46" s="24">
        <v>44257.921203703707</v>
      </c>
      <c r="F46" s="140">
        <v>2942</v>
      </c>
    </row>
    <row r="47" spans="1:7" x14ac:dyDescent="0.25">
      <c r="A47" s="23" t="str">
        <f>"3940013"</f>
        <v>3940013</v>
      </c>
      <c r="B47" s="23" t="s">
        <v>590</v>
      </c>
      <c r="C47" s="23">
        <v>16.760000000000002</v>
      </c>
      <c r="D47" s="23">
        <v>353388</v>
      </c>
      <c r="E47" s="24">
        <v>44257.921203703707</v>
      </c>
      <c r="F47" s="140">
        <v>2943</v>
      </c>
    </row>
    <row r="48" spans="1:7" x14ac:dyDescent="0.25">
      <c r="A48" s="23" t="str">
        <f>"3920281"</f>
        <v>3920281</v>
      </c>
      <c r="B48" s="23" t="s">
        <v>588</v>
      </c>
      <c r="C48" s="23">
        <v>7.82</v>
      </c>
      <c r="D48" s="23">
        <v>353385</v>
      </c>
      <c r="E48" s="24">
        <v>44257.921203703707</v>
      </c>
      <c r="F48" s="140">
        <v>2944</v>
      </c>
    </row>
    <row r="49" spans="1:6" x14ac:dyDescent="0.25">
      <c r="A49" s="23" t="str">
        <f>"3945272"</f>
        <v>3945272</v>
      </c>
      <c r="B49" s="23" t="s">
        <v>589</v>
      </c>
      <c r="C49" s="23">
        <v>4.1900000000000004</v>
      </c>
      <c r="D49" s="23">
        <v>353554</v>
      </c>
      <c r="E49" s="24">
        <v>44257.921203703707</v>
      </c>
      <c r="F49" s="140">
        <v>2945</v>
      </c>
    </row>
    <row r="50" spans="1:6" x14ac:dyDescent="0.25">
      <c r="A50" s="23" t="str">
        <f>"3950328"</f>
        <v>3950328</v>
      </c>
      <c r="B50" s="23" t="s">
        <v>585</v>
      </c>
      <c r="C50" s="23">
        <v>8.3800000000000008</v>
      </c>
      <c r="D50" s="23">
        <v>353505</v>
      </c>
      <c r="E50" s="24">
        <v>44257.921203703707</v>
      </c>
      <c r="F50" s="140">
        <v>2946</v>
      </c>
    </row>
    <row r="51" spans="1:6" x14ac:dyDescent="0.25">
      <c r="A51" s="23" t="str">
        <f>"3900389"</f>
        <v>3900389</v>
      </c>
      <c r="B51" s="23" t="s">
        <v>581</v>
      </c>
      <c r="C51" s="23">
        <v>1.8</v>
      </c>
      <c r="D51" s="23">
        <v>354551</v>
      </c>
      <c r="E51" s="24">
        <v>44257.921203703707</v>
      </c>
      <c r="F51" s="140">
        <v>2947</v>
      </c>
    </row>
    <row r="52" spans="1:6" x14ac:dyDescent="0.25">
      <c r="A52" s="23" t="str">
        <f>"3901113"</f>
        <v>3901113</v>
      </c>
      <c r="B52" s="23" t="s">
        <v>592</v>
      </c>
      <c r="C52" s="23">
        <v>2.5099999999999998</v>
      </c>
      <c r="D52" s="23">
        <v>353985</v>
      </c>
      <c r="E52" s="24">
        <v>44257.921203703707</v>
      </c>
      <c r="F52" s="140">
        <v>2948</v>
      </c>
    </row>
    <row r="53" spans="1:6" x14ac:dyDescent="0.25">
      <c r="A53" s="23" t="str">
        <f>"3945262"</f>
        <v>3945262</v>
      </c>
      <c r="B53" s="23" t="s">
        <v>593</v>
      </c>
      <c r="C53" s="23">
        <v>3.36</v>
      </c>
      <c r="D53" s="23">
        <v>353557</v>
      </c>
      <c r="E53" s="24">
        <v>44257.921203703707</v>
      </c>
      <c r="F53" s="140">
        <v>2949</v>
      </c>
    </row>
    <row r="54" spans="1:6" x14ac:dyDescent="0.25">
      <c r="A54" s="23" t="str">
        <f>"3930093"</f>
        <v>3930093</v>
      </c>
      <c r="B54" s="23" t="s">
        <v>6079</v>
      </c>
      <c r="C54" s="23">
        <v>13.72</v>
      </c>
      <c r="D54" s="23">
        <v>353807</v>
      </c>
      <c r="E54" s="24">
        <v>44257.921203703707</v>
      </c>
      <c r="F54" s="140">
        <v>2963</v>
      </c>
    </row>
    <row r="55" spans="1:6" x14ac:dyDescent="0.25">
      <c r="A55" s="23" t="str">
        <f>"3906324"</f>
        <v>3906324</v>
      </c>
      <c r="B55" s="23" t="s">
        <v>591</v>
      </c>
      <c r="C55" s="23">
        <v>5.16</v>
      </c>
      <c r="D55" s="23">
        <v>353572</v>
      </c>
      <c r="E55" s="24">
        <v>44257.921203703707</v>
      </c>
      <c r="F55" s="140">
        <v>2950</v>
      </c>
    </row>
    <row r="56" spans="1:6" x14ac:dyDescent="0.25">
      <c r="A56" s="23" t="str">
        <f>"3900676"</f>
        <v>3900676</v>
      </c>
      <c r="B56" s="23" t="s">
        <v>1103</v>
      </c>
      <c r="C56" s="23">
        <v>1.68</v>
      </c>
      <c r="D56" s="23">
        <v>354943</v>
      </c>
      <c r="E56" s="24">
        <v>44257.921203703707</v>
      </c>
      <c r="F56" s="140">
        <v>2951</v>
      </c>
    </row>
    <row r="57" spans="1:6" x14ac:dyDescent="0.25">
      <c r="A57" s="23" t="str">
        <f>"3960256"</f>
        <v>3960256</v>
      </c>
      <c r="B57" s="23" t="s">
        <v>580</v>
      </c>
      <c r="C57" s="23">
        <v>17.899999999999999</v>
      </c>
      <c r="D57" s="23">
        <v>353404</v>
      </c>
      <c r="E57" s="24">
        <v>44257.921203703707</v>
      </c>
      <c r="F57" s="140">
        <v>2952</v>
      </c>
    </row>
    <row r="58" spans="1:6" x14ac:dyDescent="0.25">
      <c r="A58" s="23" t="str">
        <f>"3906796"</f>
        <v>3906796</v>
      </c>
      <c r="B58" s="23" t="s">
        <v>596</v>
      </c>
      <c r="C58" s="23">
        <v>3.25</v>
      </c>
      <c r="D58" s="23">
        <v>355580</v>
      </c>
      <c r="E58" s="24">
        <v>44257.921203703707</v>
      </c>
      <c r="F58" s="140">
        <v>2953</v>
      </c>
    </row>
    <row r="59" spans="1:6" x14ac:dyDescent="0.25">
      <c r="A59" s="23" t="str">
        <f>"3908672"</f>
        <v>3908672</v>
      </c>
      <c r="B59" s="23" t="s">
        <v>598</v>
      </c>
      <c r="C59" s="23">
        <v>1.95</v>
      </c>
      <c r="D59" s="23">
        <v>355475</v>
      </c>
      <c r="E59" s="24">
        <v>44257.921203703707</v>
      </c>
      <c r="F59" s="140">
        <v>2954</v>
      </c>
    </row>
    <row r="60" spans="1:6" x14ac:dyDescent="0.25">
      <c r="A60" s="23" t="str">
        <f>"3908716"</f>
        <v>3908716</v>
      </c>
      <c r="B60" s="23" t="s">
        <v>597</v>
      </c>
      <c r="C60" s="23">
        <v>2.89</v>
      </c>
      <c r="D60" s="23">
        <v>355484</v>
      </c>
      <c r="E60" s="24">
        <v>44257.921203703707</v>
      </c>
      <c r="F60" s="140">
        <v>2955</v>
      </c>
    </row>
    <row r="61" spans="1:6" x14ac:dyDescent="0.25">
      <c r="A61" s="23" t="str">
        <f>"3900340"</f>
        <v>3900340</v>
      </c>
      <c r="B61" s="23" t="s">
        <v>599</v>
      </c>
      <c r="C61" s="23">
        <v>15.3</v>
      </c>
      <c r="D61" s="23">
        <v>355385</v>
      </c>
      <c r="E61" s="24">
        <v>44257.921203703707</v>
      </c>
      <c r="F61" s="140">
        <v>2956</v>
      </c>
    </row>
    <row r="62" spans="1:6" x14ac:dyDescent="0.25">
      <c r="A62" s="23" t="str">
        <f>"3900344"</f>
        <v>3900344</v>
      </c>
      <c r="B62" s="23" t="s">
        <v>599</v>
      </c>
      <c r="C62" s="23">
        <v>15.3</v>
      </c>
      <c r="D62" s="23">
        <v>355386</v>
      </c>
      <c r="E62" s="24">
        <v>44257.921203703707</v>
      </c>
      <c r="F62" s="140">
        <v>2957</v>
      </c>
    </row>
    <row r="63" spans="1:6" x14ac:dyDescent="0.25">
      <c r="A63" s="23" t="str">
        <f>"3900657"</f>
        <v>3900657</v>
      </c>
      <c r="B63" s="23" t="s">
        <v>599</v>
      </c>
      <c r="C63" s="23">
        <v>15.3</v>
      </c>
      <c r="D63" s="23">
        <v>355384</v>
      </c>
      <c r="E63" s="24">
        <v>44257.921203703707</v>
      </c>
      <c r="F63" s="140">
        <v>2958</v>
      </c>
    </row>
    <row r="64" spans="1:6" x14ac:dyDescent="0.25">
      <c r="A64" s="23" t="str">
        <f>"3945038"</f>
        <v>3945038</v>
      </c>
      <c r="B64" s="23" t="s">
        <v>600</v>
      </c>
      <c r="C64" s="23">
        <v>15.3</v>
      </c>
      <c r="D64" s="23">
        <v>355389</v>
      </c>
      <c r="E64" s="24">
        <v>44257.921203703707</v>
      </c>
      <c r="F64" s="140">
        <v>2959</v>
      </c>
    </row>
    <row r="65" spans="1:6" x14ac:dyDescent="0.25">
      <c r="A65" s="23" t="str">
        <f>"3909007"</f>
        <v>3909007</v>
      </c>
      <c r="B65" s="23" t="s">
        <v>6080</v>
      </c>
      <c r="C65" s="23">
        <v>2.21</v>
      </c>
      <c r="D65" s="23">
        <v>355547</v>
      </c>
      <c r="E65" s="24">
        <v>44257.921203703707</v>
      </c>
      <c r="F65" s="140">
        <v>2960</v>
      </c>
    </row>
    <row r="66" spans="1:6" x14ac:dyDescent="0.25">
      <c r="A66" s="23" t="str">
        <f>"3930195"</f>
        <v>3930195</v>
      </c>
      <c r="B66" s="23" t="s">
        <v>6080</v>
      </c>
      <c r="C66" s="23">
        <v>1.94</v>
      </c>
      <c r="D66" s="23">
        <v>355599</v>
      </c>
      <c r="E66" s="24">
        <v>44257.921203703707</v>
      </c>
      <c r="F66" s="140">
        <v>2961</v>
      </c>
    </row>
    <row r="67" spans="1:6" x14ac:dyDescent="0.25">
      <c r="A67" s="23" t="str">
        <f>"3901033"</f>
        <v>3901033</v>
      </c>
      <c r="B67" s="23" t="s">
        <v>601</v>
      </c>
      <c r="C67" s="23">
        <v>31.36</v>
      </c>
      <c r="D67" s="23">
        <v>355395</v>
      </c>
      <c r="E67" s="24">
        <v>44257.921203703707</v>
      </c>
      <c r="F67" s="140">
        <v>2962</v>
      </c>
    </row>
    <row r="68" spans="1:6" x14ac:dyDescent="0.25">
      <c r="A68" s="23"/>
      <c r="B68" s="140">
        <v>2</v>
      </c>
      <c r="C68" s="140">
        <f>SUM(C20:C67)</f>
        <v>348.2</v>
      </c>
      <c r="D68" s="23"/>
      <c r="E68" s="24"/>
      <c r="F68" s="140"/>
    </row>
    <row r="69" spans="1:6" x14ac:dyDescent="0.25">
      <c r="A69" s="23"/>
      <c r="B69" s="23"/>
      <c r="C69" s="23"/>
      <c r="D69" s="23"/>
      <c r="E69" s="24"/>
      <c r="F69" s="140"/>
    </row>
    <row r="70" spans="1:6" x14ac:dyDescent="0.25">
      <c r="A70" s="23" t="str">
        <f>"3902419"</f>
        <v>3902419</v>
      </c>
      <c r="B70" s="23" t="s">
        <v>561</v>
      </c>
      <c r="C70" s="23">
        <v>5.32</v>
      </c>
      <c r="D70" s="23">
        <v>354357</v>
      </c>
      <c r="E70" s="24">
        <v>44258.723101851851</v>
      </c>
      <c r="F70" s="140">
        <v>3068</v>
      </c>
    </row>
    <row r="71" spans="1:6" x14ac:dyDescent="0.25">
      <c r="A71" s="23" t="str">
        <f>"3908194"</f>
        <v>3908194</v>
      </c>
      <c r="B71" s="23" t="s">
        <v>6081</v>
      </c>
      <c r="C71" s="23">
        <v>13.68</v>
      </c>
      <c r="D71" s="23">
        <v>355018</v>
      </c>
      <c r="E71" s="24">
        <v>44258.360601851855</v>
      </c>
      <c r="F71" s="140">
        <v>3069</v>
      </c>
    </row>
    <row r="72" spans="1:6" x14ac:dyDescent="0.25">
      <c r="A72" s="23" t="str">
        <f>"3930053"</f>
        <v>3930053</v>
      </c>
      <c r="B72" s="23" t="s">
        <v>557</v>
      </c>
      <c r="C72" s="23">
        <v>23.64</v>
      </c>
      <c r="D72" s="23">
        <v>355503</v>
      </c>
      <c r="E72" s="24">
        <v>44258.391006944446</v>
      </c>
      <c r="F72" s="140">
        <v>3070</v>
      </c>
    </row>
    <row r="73" spans="1:6" x14ac:dyDescent="0.25">
      <c r="A73" s="23" t="str">
        <f>"3908320"</f>
        <v>3908320</v>
      </c>
      <c r="B73" s="23" t="s">
        <v>3797</v>
      </c>
      <c r="C73" s="23">
        <v>1.76</v>
      </c>
      <c r="D73" s="23">
        <v>355103</v>
      </c>
      <c r="E73" s="24">
        <v>44258.406770833331</v>
      </c>
      <c r="F73" s="140">
        <v>3071</v>
      </c>
    </row>
    <row r="74" spans="1:6" x14ac:dyDescent="0.25">
      <c r="A74" s="23" t="str">
        <f>"3901931"</f>
        <v>3901931</v>
      </c>
      <c r="B74" s="23" t="s">
        <v>6082</v>
      </c>
      <c r="C74" s="23">
        <v>5.04</v>
      </c>
      <c r="D74" s="23">
        <v>353717</v>
      </c>
      <c r="E74" s="24">
        <v>44258.419814814813</v>
      </c>
      <c r="F74" s="140">
        <v>3080</v>
      </c>
    </row>
    <row r="75" spans="1:6" x14ac:dyDescent="0.25">
      <c r="A75" s="23" t="str">
        <f>"3909154"</f>
        <v>3909154</v>
      </c>
      <c r="B75" s="23" t="s">
        <v>1113</v>
      </c>
      <c r="C75" s="23">
        <v>13.28</v>
      </c>
      <c r="D75" s="23">
        <v>355598</v>
      </c>
      <c r="E75" s="24">
        <v>44258.432025462964</v>
      </c>
      <c r="F75" s="140">
        <v>3072</v>
      </c>
    </row>
    <row r="76" spans="1:6" x14ac:dyDescent="0.25">
      <c r="A76" s="23" t="str">
        <f>"3903549"</f>
        <v>3903549</v>
      </c>
      <c r="B76" s="23" t="s">
        <v>3795</v>
      </c>
      <c r="C76" s="23">
        <v>4.28</v>
      </c>
      <c r="D76" s="23">
        <v>354124</v>
      </c>
      <c r="E76" s="24">
        <v>44258.503252314818</v>
      </c>
      <c r="F76" s="140">
        <v>3073</v>
      </c>
    </row>
    <row r="77" spans="1:6" x14ac:dyDescent="0.25">
      <c r="A77" s="23" t="str">
        <f>"3907615"</f>
        <v>3907615</v>
      </c>
      <c r="B77" s="23" t="s">
        <v>548</v>
      </c>
      <c r="C77" s="23">
        <v>3.89</v>
      </c>
      <c r="D77" s="23">
        <v>353805</v>
      </c>
      <c r="E77" s="24">
        <v>44258.515405092592</v>
      </c>
      <c r="F77" s="140">
        <v>3074</v>
      </c>
    </row>
    <row r="78" spans="1:6" x14ac:dyDescent="0.25">
      <c r="A78" s="23" t="str">
        <f>"3908176"</f>
        <v>3908176</v>
      </c>
      <c r="B78" s="23" t="s">
        <v>1126</v>
      </c>
      <c r="C78" s="23">
        <v>7.19</v>
      </c>
      <c r="D78" s="23">
        <v>355730</v>
      </c>
      <c r="E78" s="24">
        <v>44258.593518518515</v>
      </c>
      <c r="F78" s="140">
        <v>3075</v>
      </c>
    </row>
    <row r="79" spans="1:6" x14ac:dyDescent="0.25">
      <c r="A79" s="23" t="str">
        <f>"3908177"</f>
        <v>3908177</v>
      </c>
      <c r="B79" s="23" t="s">
        <v>1126</v>
      </c>
      <c r="C79" s="23">
        <v>39.6</v>
      </c>
      <c r="D79" s="23">
        <v>355731</v>
      </c>
      <c r="E79" s="24">
        <v>44258.593738425923</v>
      </c>
      <c r="F79" s="140">
        <v>3076</v>
      </c>
    </row>
    <row r="80" spans="1:6" x14ac:dyDescent="0.25">
      <c r="A80" s="23" t="str">
        <f>"3908034"</f>
        <v>3908034</v>
      </c>
      <c r="B80" s="23" t="s">
        <v>6083</v>
      </c>
      <c r="C80" s="23">
        <v>5.03</v>
      </c>
      <c r="D80" s="23">
        <v>355752</v>
      </c>
      <c r="E80" s="24">
        <v>44258.645682870374</v>
      </c>
      <c r="F80" s="140">
        <v>3077</v>
      </c>
    </row>
    <row r="81" spans="1:6" x14ac:dyDescent="0.25">
      <c r="A81" s="23" t="str">
        <f>"3945113"</f>
        <v>3945113</v>
      </c>
      <c r="B81" s="23" t="s">
        <v>551</v>
      </c>
      <c r="C81" s="23">
        <v>8.3800000000000008</v>
      </c>
      <c r="D81" s="23">
        <v>353462</v>
      </c>
      <c r="E81" s="24">
        <v>44258.744745370372</v>
      </c>
      <c r="F81" s="140">
        <v>3078</v>
      </c>
    </row>
    <row r="82" spans="1:6" x14ac:dyDescent="0.25">
      <c r="A82" s="23" t="str">
        <f>"3908364"</f>
        <v>3908364</v>
      </c>
      <c r="B82" s="23" t="s">
        <v>6084</v>
      </c>
      <c r="C82" s="23">
        <v>1.68</v>
      </c>
      <c r="D82" s="23">
        <v>355146</v>
      </c>
      <c r="E82" s="24">
        <v>44258.77957175926</v>
      </c>
      <c r="F82" s="140">
        <v>3079</v>
      </c>
    </row>
    <row r="83" spans="1:6" x14ac:dyDescent="0.25">
      <c r="A83" s="23"/>
      <c r="B83" s="140">
        <v>3</v>
      </c>
      <c r="C83" s="140">
        <f>SUM(C70:C82)</f>
        <v>132.77000000000001</v>
      </c>
      <c r="D83" s="23"/>
      <c r="E83" s="24"/>
      <c r="F83" s="140"/>
    </row>
    <row r="84" spans="1:6" x14ac:dyDescent="0.25">
      <c r="A84" s="23"/>
      <c r="B84" s="23"/>
      <c r="C84" s="23"/>
      <c r="D84" s="23"/>
      <c r="E84" s="24"/>
      <c r="F84" s="140"/>
    </row>
    <row r="85" spans="1:6" x14ac:dyDescent="0.25">
      <c r="A85" s="23" t="str">
        <f>"3945304"</f>
        <v>3945304</v>
      </c>
      <c r="B85" s="23" t="s">
        <v>549</v>
      </c>
      <c r="C85" s="23">
        <v>18.03</v>
      </c>
      <c r="D85" s="23">
        <v>353587</v>
      </c>
      <c r="E85" s="24">
        <v>44259.427418981482</v>
      </c>
      <c r="F85" s="140">
        <v>3312</v>
      </c>
    </row>
    <row r="86" spans="1:6" x14ac:dyDescent="0.25">
      <c r="A86" s="23" t="str">
        <f>"3900565"</f>
        <v>3900565</v>
      </c>
      <c r="B86" s="23" t="s">
        <v>1562</v>
      </c>
      <c r="C86" s="23">
        <v>0.96</v>
      </c>
      <c r="D86" s="23">
        <v>354597</v>
      </c>
      <c r="E86" s="24">
        <v>44259.43037037037</v>
      </c>
      <c r="F86" s="140">
        <v>3313</v>
      </c>
    </row>
    <row r="87" spans="1:6" x14ac:dyDescent="0.25">
      <c r="A87" s="23" t="str">
        <f>"3907920"</f>
        <v>3907920</v>
      </c>
      <c r="B87" s="23" t="s">
        <v>6085</v>
      </c>
      <c r="C87" s="23">
        <v>3.63</v>
      </c>
      <c r="D87" s="23">
        <v>354165</v>
      </c>
      <c r="E87" s="24">
        <v>44259.451793981483</v>
      </c>
      <c r="F87" s="140">
        <v>3314</v>
      </c>
    </row>
    <row r="88" spans="1:6" x14ac:dyDescent="0.25">
      <c r="A88" s="23" t="str">
        <f>"3907425"</f>
        <v>3907425</v>
      </c>
      <c r="B88" s="23" t="s">
        <v>559</v>
      </c>
      <c r="C88" s="23">
        <v>3.65</v>
      </c>
      <c r="D88" s="23">
        <v>354930</v>
      </c>
      <c r="E88" s="24">
        <v>44259.577245370368</v>
      </c>
      <c r="F88" s="140">
        <v>3315</v>
      </c>
    </row>
    <row r="89" spans="1:6" x14ac:dyDescent="0.25">
      <c r="A89" s="23"/>
      <c r="B89" s="140">
        <v>4</v>
      </c>
      <c r="C89" s="140">
        <f>SUM(C85:C88)</f>
        <v>26.27</v>
      </c>
      <c r="D89" s="23"/>
      <c r="E89" s="24"/>
      <c r="F89" s="140"/>
    </row>
    <row r="90" spans="1:6" x14ac:dyDescent="0.25">
      <c r="A90" s="23"/>
      <c r="B90" s="23"/>
      <c r="C90" s="23"/>
      <c r="D90" s="23"/>
      <c r="E90" s="24"/>
      <c r="F90" s="140"/>
    </row>
    <row r="91" spans="1:6" x14ac:dyDescent="0.25">
      <c r="A91" s="23" t="str">
        <f>"3901940"</f>
        <v>3901940</v>
      </c>
      <c r="B91" s="23" t="s">
        <v>547</v>
      </c>
      <c r="C91" s="23">
        <v>3.46</v>
      </c>
      <c r="D91" s="23">
        <v>353714</v>
      </c>
      <c r="E91" s="24">
        <v>44260.372210648151</v>
      </c>
      <c r="F91" s="140">
        <v>3403</v>
      </c>
    </row>
    <row r="92" spans="1:6" x14ac:dyDescent="0.25">
      <c r="A92" s="23" t="str">
        <f>"3908160"</f>
        <v>3908160</v>
      </c>
      <c r="B92" s="23" t="s">
        <v>3798</v>
      </c>
      <c r="C92" s="23">
        <v>5.9</v>
      </c>
      <c r="D92" s="23">
        <v>355005</v>
      </c>
      <c r="E92" s="24">
        <v>44260.409004629626</v>
      </c>
      <c r="F92" s="140">
        <v>3404</v>
      </c>
    </row>
    <row r="93" spans="1:6" x14ac:dyDescent="0.25">
      <c r="A93" s="23" t="str">
        <f>"3960257"</f>
        <v>3960257</v>
      </c>
      <c r="B93" s="23" t="s">
        <v>605</v>
      </c>
      <c r="C93" s="23">
        <v>19.04</v>
      </c>
      <c r="D93" s="23">
        <v>355381</v>
      </c>
      <c r="E93" s="24">
        <v>44260.442789351851</v>
      </c>
      <c r="F93" s="140">
        <v>3405</v>
      </c>
    </row>
    <row r="94" spans="1:6" x14ac:dyDescent="0.25">
      <c r="A94" s="23" t="str">
        <f>"3960275"</f>
        <v>3960275</v>
      </c>
      <c r="B94" s="23" t="s">
        <v>605</v>
      </c>
      <c r="C94" s="23">
        <v>15.3</v>
      </c>
      <c r="D94" s="23">
        <v>355388</v>
      </c>
      <c r="E94" s="24">
        <v>44260.443287037036</v>
      </c>
      <c r="F94" s="140">
        <v>3406</v>
      </c>
    </row>
    <row r="95" spans="1:6" x14ac:dyDescent="0.25">
      <c r="A95" s="23" t="str">
        <f>"3908657"</f>
        <v>3908657</v>
      </c>
      <c r="B95" s="23" t="s">
        <v>1128</v>
      </c>
      <c r="C95" s="23">
        <v>5.24</v>
      </c>
      <c r="D95" s="23">
        <v>354434</v>
      </c>
      <c r="E95" s="24">
        <v>44260.462962962964</v>
      </c>
      <c r="F95" s="140">
        <v>3407</v>
      </c>
    </row>
    <row r="96" spans="1:6" x14ac:dyDescent="0.25">
      <c r="A96" s="23" t="str">
        <f>"3908639"</f>
        <v>3908639</v>
      </c>
      <c r="B96" s="23" t="s">
        <v>613</v>
      </c>
      <c r="C96" s="23">
        <v>3.88</v>
      </c>
      <c r="D96" s="23">
        <v>355633</v>
      </c>
      <c r="E96" s="24">
        <v>44260.529409722221</v>
      </c>
      <c r="F96" s="140">
        <v>3408</v>
      </c>
    </row>
    <row r="97" spans="1:6" x14ac:dyDescent="0.25">
      <c r="A97" s="23" t="str">
        <f>"3909086"</f>
        <v>3909086</v>
      </c>
      <c r="B97" s="23" t="s">
        <v>3759</v>
      </c>
      <c r="C97" s="23">
        <v>3.04</v>
      </c>
      <c r="D97" s="23">
        <v>354193</v>
      </c>
      <c r="E97" s="24">
        <v>44260.530763888892</v>
      </c>
      <c r="F97" s="140">
        <v>3409</v>
      </c>
    </row>
    <row r="98" spans="1:6" x14ac:dyDescent="0.25">
      <c r="A98" s="23" t="str">
        <f>"3903516"</f>
        <v>3903516</v>
      </c>
      <c r="B98" s="23" t="s">
        <v>3794</v>
      </c>
      <c r="C98" s="23">
        <v>6.74</v>
      </c>
      <c r="D98" s="23">
        <v>354299</v>
      </c>
      <c r="E98" s="24">
        <v>44260.675393518519</v>
      </c>
      <c r="F98" s="140">
        <v>3410</v>
      </c>
    </row>
    <row r="99" spans="1:6" x14ac:dyDescent="0.25">
      <c r="A99" s="23"/>
      <c r="B99" s="140">
        <v>5</v>
      </c>
      <c r="C99" s="140">
        <f>SUM(C91:C98)</f>
        <v>62.600000000000009</v>
      </c>
      <c r="D99" s="23"/>
      <c r="E99" s="24"/>
      <c r="F99" s="140"/>
    </row>
    <row r="100" spans="1:6" x14ac:dyDescent="0.25">
      <c r="A100" s="23"/>
      <c r="B100" s="23"/>
      <c r="C100" s="23"/>
      <c r="D100" s="23"/>
      <c r="E100" s="24"/>
      <c r="F100" s="140"/>
    </row>
    <row r="101" spans="1:6" x14ac:dyDescent="0.25">
      <c r="A101" s="23" t="str">
        <f>"3945114"</f>
        <v>3945114</v>
      </c>
      <c r="B101" s="23" t="s">
        <v>627</v>
      </c>
      <c r="C101" s="23">
        <v>16.760000000000002</v>
      </c>
      <c r="D101" s="23">
        <v>353461</v>
      </c>
      <c r="E101" s="24">
        <v>44263.437152777777</v>
      </c>
      <c r="F101" s="140">
        <v>3470</v>
      </c>
    </row>
    <row r="102" spans="1:6" x14ac:dyDescent="0.25">
      <c r="A102" s="23" t="str">
        <f>"3907990"</f>
        <v>3907990</v>
      </c>
      <c r="B102" s="23" t="s">
        <v>6086</v>
      </c>
      <c r="C102" s="23">
        <v>5.42</v>
      </c>
      <c r="D102" s="23">
        <v>354254</v>
      </c>
      <c r="E102" s="24">
        <v>44263.437939814816</v>
      </c>
      <c r="F102" s="140">
        <v>3480</v>
      </c>
    </row>
    <row r="103" spans="1:6" x14ac:dyDescent="0.25">
      <c r="A103" s="23" t="str">
        <f>"3903744"</f>
        <v>3903744</v>
      </c>
      <c r="B103" s="23" t="s">
        <v>6087</v>
      </c>
      <c r="C103" s="23">
        <v>15.64</v>
      </c>
      <c r="D103" s="23">
        <v>353525</v>
      </c>
      <c r="E103" s="24">
        <v>44263.704988425925</v>
      </c>
      <c r="F103" s="140">
        <v>3471</v>
      </c>
    </row>
    <row r="104" spans="1:6" x14ac:dyDescent="0.25">
      <c r="A104" s="23" t="str">
        <f>"3903121"</f>
        <v>3903121</v>
      </c>
      <c r="B104" s="23" t="s">
        <v>6088</v>
      </c>
      <c r="C104" s="23">
        <v>3.36</v>
      </c>
      <c r="D104" s="23">
        <v>353695</v>
      </c>
      <c r="E104" s="24">
        <v>44263.44326388889</v>
      </c>
      <c r="F104" s="140">
        <v>3472</v>
      </c>
    </row>
    <row r="105" spans="1:6" x14ac:dyDescent="0.25">
      <c r="A105" s="23" t="str">
        <f>"3907156"</f>
        <v>3907156</v>
      </c>
      <c r="B105" s="23" t="s">
        <v>1121</v>
      </c>
      <c r="C105" s="23">
        <v>6.94</v>
      </c>
      <c r="D105" s="23">
        <v>353615</v>
      </c>
      <c r="E105" s="24">
        <v>44263.552187499998</v>
      </c>
      <c r="F105" s="140">
        <v>3473</v>
      </c>
    </row>
    <row r="106" spans="1:6" x14ac:dyDescent="0.25">
      <c r="A106" s="23" t="str">
        <f>"3930275"</f>
        <v>3930275</v>
      </c>
      <c r="B106" s="23" t="s">
        <v>6089</v>
      </c>
      <c r="C106" s="23">
        <v>5.05</v>
      </c>
      <c r="D106" s="23">
        <v>351970</v>
      </c>
      <c r="E106" s="24">
        <v>44263.555868055555</v>
      </c>
      <c r="F106" s="140">
        <v>3481</v>
      </c>
    </row>
    <row r="107" spans="1:6" x14ac:dyDescent="0.25">
      <c r="A107" s="23" t="str">
        <f>"3908571"</f>
        <v>3908571</v>
      </c>
      <c r="B107" s="23" t="s">
        <v>6090</v>
      </c>
      <c r="C107" s="23">
        <v>1.05</v>
      </c>
      <c r="D107" s="23">
        <v>355271</v>
      </c>
      <c r="E107" s="24">
        <v>44263.573263888888</v>
      </c>
      <c r="F107" s="140">
        <v>3474</v>
      </c>
    </row>
    <row r="108" spans="1:6" x14ac:dyDescent="0.25">
      <c r="A108" s="23" t="str">
        <f>"3945048"</f>
        <v>3945048</v>
      </c>
      <c r="B108" s="23" t="s">
        <v>3768</v>
      </c>
      <c r="C108" s="23">
        <v>8.3800000000000008</v>
      </c>
      <c r="D108" s="23">
        <v>353430</v>
      </c>
      <c r="E108" s="24">
        <v>44263.586458333331</v>
      </c>
      <c r="F108" s="140">
        <v>3475</v>
      </c>
    </row>
    <row r="109" spans="1:6" x14ac:dyDescent="0.25">
      <c r="A109" s="23" t="str">
        <f>"3909033"</f>
        <v>3909033</v>
      </c>
      <c r="B109" s="23" t="s">
        <v>6091</v>
      </c>
      <c r="C109" s="23">
        <v>10.69</v>
      </c>
      <c r="D109" s="23">
        <v>354304</v>
      </c>
      <c r="E109" s="24">
        <v>44263.678912037038</v>
      </c>
      <c r="F109" s="140">
        <v>3476</v>
      </c>
    </row>
    <row r="110" spans="1:6" x14ac:dyDescent="0.25">
      <c r="A110" s="23" t="str">
        <f>"3908230"</f>
        <v>3908230</v>
      </c>
      <c r="B110" s="23" t="s">
        <v>1566</v>
      </c>
      <c r="C110" s="23">
        <v>1.75</v>
      </c>
      <c r="D110" s="23">
        <v>355738</v>
      </c>
      <c r="E110" s="24">
        <v>44263.800567129627</v>
      </c>
      <c r="F110" s="140">
        <v>3477</v>
      </c>
    </row>
    <row r="111" spans="1:6" x14ac:dyDescent="0.25">
      <c r="A111" s="23" t="str">
        <f>"3940102"</f>
        <v>3940102</v>
      </c>
      <c r="B111" s="23" t="s">
        <v>1081</v>
      </c>
      <c r="C111" s="23">
        <v>8.3800000000000008</v>
      </c>
      <c r="D111" s="23">
        <v>353389</v>
      </c>
      <c r="E111" s="24">
        <v>44263.801689814813</v>
      </c>
      <c r="F111" s="140">
        <v>3478</v>
      </c>
    </row>
    <row r="112" spans="1:6" x14ac:dyDescent="0.25">
      <c r="A112" s="23" t="str">
        <f>"3907169"</f>
        <v>3907169</v>
      </c>
      <c r="B112" s="23" t="s">
        <v>1134</v>
      </c>
      <c r="C112" s="23">
        <v>15.29</v>
      </c>
      <c r="D112" s="23">
        <v>355775</v>
      </c>
      <c r="E112" s="24">
        <v>44263.85428240741</v>
      </c>
      <c r="F112" s="140">
        <v>3479</v>
      </c>
    </row>
    <row r="113" spans="1:6" x14ac:dyDescent="0.25">
      <c r="A113" s="23" t="str">
        <f>"3900431"</f>
        <v>3900431</v>
      </c>
      <c r="B113" s="23" t="s">
        <v>6092</v>
      </c>
      <c r="C113" s="23">
        <v>6.18</v>
      </c>
      <c r="D113" s="23">
        <v>354563</v>
      </c>
      <c r="E113" s="24">
        <v>44263.859444444446</v>
      </c>
      <c r="F113" s="140">
        <v>3482</v>
      </c>
    </row>
    <row r="114" spans="1:6" x14ac:dyDescent="0.25">
      <c r="A114" s="23"/>
      <c r="B114" s="140">
        <v>6</v>
      </c>
      <c r="C114" s="140">
        <f>SUM(C101:C113)</f>
        <v>104.88999999999999</v>
      </c>
      <c r="D114" s="23"/>
      <c r="E114" s="24"/>
      <c r="F114" s="140"/>
    </row>
    <row r="115" spans="1:6" x14ac:dyDescent="0.25">
      <c r="A115" s="23"/>
      <c r="B115" s="23"/>
      <c r="C115" s="23"/>
      <c r="D115" s="23"/>
      <c r="E115" s="24"/>
      <c r="F115" s="140"/>
    </row>
    <row r="116" spans="1:6" x14ac:dyDescent="0.25">
      <c r="A116" s="23" t="str">
        <f>"3945455"</f>
        <v>3945455</v>
      </c>
      <c r="B116" s="23" t="s">
        <v>1127</v>
      </c>
      <c r="C116" s="23">
        <v>8.3800000000000008</v>
      </c>
      <c r="D116" s="23">
        <v>353484</v>
      </c>
      <c r="E116" s="24">
        <v>44264.463564814818</v>
      </c>
      <c r="F116" s="140">
        <v>3582</v>
      </c>
    </row>
    <row r="117" spans="1:6" x14ac:dyDescent="0.25">
      <c r="A117" s="23" t="str">
        <f>"3930042"</f>
        <v>3930042</v>
      </c>
      <c r="B117" s="23" t="s">
        <v>620</v>
      </c>
      <c r="C117" s="23">
        <v>6.94</v>
      </c>
      <c r="D117" s="23">
        <v>355499</v>
      </c>
      <c r="E117" s="24">
        <v>44264.552025462966</v>
      </c>
      <c r="F117" s="140">
        <v>3583</v>
      </c>
    </row>
    <row r="118" spans="1:6" x14ac:dyDescent="0.25">
      <c r="A118" s="23" t="str">
        <f>"3901461"</f>
        <v>3901461</v>
      </c>
      <c r="B118" s="23" t="s">
        <v>622</v>
      </c>
      <c r="C118" s="23">
        <v>30.6</v>
      </c>
      <c r="D118" s="23">
        <v>355400</v>
      </c>
      <c r="E118" s="24">
        <v>44264.565034722225</v>
      </c>
      <c r="F118" s="140">
        <v>3584</v>
      </c>
    </row>
    <row r="119" spans="1:6" x14ac:dyDescent="0.25">
      <c r="A119" s="23" t="str">
        <f>"23923029"</f>
        <v>23923029</v>
      </c>
      <c r="B119" s="23" t="s">
        <v>621</v>
      </c>
      <c r="C119" s="23">
        <v>7.84</v>
      </c>
      <c r="D119" s="23">
        <v>3827</v>
      </c>
      <c r="E119" s="24">
        <v>44264.571539351855</v>
      </c>
      <c r="F119" s="140">
        <v>3585</v>
      </c>
    </row>
    <row r="120" spans="1:6" x14ac:dyDescent="0.25">
      <c r="A120" s="23" t="str">
        <f>"3908019"</f>
        <v>3908019</v>
      </c>
      <c r="B120" s="23" t="s">
        <v>1094</v>
      </c>
      <c r="C120" s="23">
        <v>4.62</v>
      </c>
      <c r="D120" s="23">
        <v>354287</v>
      </c>
      <c r="E120" s="24">
        <v>44264.691921296297</v>
      </c>
      <c r="F120" s="140">
        <v>3586</v>
      </c>
    </row>
    <row r="121" spans="1:6" x14ac:dyDescent="0.25">
      <c r="A121" s="23"/>
      <c r="B121" s="140">
        <v>7</v>
      </c>
      <c r="C121" s="140">
        <f>SUM(C116:C120)</f>
        <v>58.38</v>
      </c>
      <c r="D121" s="23"/>
      <c r="E121" s="24"/>
      <c r="F121" s="140"/>
    </row>
    <row r="122" spans="1:6" x14ac:dyDescent="0.25">
      <c r="A122" s="23"/>
      <c r="B122" s="23"/>
      <c r="C122" s="23"/>
      <c r="D122" s="23"/>
      <c r="E122" s="24"/>
      <c r="F122" s="140"/>
    </row>
    <row r="123" spans="1:6" x14ac:dyDescent="0.25">
      <c r="A123" s="23" t="str">
        <f>"3908130"</f>
        <v>3908130</v>
      </c>
      <c r="B123" s="23" t="s">
        <v>3571</v>
      </c>
      <c r="C123" s="23">
        <v>4.0999999999999996</v>
      </c>
      <c r="D123" s="23">
        <v>354989</v>
      </c>
      <c r="E123" s="24">
        <v>44265.454293981478</v>
      </c>
      <c r="F123" s="140">
        <v>3629</v>
      </c>
    </row>
    <row r="124" spans="1:6" x14ac:dyDescent="0.25">
      <c r="A124" s="23" t="str">
        <f>"3907525"</f>
        <v>3907525</v>
      </c>
      <c r="B124" s="23" t="s">
        <v>3786</v>
      </c>
      <c r="C124" s="23">
        <v>6.42</v>
      </c>
      <c r="D124" s="23">
        <v>355478</v>
      </c>
      <c r="E124" s="24">
        <v>44265.494872685187</v>
      </c>
      <c r="F124" s="140">
        <v>3630</v>
      </c>
    </row>
    <row r="125" spans="1:6" x14ac:dyDescent="0.25">
      <c r="A125" s="23" t="str">
        <f>"3907544"</f>
        <v>3907544</v>
      </c>
      <c r="B125" s="23" t="s">
        <v>3786</v>
      </c>
      <c r="C125" s="23">
        <v>3.88</v>
      </c>
      <c r="D125" s="23">
        <v>355477</v>
      </c>
      <c r="E125" s="24">
        <v>44265.496377314812</v>
      </c>
      <c r="F125" s="140">
        <v>3631</v>
      </c>
    </row>
    <row r="126" spans="1:6" x14ac:dyDescent="0.25">
      <c r="A126" s="23" t="str">
        <f>"3902164"</f>
        <v>3902164</v>
      </c>
      <c r="B126" s="23" t="s">
        <v>1091</v>
      </c>
      <c r="C126" s="23">
        <v>4.08</v>
      </c>
      <c r="D126" s="23">
        <v>354401</v>
      </c>
      <c r="E126" s="24">
        <v>44265.509212962963</v>
      </c>
      <c r="F126" s="140">
        <v>3632</v>
      </c>
    </row>
    <row r="127" spans="1:6" x14ac:dyDescent="0.25">
      <c r="A127" s="23" t="str">
        <f>"3909922"</f>
        <v>3909922</v>
      </c>
      <c r="B127" s="23" t="s">
        <v>1090</v>
      </c>
      <c r="C127" s="23">
        <v>10.89</v>
      </c>
      <c r="D127" s="23">
        <v>355481</v>
      </c>
      <c r="E127" s="24">
        <v>44265.544409722221</v>
      </c>
      <c r="F127" s="140">
        <v>3633</v>
      </c>
    </row>
    <row r="128" spans="1:6" x14ac:dyDescent="0.25">
      <c r="A128" s="23" t="str">
        <f>"3901121"</f>
        <v>3901121</v>
      </c>
      <c r="B128" s="23" t="s">
        <v>615</v>
      </c>
      <c r="C128" s="23">
        <v>2.34</v>
      </c>
      <c r="D128" s="23">
        <v>353986</v>
      </c>
      <c r="E128" s="24">
        <v>44265.619652777779</v>
      </c>
      <c r="F128" s="140">
        <v>3634</v>
      </c>
    </row>
    <row r="129" spans="1:6" x14ac:dyDescent="0.25">
      <c r="A129" s="23" t="str">
        <f>"3906658"</f>
        <v>3906658</v>
      </c>
      <c r="B129" s="23" t="s">
        <v>614</v>
      </c>
      <c r="C129" s="23">
        <v>25.7</v>
      </c>
      <c r="D129" s="23">
        <v>355534</v>
      </c>
      <c r="E129" s="24">
        <v>44265.620648148149</v>
      </c>
      <c r="F129" s="140">
        <v>3635</v>
      </c>
    </row>
    <row r="130" spans="1:6" x14ac:dyDescent="0.25">
      <c r="A130" s="23" t="str">
        <f>"3907892"</f>
        <v>3907892</v>
      </c>
      <c r="B130" s="23" t="s">
        <v>1085</v>
      </c>
      <c r="C130" s="23">
        <v>3.36</v>
      </c>
      <c r="D130" s="23">
        <v>354301</v>
      </c>
      <c r="E130" s="24">
        <v>44265.800185185188</v>
      </c>
      <c r="F130" s="140">
        <v>3636</v>
      </c>
    </row>
    <row r="131" spans="1:6" x14ac:dyDescent="0.25">
      <c r="A131" s="23"/>
      <c r="B131" s="140">
        <v>8</v>
      </c>
      <c r="C131" s="140">
        <f>SUM(C123:C130)</f>
        <v>60.769999999999996</v>
      </c>
      <c r="D131" s="23"/>
      <c r="E131" s="24"/>
      <c r="F131" s="140"/>
    </row>
    <row r="132" spans="1:6" x14ac:dyDescent="0.25">
      <c r="A132" s="23"/>
      <c r="B132" s="23"/>
      <c r="C132" s="23"/>
      <c r="D132" s="23"/>
      <c r="E132" s="24"/>
      <c r="F132" s="140"/>
    </row>
    <row r="133" spans="1:6" x14ac:dyDescent="0.25">
      <c r="A133" s="23" t="str">
        <f>"3906725"</f>
        <v>3906725</v>
      </c>
      <c r="B133" s="23" t="s">
        <v>6093</v>
      </c>
      <c r="C133" s="23">
        <v>5.7</v>
      </c>
      <c r="D133" s="23">
        <v>350807</v>
      </c>
      <c r="E133" s="24">
        <v>44266.424398148149</v>
      </c>
      <c r="F133" s="140">
        <v>3668</v>
      </c>
    </row>
    <row r="134" spans="1:6" x14ac:dyDescent="0.25">
      <c r="A134" s="23" t="str">
        <f>"3909055"</f>
        <v>3909055</v>
      </c>
      <c r="B134" s="23" t="s">
        <v>6094</v>
      </c>
      <c r="C134" s="23">
        <v>4.07</v>
      </c>
      <c r="D134" s="23">
        <v>354190</v>
      </c>
      <c r="E134" s="24">
        <v>44266.524444444447</v>
      </c>
      <c r="F134" s="140">
        <v>3663</v>
      </c>
    </row>
    <row r="135" spans="1:6" x14ac:dyDescent="0.25">
      <c r="A135" s="23" t="str">
        <f>"3930029"</f>
        <v>3930029</v>
      </c>
      <c r="B135" s="23" t="s">
        <v>1596</v>
      </c>
      <c r="C135" s="23">
        <v>3.51</v>
      </c>
      <c r="D135" s="23">
        <v>353902</v>
      </c>
      <c r="E135" s="24">
        <v>44266.582094907404</v>
      </c>
      <c r="F135" s="140">
        <v>3664</v>
      </c>
    </row>
    <row r="136" spans="1:6" x14ac:dyDescent="0.25">
      <c r="A136" s="23" t="str">
        <f>"3930028"</f>
        <v>3930028</v>
      </c>
      <c r="B136" s="23" t="s">
        <v>1596</v>
      </c>
      <c r="C136" s="23">
        <v>11.41</v>
      </c>
      <c r="D136" s="23">
        <v>353901</v>
      </c>
      <c r="E136" s="24">
        <v>44266.589641203704</v>
      </c>
      <c r="F136" s="140">
        <v>3665</v>
      </c>
    </row>
    <row r="137" spans="1:6" x14ac:dyDescent="0.25">
      <c r="A137" s="23" t="str">
        <f>"3903548"</f>
        <v>3903548</v>
      </c>
      <c r="B137" s="23" t="s">
        <v>546</v>
      </c>
      <c r="C137" s="23">
        <v>5.92</v>
      </c>
      <c r="D137" s="23">
        <v>354112</v>
      </c>
      <c r="E137" s="24">
        <v>44266.639814814815</v>
      </c>
      <c r="F137" s="140">
        <v>3666</v>
      </c>
    </row>
    <row r="138" spans="1:6" x14ac:dyDescent="0.25">
      <c r="A138" s="23" t="str">
        <f>"3930391"</f>
        <v>3930391</v>
      </c>
      <c r="B138" s="23" t="s">
        <v>1100</v>
      </c>
      <c r="C138" s="23">
        <v>1.05</v>
      </c>
      <c r="D138" s="23">
        <v>354327</v>
      </c>
      <c r="E138" s="24">
        <v>44266.714641203704</v>
      </c>
      <c r="F138" s="140">
        <v>3667</v>
      </c>
    </row>
    <row r="139" spans="1:6" x14ac:dyDescent="0.25">
      <c r="A139" s="23"/>
      <c r="B139" s="140">
        <v>9</v>
      </c>
      <c r="C139" s="140">
        <f>SUM(C133:C138)</f>
        <v>31.66</v>
      </c>
      <c r="D139" s="23"/>
      <c r="E139" s="24"/>
      <c r="F139" s="140"/>
    </row>
    <row r="140" spans="1:6" x14ac:dyDescent="0.25">
      <c r="A140" s="23"/>
      <c r="B140" s="23"/>
      <c r="C140" s="23"/>
      <c r="D140" s="23"/>
      <c r="E140" s="24"/>
      <c r="F140" s="140"/>
    </row>
    <row r="141" spans="1:6" x14ac:dyDescent="0.25">
      <c r="A141" s="23" t="str">
        <f>"3903217"</f>
        <v>3903217</v>
      </c>
      <c r="B141" s="23" t="s">
        <v>3743</v>
      </c>
      <c r="C141" s="23">
        <v>3.79</v>
      </c>
      <c r="D141" s="23">
        <v>353789</v>
      </c>
      <c r="E141" s="24">
        <v>44267.448368055557</v>
      </c>
      <c r="F141" s="140">
        <v>3727</v>
      </c>
    </row>
    <row r="142" spans="1:6" x14ac:dyDescent="0.25">
      <c r="A142" s="23" t="str">
        <f>"3902612"</f>
        <v>3902612</v>
      </c>
      <c r="B142" s="23" t="s">
        <v>3760</v>
      </c>
      <c r="C142" s="23">
        <v>1.68</v>
      </c>
      <c r="D142" s="23">
        <v>355067</v>
      </c>
      <c r="E142" s="24">
        <v>44267.508645833332</v>
      </c>
      <c r="F142" s="140">
        <v>3728</v>
      </c>
    </row>
    <row r="143" spans="1:6" x14ac:dyDescent="0.25">
      <c r="A143" s="23" t="str">
        <f>"3900329"</f>
        <v>3900329</v>
      </c>
      <c r="B143" s="23" t="s">
        <v>1097</v>
      </c>
      <c r="C143" s="23">
        <v>1.93</v>
      </c>
      <c r="D143" s="23">
        <v>354535</v>
      </c>
      <c r="E143" s="24">
        <v>44267.566134259258</v>
      </c>
      <c r="F143" s="140">
        <v>3729</v>
      </c>
    </row>
    <row r="144" spans="1:6" x14ac:dyDescent="0.25">
      <c r="A144" s="23" t="str">
        <f>"3900343"</f>
        <v>3900343</v>
      </c>
      <c r="B144" s="23" t="s">
        <v>3778</v>
      </c>
      <c r="C144" s="23">
        <v>5.33</v>
      </c>
      <c r="D144" s="23">
        <v>355657</v>
      </c>
      <c r="E144" s="24">
        <v>44267.826840277776</v>
      </c>
      <c r="F144" s="140">
        <v>3730</v>
      </c>
    </row>
    <row r="145" spans="1:6" x14ac:dyDescent="0.25">
      <c r="A145" s="23"/>
      <c r="B145" s="140">
        <v>10</v>
      </c>
      <c r="C145" s="140">
        <f>SUM(C141:C144)</f>
        <v>12.73</v>
      </c>
      <c r="D145" s="23"/>
      <c r="E145" s="24"/>
      <c r="F145" s="140"/>
    </row>
    <row r="146" spans="1:6" x14ac:dyDescent="0.25">
      <c r="A146" s="23"/>
      <c r="B146" s="23"/>
      <c r="C146" s="23"/>
      <c r="D146" s="23"/>
      <c r="E146" s="24"/>
      <c r="F146" s="140"/>
    </row>
    <row r="147" spans="1:6" x14ac:dyDescent="0.25">
      <c r="A147" s="23" t="str">
        <f>"3960274"</f>
        <v>3960274</v>
      </c>
      <c r="B147" s="23" t="s">
        <v>553</v>
      </c>
      <c r="C147" s="23">
        <v>5.34</v>
      </c>
      <c r="D147" s="23">
        <v>353400</v>
      </c>
      <c r="E147" s="24">
        <v>44270.513379629629</v>
      </c>
      <c r="F147" s="140" t="s">
        <v>6095</v>
      </c>
    </row>
    <row r="148" spans="1:6" x14ac:dyDescent="0.25">
      <c r="A148" s="23" t="str">
        <f>"3900328"</f>
        <v>3900328</v>
      </c>
      <c r="B148" s="23" t="s">
        <v>606</v>
      </c>
      <c r="C148" s="23">
        <v>3.71</v>
      </c>
      <c r="D148" s="23">
        <v>354534</v>
      </c>
      <c r="E148" s="24">
        <v>44270.606689814813</v>
      </c>
      <c r="F148" s="140">
        <v>3791</v>
      </c>
    </row>
    <row r="149" spans="1:6" x14ac:dyDescent="0.25">
      <c r="A149" s="23" t="str">
        <f>"3902009"</f>
        <v>3902009</v>
      </c>
      <c r="B149" s="23" t="s">
        <v>608</v>
      </c>
      <c r="C149" s="23">
        <v>6.76</v>
      </c>
      <c r="D149" s="23">
        <v>355516</v>
      </c>
      <c r="E149" s="24">
        <v>44270.388784722221</v>
      </c>
      <c r="F149" s="140">
        <v>3792</v>
      </c>
    </row>
    <row r="150" spans="1:6" x14ac:dyDescent="0.25">
      <c r="A150" s="23" t="str">
        <f>"3906747"</f>
        <v>3906747</v>
      </c>
      <c r="B150" s="23" t="s">
        <v>6096</v>
      </c>
      <c r="C150" s="23">
        <v>7.45</v>
      </c>
      <c r="D150" s="23">
        <v>350818</v>
      </c>
      <c r="E150" s="24">
        <v>44270.406909722224</v>
      </c>
      <c r="F150" s="140">
        <v>3798</v>
      </c>
    </row>
    <row r="151" spans="1:6" x14ac:dyDescent="0.25">
      <c r="A151" s="23" t="str">
        <f>"3960373"</f>
        <v>3960373</v>
      </c>
      <c r="B151" s="23" t="s">
        <v>626</v>
      </c>
      <c r="C151" s="23">
        <v>8.3800000000000008</v>
      </c>
      <c r="D151" s="23">
        <v>353474</v>
      </c>
      <c r="E151" s="24">
        <v>44270.517835648148</v>
      </c>
      <c r="F151" s="140">
        <v>3793</v>
      </c>
    </row>
    <row r="152" spans="1:6" x14ac:dyDescent="0.25">
      <c r="A152" s="23" t="str">
        <f>"3909959"</f>
        <v>3909959</v>
      </c>
      <c r="B152" s="23" t="s">
        <v>3802</v>
      </c>
      <c r="C152" s="23">
        <v>1.95</v>
      </c>
      <c r="D152" s="23">
        <v>353820</v>
      </c>
      <c r="E152" s="24">
        <v>44270.599421296298</v>
      </c>
      <c r="F152" s="140">
        <v>3794</v>
      </c>
    </row>
    <row r="153" spans="1:6" x14ac:dyDescent="0.25">
      <c r="A153" s="23" t="str">
        <f>"3909808"</f>
        <v>3909808</v>
      </c>
      <c r="B153" s="23" t="s">
        <v>3792</v>
      </c>
      <c r="C153" s="23">
        <v>1.9</v>
      </c>
      <c r="D153" s="23">
        <v>354443</v>
      </c>
      <c r="E153" s="24">
        <v>44270.639120370368</v>
      </c>
      <c r="F153" s="140">
        <v>3795</v>
      </c>
    </row>
    <row r="154" spans="1:6" x14ac:dyDescent="0.25">
      <c r="A154" s="23" t="str">
        <f>"3906904"</f>
        <v>3906904</v>
      </c>
      <c r="B154" s="23" t="s">
        <v>6097</v>
      </c>
      <c r="C154" s="23">
        <v>3.36</v>
      </c>
      <c r="D154" s="23">
        <v>354871</v>
      </c>
      <c r="E154" s="24">
        <v>44270.677615740744</v>
      </c>
      <c r="F154" s="140">
        <v>3796</v>
      </c>
    </row>
    <row r="155" spans="1:6" x14ac:dyDescent="0.25">
      <c r="A155" s="23" t="str">
        <f>"3907965"</f>
        <v>3907965</v>
      </c>
      <c r="B155" s="23" t="s">
        <v>1135</v>
      </c>
      <c r="C155" s="23">
        <v>9.6999999999999993</v>
      </c>
      <c r="D155" s="23">
        <v>354968</v>
      </c>
      <c r="E155" s="24">
        <v>44270.688668981478</v>
      </c>
      <c r="F155" s="140">
        <v>3797</v>
      </c>
    </row>
    <row r="156" spans="1:6" x14ac:dyDescent="0.25">
      <c r="A156" s="23"/>
      <c r="B156" s="140">
        <v>11</v>
      </c>
      <c r="C156" s="140">
        <f>SUM(C147:C155)</f>
        <v>48.55</v>
      </c>
      <c r="D156" s="23"/>
      <c r="E156" s="24"/>
      <c r="F156" s="140"/>
    </row>
    <row r="157" spans="1:6" x14ac:dyDescent="0.25">
      <c r="A157" s="23"/>
      <c r="B157" s="23"/>
      <c r="C157" s="23"/>
      <c r="D157" s="23"/>
      <c r="E157" s="24"/>
      <c r="F157" s="140"/>
    </row>
    <row r="158" spans="1:6" x14ac:dyDescent="0.25">
      <c r="A158" s="23" t="str">
        <f>"3907622"</f>
        <v>3907622</v>
      </c>
      <c r="B158" s="23" t="s">
        <v>607</v>
      </c>
      <c r="C158" s="23">
        <v>111</v>
      </c>
      <c r="D158" s="23">
        <v>355722</v>
      </c>
      <c r="E158" s="24">
        <v>44271.474791666667</v>
      </c>
      <c r="F158" s="140">
        <v>3847</v>
      </c>
    </row>
    <row r="159" spans="1:6" x14ac:dyDescent="0.25">
      <c r="A159" s="23" t="str">
        <f>"3960357"</f>
        <v>3960357</v>
      </c>
      <c r="B159" s="23" t="s">
        <v>1086</v>
      </c>
      <c r="C159" s="23">
        <v>8.3800000000000008</v>
      </c>
      <c r="D159" s="23">
        <v>353499</v>
      </c>
      <c r="E159" s="24">
        <v>44271.48196759259</v>
      </c>
      <c r="F159" s="140">
        <v>3848</v>
      </c>
    </row>
    <row r="160" spans="1:6" x14ac:dyDescent="0.25">
      <c r="A160" s="23"/>
      <c r="B160" s="140">
        <v>12</v>
      </c>
      <c r="C160" s="140">
        <f>SUM(C158:C159)</f>
        <v>119.38</v>
      </c>
      <c r="D160" s="23"/>
      <c r="E160" s="24"/>
      <c r="F160" s="140"/>
    </row>
    <row r="161" spans="1:6" x14ac:dyDescent="0.25">
      <c r="A161" s="23"/>
      <c r="B161" s="23"/>
      <c r="C161" s="23"/>
      <c r="D161" s="23"/>
      <c r="E161" s="24"/>
      <c r="F161" s="140"/>
    </row>
    <row r="162" spans="1:6" x14ac:dyDescent="0.25">
      <c r="A162" s="23" t="s">
        <v>6098</v>
      </c>
      <c r="B162" s="23" t="s">
        <v>639</v>
      </c>
      <c r="C162" s="23">
        <v>1.78</v>
      </c>
      <c r="D162" s="23">
        <v>354002</v>
      </c>
      <c r="E162" s="24">
        <v>44272.495995370373</v>
      </c>
      <c r="F162" s="140">
        <v>3871</v>
      </c>
    </row>
    <row r="163" spans="1:6" x14ac:dyDescent="0.25">
      <c r="A163" s="23" t="s">
        <v>6099</v>
      </c>
      <c r="B163" s="23" t="s">
        <v>6100</v>
      </c>
      <c r="C163" s="23">
        <v>5.13</v>
      </c>
      <c r="D163" s="23">
        <v>351955</v>
      </c>
      <c r="E163" s="24">
        <v>44272.528055555558</v>
      </c>
      <c r="F163" s="140">
        <v>3875</v>
      </c>
    </row>
    <row r="164" spans="1:6" x14ac:dyDescent="0.25">
      <c r="A164" s="23" t="s">
        <v>6101</v>
      </c>
      <c r="B164" s="23" t="s">
        <v>1117</v>
      </c>
      <c r="C164" s="23">
        <v>7.04</v>
      </c>
      <c r="D164" s="23">
        <v>355747</v>
      </c>
      <c r="E164" s="24">
        <v>44272.54546296296</v>
      </c>
      <c r="F164" s="140">
        <v>3872</v>
      </c>
    </row>
    <row r="165" spans="1:6" x14ac:dyDescent="0.25">
      <c r="A165" s="23" t="s">
        <v>6102</v>
      </c>
      <c r="B165" s="23" t="s">
        <v>3755</v>
      </c>
      <c r="C165" s="23">
        <v>9.2799999999999994</v>
      </c>
      <c r="D165" s="23">
        <v>353668</v>
      </c>
      <c r="E165" s="24">
        <v>44272.570428240739</v>
      </c>
      <c r="F165" s="140">
        <v>3873</v>
      </c>
    </row>
    <row r="166" spans="1:6" x14ac:dyDescent="0.25">
      <c r="A166" s="23" t="s">
        <v>6103</v>
      </c>
      <c r="B166" s="23" t="s">
        <v>1114</v>
      </c>
      <c r="C166" s="23">
        <v>3.68</v>
      </c>
      <c r="D166" s="23">
        <v>355739</v>
      </c>
      <c r="E166" s="24">
        <v>44272.622557870367</v>
      </c>
      <c r="F166" s="140">
        <v>3874</v>
      </c>
    </row>
    <row r="167" spans="1:6" x14ac:dyDescent="0.25">
      <c r="A167" s="23"/>
      <c r="B167" s="140">
        <v>13</v>
      </c>
      <c r="C167" s="140">
        <f>SUM(C162:C166)</f>
        <v>26.909999999999997</v>
      </c>
      <c r="D167" s="23"/>
      <c r="E167" s="24"/>
      <c r="F167" s="140"/>
    </row>
    <row r="168" spans="1:6" x14ac:dyDescent="0.25">
      <c r="A168" s="23"/>
      <c r="B168" s="23"/>
      <c r="C168" s="23"/>
      <c r="D168" s="23"/>
      <c r="E168" s="24"/>
      <c r="F168" s="140"/>
    </row>
    <row r="169" spans="1:6" x14ac:dyDescent="0.25">
      <c r="A169" s="23" t="s">
        <v>6104</v>
      </c>
      <c r="B169" s="23" t="s">
        <v>550</v>
      </c>
      <c r="C169" s="23">
        <v>4.83</v>
      </c>
      <c r="D169" s="23">
        <v>354952</v>
      </c>
      <c r="E169" s="24">
        <v>44273.517164351855</v>
      </c>
      <c r="F169" s="140">
        <v>3932</v>
      </c>
    </row>
    <row r="170" spans="1:6" x14ac:dyDescent="0.25">
      <c r="A170" s="23" t="s">
        <v>6105</v>
      </c>
      <c r="B170" s="23" t="s">
        <v>624</v>
      </c>
      <c r="C170" s="23">
        <v>4.1900000000000004</v>
      </c>
      <c r="D170" s="23">
        <v>353476</v>
      </c>
      <c r="E170" s="24">
        <v>44273.673634259256</v>
      </c>
      <c r="F170" s="140">
        <v>3933</v>
      </c>
    </row>
    <row r="171" spans="1:6" x14ac:dyDescent="0.25">
      <c r="A171" s="23" t="s">
        <v>6106</v>
      </c>
      <c r="B171" s="23" t="s">
        <v>1106</v>
      </c>
      <c r="C171" s="23">
        <v>8.3800000000000008</v>
      </c>
      <c r="D171" s="23">
        <v>353444</v>
      </c>
      <c r="E171" s="24">
        <v>44273.762060185189</v>
      </c>
      <c r="F171" s="140">
        <v>3934</v>
      </c>
    </row>
    <row r="172" spans="1:6" x14ac:dyDescent="0.25">
      <c r="A172" s="23" t="s">
        <v>6107</v>
      </c>
      <c r="B172" s="23" t="s">
        <v>1565</v>
      </c>
      <c r="C172" s="23">
        <v>4.1900000000000004</v>
      </c>
      <c r="D172" s="23">
        <v>353561</v>
      </c>
      <c r="E172" s="24">
        <v>44273.767222222225</v>
      </c>
      <c r="F172" s="140">
        <v>3935</v>
      </c>
    </row>
    <row r="173" spans="1:6" x14ac:dyDescent="0.25">
      <c r="A173" s="23"/>
      <c r="B173" s="140">
        <v>14</v>
      </c>
      <c r="C173" s="140">
        <f>SUM(C169:C172)</f>
        <v>21.59</v>
      </c>
      <c r="D173" s="23"/>
      <c r="E173" s="24"/>
      <c r="F173" s="140"/>
    </row>
    <row r="174" spans="1:6" x14ac:dyDescent="0.25">
      <c r="A174" s="23"/>
      <c r="B174" s="23"/>
      <c r="C174" s="23"/>
      <c r="D174" s="23"/>
      <c r="E174" s="24"/>
      <c r="F174" s="140"/>
    </row>
    <row r="175" spans="1:6" x14ac:dyDescent="0.25">
      <c r="A175" s="23" t="str">
        <f>"3906821"</f>
        <v>3906821</v>
      </c>
      <c r="B175" s="23" t="s">
        <v>629</v>
      </c>
      <c r="C175" s="23">
        <v>1.93</v>
      </c>
      <c r="D175" s="23">
        <v>354270</v>
      </c>
      <c r="E175" s="24">
        <v>44274.392685185187</v>
      </c>
      <c r="F175" s="140">
        <v>3968</v>
      </c>
    </row>
    <row r="176" spans="1:6" x14ac:dyDescent="0.25">
      <c r="A176" s="23" t="str">
        <f>"3904232"</f>
        <v>3904232</v>
      </c>
      <c r="B176" s="23" t="s">
        <v>1122</v>
      </c>
      <c r="C176" s="23">
        <v>15.3</v>
      </c>
      <c r="D176" s="23">
        <v>355406</v>
      </c>
      <c r="E176" s="24">
        <v>44274.463391203702</v>
      </c>
      <c r="F176" s="140">
        <v>3969</v>
      </c>
    </row>
    <row r="177" spans="1:6" x14ac:dyDescent="0.25">
      <c r="A177" s="23"/>
      <c r="B177" s="140">
        <v>15</v>
      </c>
      <c r="C177" s="140">
        <f>SUM(C175:C176)</f>
        <v>17.23</v>
      </c>
      <c r="D177" s="23"/>
      <c r="E177" s="24"/>
      <c r="F177" s="140"/>
    </row>
    <row r="178" spans="1:6" x14ac:dyDescent="0.25">
      <c r="A178" s="23"/>
      <c r="B178" s="23"/>
      <c r="C178" s="23"/>
      <c r="D178" s="23"/>
      <c r="E178" s="24"/>
      <c r="F178" s="140"/>
    </row>
    <row r="179" spans="1:6" x14ac:dyDescent="0.25">
      <c r="A179" s="23" t="str">
        <f>"3900257"</f>
        <v>3900257</v>
      </c>
      <c r="B179" s="23" t="s">
        <v>3757</v>
      </c>
      <c r="C179" s="23">
        <v>2.15</v>
      </c>
      <c r="D179" s="23">
        <v>354519</v>
      </c>
      <c r="E179" s="24">
        <v>44277.4378125</v>
      </c>
      <c r="F179" s="140">
        <v>4012</v>
      </c>
    </row>
    <row r="180" spans="1:6" x14ac:dyDescent="0.25">
      <c r="A180" s="23" t="str">
        <f>"3960369"</f>
        <v>3960369</v>
      </c>
      <c r="B180" s="23" t="s">
        <v>6108</v>
      </c>
      <c r="C180" s="23">
        <v>25.14</v>
      </c>
      <c r="D180" s="23">
        <v>353464</v>
      </c>
      <c r="E180" s="24">
        <v>44277.48133101852</v>
      </c>
      <c r="F180" s="140">
        <v>4015</v>
      </c>
    </row>
    <row r="181" spans="1:6" x14ac:dyDescent="0.25">
      <c r="A181" s="23" t="str">
        <f>"3960293"</f>
        <v>3960293</v>
      </c>
      <c r="B181" s="23" t="s">
        <v>3774</v>
      </c>
      <c r="C181" s="23">
        <v>8.8000000000000007</v>
      </c>
      <c r="D181" s="23">
        <v>353411</v>
      </c>
      <c r="E181" s="24">
        <v>44277.557847222219</v>
      </c>
      <c r="F181" s="140">
        <v>4013</v>
      </c>
    </row>
    <row r="182" spans="1:6" x14ac:dyDescent="0.25">
      <c r="A182" s="23" t="str">
        <f>"3908064"</f>
        <v>3908064</v>
      </c>
      <c r="B182" s="23" t="s">
        <v>6109</v>
      </c>
      <c r="C182" s="23">
        <v>2.79</v>
      </c>
      <c r="D182" s="23">
        <v>354385</v>
      </c>
      <c r="E182" s="24">
        <v>44277.403807870367</v>
      </c>
      <c r="F182" s="140">
        <v>4014</v>
      </c>
    </row>
    <row r="183" spans="1:6" x14ac:dyDescent="0.25">
      <c r="A183" s="23"/>
      <c r="B183" s="140">
        <v>16</v>
      </c>
      <c r="C183" s="140">
        <f>SUM(C179:C182)</f>
        <v>38.880000000000003</v>
      </c>
      <c r="D183" s="23"/>
      <c r="E183" s="24"/>
      <c r="F183" s="140"/>
    </row>
    <row r="184" spans="1:6" x14ac:dyDescent="0.25">
      <c r="A184" s="23"/>
      <c r="B184" s="23"/>
      <c r="C184" s="23"/>
      <c r="D184" s="23"/>
      <c r="E184" s="24"/>
      <c r="F184" s="140"/>
    </row>
    <row r="185" spans="1:6" x14ac:dyDescent="0.25">
      <c r="A185" s="23" t="str">
        <f>"3902131"</f>
        <v>3902131</v>
      </c>
      <c r="B185" s="23" t="s">
        <v>6110</v>
      </c>
      <c r="C185" s="23">
        <v>11.29</v>
      </c>
      <c r="D185" s="23">
        <v>356344</v>
      </c>
      <c r="E185" s="24">
        <v>44279.562245370369</v>
      </c>
      <c r="F185" s="140">
        <v>4058</v>
      </c>
    </row>
    <row r="186" spans="1:6" x14ac:dyDescent="0.25">
      <c r="A186" s="23" t="str">
        <f>"3930030"</f>
        <v>3930030</v>
      </c>
      <c r="B186" s="23" t="s">
        <v>1111</v>
      </c>
      <c r="C186" s="23">
        <v>2.6</v>
      </c>
      <c r="D186" s="23">
        <v>356322</v>
      </c>
      <c r="E186" s="24">
        <v>44279.691932870373</v>
      </c>
      <c r="F186" s="140">
        <v>4059</v>
      </c>
    </row>
    <row r="187" spans="1:6" x14ac:dyDescent="0.25">
      <c r="A187" s="23" t="str">
        <f>"3908224"</f>
        <v>3908224</v>
      </c>
      <c r="B187" s="23" t="s">
        <v>1104</v>
      </c>
      <c r="C187" s="23">
        <v>5.18</v>
      </c>
      <c r="D187" s="23">
        <v>357423</v>
      </c>
      <c r="E187" s="24">
        <v>44279.759050925924</v>
      </c>
      <c r="F187" s="140">
        <v>4060</v>
      </c>
    </row>
    <row r="188" spans="1:6" x14ac:dyDescent="0.25">
      <c r="A188" s="23" t="str">
        <f>"3945401"</f>
        <v>3945401</v>
      </c>
      <c r="B188" s="23" t="s">
        <v>633</v>
      </c>
      <c r="C188" s="23">
        <v>8.3800000000000008</v>
      </c>
      <c r="D188" s="23">
        <v>355906</v>
      </c>
      <c r="E188" s="24">
        <v>44279.854803240742</v>
      </c>
      <c r="F188" s="140">
        <v>4061</v>
      </c>
    </row>
    <row r="189" spans="1:6" x14ac:dyDescent="0.25">
      <c r="A189" s="23"/>
      <c r="B189" s="140">
        <v>17</v>
      </c>
      <c r="C189" s="140">
        <f>SUM(C185:C188)</f>
        <v>27.450000000000003</v>
      </c>
      <c r="D189" s="23"/>
      <c r="E189" s="24"/>
      <c r="F189" s="140"/>
    </row>
    <row r="190" spans="1:6" x14ac:dyDescent="0.25">
      <c r="A190" s="23"/>
      <c r="B190" s="23"/>
      <c r="C190" s="23"/>
      <c r="D190" s="23"/>
      <c r="E190" s="24"/>
      <c r="F190" s="140"/>
    </row>
    <row r="191" spans="1:6" x14ac:dyDescent="0.25">
      <c r="A191" s="23" t="s">
        <v>823</v>
      </c>
      <c r="B191" s="23" t="s">
        <v>6111</v>
      </c>
      <c r="C191" s="23">
        <v>17.899999999999999</v>
      </c>
      <c r="D191" s="23">
        <v>355845</v>
      </c>
      <c r="E191" s="24">
        <v>44280.370949074073</v>
      </c>
      <c r="F191" s="140">
        <v>4123</v>
      </c>
    </row>
    <row r="192" spans="1:6" x14ac:dyDescent="0.25">
      <c r="A192" s="23" t="s">
        <v>6112</v>
      </c>
      <c r="B192" s="23" t="s">
        <v>555</v>
      </c>
      <c r="C192" s="23">
        <v>16.760000000000002</v>
      </c>
      <c r="D192" s="23">
        <v>355955</v>
      </c>
      <c r="E192" s="24">
        <v>44280.400833333333</v>
      </c>
      <c r="F192" s="140">
        <v>4124</v>
      </c>
    </row>
    <row r="193" spans="1:6" x14ac:dyDescent="0.25">
      <c r="A193" s="23" t="s">
        <v>6113</v>
      </c>
      <c r="B193" s="23" t="s">
        <v>611</v>
      </c>
      <c r="C193" s="23">
        <v>1.94</v>
      </c>
      <c r="D193" s="23">
        <v>355635</v>
      </c>
      <c r="E193" s="24">
        <v>44280.404976851853</v>
      </c>
      <c r="F193" s="140">
        <v>4125</v>
      </c>
    </row>
    <row r="194" spans="1:6" x14ac:dyDescent="0.25">
      <c r="A194" s="23" t="s">
        <v>6114</v>
      </c>
      <c r="B194" s="23" t="s">
        <v>1119</v>
      </c>
      <c r="C194" s="23">
        <v>5.01</v>
      </c>
      <c r="D194" s="23">
        <v>355521</v>
      </c>
      <c r="E194" s="24">
        <v>44280.417685185188</v>
      </c>
      <c r="F194" s="140">
        <v>4126</v>
      </c>
    </row>
    <row r="195" spans="1:6" x14ac:dyDescent="0.25">
      <c r="A195" s="23" t="s">
        <v>6115</v>
      </c>
      <c r="B195" s="23" t="s">
        <v>3565</v>
      </c>
      <c r="C195" s="23">
        <v>9.24</v>
      </c>
      <c r="D195" s="23">
        <v>356463</v>
      </c>
      <c r="E195" s="24">
        <v>44280.423819444448</v>
      </c>
      <c r="F195" s="140">
        <v>4127</v>
      </c>
    </row>
    <row r="196" spans="1:6" x14ac:dyDescent="0.25">
      <c r="A196" s="23" t="s">
        <v>6116</v>
      </c>
      <c r="B196" s="23" t="s">
        <v>3790</v>
      </c>
      <c r="C196" s="23">
        <v>1.75</v>
      </c>
      <c r="D196" s="23">
        <v>356826</v>
      </c>
      <c r="E196" s="24">
        <v>44280.434328703705</v>
      </c>
      <c r="F196" s="140">
        <v>4128</v>
      </c>
    </row>
    <row r="197" spans="1:6" x14ac:dyDescent="0.25">
      <c r="A197" s="23" t="s">
        <v>4494</v>
      </c>
      <c r="B197" s="23" t="s">
        <v>6117</v>
      </c>
      <c r="C197" s="23">
        <v>4.1900000000000004</v>
      </c>
      <c r="D197" s="23">
        <v>355986</v>
      </c>
      <c r="E197" s="24">
        <v>44280.447025462963</v>
      </c>
      <c r="F197" s="140">
        <v>4129</v>
      </c>
    </row>
    <row r="198" spans="1:6" x14ac:dyDescent="0.25">
      <c r="A198" s="23" t="s">
        <v>6118</v>
      </c>
      <c r="B198" s="23" t="s">
        <v>1120</v>
      </c>
      <c r="C198" s="23">
        <v>1.68</v>
      </c>
      <c r="D198" s="23">
        <v>356319</v>
      </c>
      <c r="E198" s="24">
        <v>44280.47146990741</v>
      </c>
      <c r="F198" s="140">
        <v>4130</v>
      </c>
    </row>
    <row r="199" spans="1:6" x14ac:dyDescent="0.25">
      <c r="A199" s="23" t="s">
        <v>6119</v>
      </c>
      <c r="B199" s="23" t="s">
        <v>606</v>
      </c>
      <c r="C199" s="23">
        <v>1.68</v>
      </c>
      <c r="D199" s="23">
        <v>356939</v>
      </c>
      <c r="E199" s="24">
        <v>44280.570740740739</v>
      </c>
      <c r="F199" s="140">
        <v>4131</v>
      </c>
    </row>
    <row r="200" spans="1:6" x14ac:dyDescent="0.25">
      <c r="A200" s="23" t="s">
        <v>6120</v>
      </c>
      <c r="B200" s="23" t="s">
        <v>606</v>
      </c>
      <c r="C200" s="23">
        <v>6.15</v>
      </c>
      <c r="D200" s="23">
        <v>356938</v>
      </c>
      <c r="E200" s="24">
        <v>44280.571180555555</v>
      </c>
      <c r="F200" s="140">
        <v>4132</v>
      </c>
    </row>
    <row r="201" spans="1:6" x14ac:dyDescent="0.25">
      <c r="A201" s="23" t="s">
        <v>1180</v>
      </c>
      <c r="B201" s="23" t="s">
        <v>3567</v>
      </c>
      <c r="C201" s="23">
        <v>3.52</v>
      </c>
      <c r="D201" s="23">
        <v>357001</v>
      </c>
      <c r="E201" s="24">
        <v>44280.657210648147</v>
      </c>
      <c r="F201" s="140">
        <v>4133</v>
      </c>
    </row>
    <row r="202" spans="1:6" x14ac:dyDescent="0.25">
      <c r="A202" s="23" t="s">
        <v>6121</v>
      </c>
      <c r="B202" s="23" t="s">
        <v>1087</v>
      </c>
      <c r="C202" s="23">
        <v>3.36</v>
      </c>
      <c r="D202" s="23">
        <v>356818</v>
      </c>
      <c r="E202" s="24">
        <v>44280.706562500003</v>
      </c>
      <c r="F202" s="140">
        <v>4134</v>
      </c>
    </row>
    <row r="203" spans="1:6" x14ac:dyDescent="0.25">
      <c r="A203" s="23"/>
      <c r="B203" s="140">
        <v>18</v>
      </c>
      <c r="C203" s="140">
        <f>SUM(C191:C202)</f>
        <v>73.179999999999993</v>
      </c>
      <c r="D203" s="23"/>
      <c r="E203" s="24"/>
      <c r="F203" s="140"/>
    </row>
    <row r="204" spans="1:6" x14ac:dyDescent="0.25">
      <c r="A204" s="23"/>
      <c r="B204" s="23"/>
      <c r="C204" s="23"/>
      <c r="D204" s="23"/>
      <c r="E204" s="24"/>
      <c r="F204" s="140"/>
    </row>
    <row r="205" spans="1:6" x14ac:dyDescent="0.25">
      <c r="A205" s="23" t="str">
        <f>"3908129"</f>
        <v>3908129</v>
      </c>
      <c r="B205" s="23" t="s">
        <v>1105</v>
      </c>
      <c r="C205" s="23">
        <v>2.78</v>
      </c>
      <c r="D205" s="23">
        <v>357382</v>
      </c>
      <c r="E205" s="24">
        <v>44281.297476851854</v>
      </c>
      <c r="F205" s="140">
        <v>4204</v>
      </c>
    </row>
    <row r="206" spans="1:6" x14ac:dyDescent="0.25">
      <c r="A206" s="23" t="str">
        <f>"3908293"</f>
        <v>3908293</v>
      </c>
      <c r="B206" s="23" t="s">
        <v>1564</v>
      </c>
      <c r="C206" s="23">
        <v>1.68</v>
      </c>
      <c r="D206" s="23">
        <v>357466</v>
      </c>
      <c r="E206" s="24">
        <v>44281.456678240742</v>
      </c>
      <c r="F206" s="140">
        <v>4205</v>
      </c>
    </row>
    <row r="207" spans="1:6" x14ac:dyDescent="0.25">
      <c r="A207" s="23" t="str">
        <f>"3903866"</f>
        <v>3903866</v>
      </c>
      <c r="B207" s="23" t="s">
        <v>3775</v>
      </c>
      <c r="C207" s="23">
        <v>4.71</v>
      </c>
      <c r="D207" s="23">
        <v>357210</v>
      </c>
      <c r="E207" s="24">
        <v>44281.475185185183</v>
      </c>
      <c r="F207" s="140">
        <v>4206</v>
      </c>
    </row>
    <row r="208" spans="1:6" x14ac:dyDescent="0.25">
      <c r="A208" s="23" t="str">
        <f>"3903101"</f>
        <v>3903101</v>
      </c>
      <c r="B208" s="23" t="s">
        <v>6122</v>
      </c>
      <c r="C208" s="23">
        <v>3.55</v>
      </c>
      <c r="D208" s="23">
        <v>356074</v>
      </c>
      <c r="E208" s="24">
        <v>44281.484490740739</v>
      </c>
      <c r="F208" s="140">
        <v>4207</v>
      </c>
    </row>
    <row r="209" spans="1:6" x14ac:dyDescent="0.25">
      <c r="A209" s="23" t="str">
        <f>"3930201"</f>
        <v>3930201</v>
      </c>
      <c r="B209" s="23" t="s">
        <v>3566</v>
      </c>
      <c r="C209" s="23">
        <v>7.47</v>
      </c>
      <c r="D209" s="23">
        <v>355549</v>
      </c>
      <c r="E209" s="24">
        <v>44281.613449074073</v>
      </c>
      <c r="F209" s="140">
        <v>4208</v>
      </c>
    </row>
    <row r="210" spans="1:6" x14ac:dyDescent="0.25">
      <c r="A210" s="23" t="str">
        <f>"3930293"</f>
        <v>3930293</v>
      </c>
      <c r="B210" s="23" t="s">
        <v>3782</v>
      </c>
      <c r="C210" s="23">
        <v>4.3499999999999996</v>
      </c>
      <c r="D210" s="23">
        <v>355573</v>
      </c>
      <c r="E210" s="24">
        <v>44281.64329861111</v>
      </c>
      <c r="F210" s="140">
        <v>4209</v>
      </c>
    </row>
    <row r="211" spans="1:6" x14ac:dyDescent="0.25">
      <c r="A211" s="23" t="str">
        <f>"3909086"</f>
        <v>3909086</v>
      </c>
      <c r="B211" s="23" t="s">
        <v>3759</v>
      </c>
      <c r="C211" s="23">
        <v>2.68</v>
      </c>
      <c r="D211" s="23">
        <v>356601</v>
      </c>
      <c r="E211" s="24">
        <v>44281.661365740743</v>
      </c>
      <c r="F211" s="140">
        <v>4210</v>
      </c>
    </row>
    <row r="212" spans="1:6" x14ac:dyDescent="0.25">
      <c r="A212" s="23"/>
      <c r="B212" s="140">
        <v>19</v>
      </c>
      <c r="C212" s="140">
        <f>SUM(C205:C211)</f>
        <v>27.22</v>
      </c>
      <c r="D212" s="23"/>
      <c r="E212" s="24"/>
      <c r="F212" s="140"/>
    </row>
    <row r="213" spans="1:6" x14ac:dyDescent="0.25">
      <c r="A213" s="23"/>
      <c r="B213" s="23"/>
      <c r="C213" s="23"/>
      <c r="D213" s="23"/>
      <c r="E213" s="24"/>
      <c r="F213" s="140"/>
    </row>
    <row r="214" spans="1:6" x14ac:dyDescent="0.25">
      <c r="A214" s="23" t="str">
        <f>"3908875"</f>
        <v>3908875</v>
      </c>
      <c r="B214" s="23" t="s">
        <v>1095</v>
      </c>
      <c r="C214" s="23">
        <v>3.36</v>
      </c>
      <c r="D214" s="23">
        <v>356341</v>
      </c>
      <c r="E214" s="24">
        <v>44284.480891203704</v>
      </c>
      <c r="F214" s="140">
        <v>4300</v>
      </c>
    </row>
    <row r="215" spans="1:6" x14ac:dyDescent="0.25">
      <c r="A215" s="23" t="str">
        <f>"3908534"</f>
        <v>3908534</v>
      </c>
      <c r="B215" s="23" t="s">
        <v>3773</v>
      </c>
      <c r="C215" s="23">
        <v>0.24</v>
      </c>
      <c r="D215" s="23">
        <v>357643</v>
      </c>
      <c r="E215" s="24">
        <v>44284.570104166669</v>
      </c>
      <c r="F215" s="140">
        <v>4301</v>
      </c>
    </row>
    <row r="216" spans="1:6" x14ac:dyDescent="0.25">
      <c r="A216" s="23" t="str">
        <f>"3908292"</f>
        <v>3908292</v>
      </c>
      <c r="B216" s="23" t="s">
        <v>1567</v>
      </c>
      <c r="C216" s="23">
        <v>3.21</v>
      </c>
      <c r="D216" s="23">
        <v>357465</v>
      </c>
      <c r="E216" s="24">
        <v>44284.69804398148</v>
      </c>
      <c r="F216" s="140">
        <v>4302</v>
      </c>
    </row>
    <row r="217" spans="1:6" x14ac:dyDescent="0.25">
      <c r="A217" s="23" t="str">
        <f>"3900383"</f>
        <v>3900383</v>
      </c>
      <c r="B217" s="23" t="s">
        <v>634</v>
      </c>
      <c r="C217" s="23">
        <v>2.2999999999999998</v>
      </c>
      <c r="D217" s="23">
        <v>356956</v>
      </c>
      <c r="E217" s="24">
        <v>44284.836736111109</v>
      </c>
      <c r="F217" s="140">
        <v>4303</v>
      </c>
    </row>
    <row r="218" spans="1:6" x14ac:dyDescent="0.25">
      <c r="A218" s="23" t="str">
        <f>"3902757"</f>
        <v>3902757</v>
      </c>
      <c r="B218" s="23" t="s">
        <v>3801</v>
      </c>
      <c r="C218" s="23">
        <v>4</v>
      </c>
      <c r="D218" s="23">
        <v>357164</v>
      </c>
      <c r="E218" s="24">
        <v>44284.55064814815</v>
      </c>
      <c r="F218" s="140">
        <v>4304</v>
      </c>
    </row>
    <row r="219" spans="1:6" x14ac:dyDescent="0.25">
      <c r="A219" s="23"/>
      <c r="B219" s="140">
        <v>20</v>
      </c>
      <c r="C219" s="140">
        <f>SUM(C214:C218)</f>
        <v>13.11</v>
      </c>
      <c r="D219" s="23"/>
      <c r="E219" s="24"/>
      <c r="F219" s="140"/>
    </row>
    <row r="220" spans="1:6" x14ac:dyDescent="0.25">
      <c r="A220" s="23"/>
      <c r="B220" s="23"/>
      <c r="C220" s="23"/>
      <c r="D220" s="23"/>
      <c r="E220" s="24"/>
      <c r="F220" s="103"/>
    </row>
    <row r="221" spans="1:6" x14ac:dyDescent="0.25">
      <c r="A221" s="23" t="str">
        <f>"3930280"</f>
        <v>3930280</v>
      </c>
      <c r="B221" s="23" t="s">
        <v>637</v>
      </c>
      <c r="C221" s="23">
        <v>1.68</v>
      </c>
      <c r="D221" s="23">
        <v>356615</v>
      </c>
      <c r="E221" s="24">
        <v>44285.330196759256</v>
      </c>
      <c r="F221" s="85">
        <v>4366</v>
      </c>
    </row>
    <row r="222" spans="1:6" x14ac:dyDescent="0.25">
      <c r="A222" s="23" t="str">
        <f>"3920348"</f>
        <v>3920348</v>
      </c>
      <c r="B222" s="23" t="s">
        <v>3746</v>
      </c>
      <c r="C222" s="23">
        <v>8.3800000000000008</v>
      </c>
      <c r="D222" s="23">
        <v>355855</v>
      </c>
      <c r="E222" s="24">
        <v>44285.383009259262</v>
      </c>
      <c r="F222" s="85">
        <v>4367</v>
      </c>
    </row>
    <row r="223" spans="1:6" x14ac:dyDescent="0.25">
      <c r="A223" s="23" t="str">
        <f>"3901267"</f>
        <v>3901267</v>
      </c>
      <c r="B223" s="23" t="s">
        <v>556</v>
      </c>
      <c r="C223" s="23">
        <v>3.01</v>
      </c>
      <c r="D223" s="23">
        <v>357049</v>
      </c>
      <c r="E223" s="24">
        <v>44285.67454861111</v>
      </c>
      <c r="F223" s="85">
        <v>4368</v>
      </c>
    </row>
    <row r="224" spans="1:6" x14ac:dyDescent="0.25">
      <c r="A224" s="23" t="str">
        <f>"3903545"</f>
        <v>3903545</v>
      </c>
      <c r="B224" s="23" t="s">
        <v>603</v>
      </c>
      <c r="C224" s="23">
        <v>4.45</v>
      </c>
      <c r="D224" s="23">
        <v>356530</v>
      </c>
      <c r="E224" s="24">
        <v>44285.82403935185</v>
      </c>
      <c r="F224" s="85">
        <v>4369</v>
      </c>
    </row>
    <row r="225" spans="1:6" x14ac:dyDescent="0.25">
      <c r="A225" s="23" t="str">
        <f>"3930394"</f>
        <v>3930394</v>
      </c>
      <c r="B225" s="23" t="s">
        <v>558</v>
      </c>
      <c r="C225" s="23">
        <v>1.68</v>
      </c>
      <c r="D225" s="23">
        <v>356740</v>
      </c>
      <c r="E225" s="24">
        <v>44285.860590277778</v>
      </c>
      <c r="F225" s="85">
        <v>4370</v>
      </c>
    </row>
    <row r="226" spans="1:6" x14ac:dyDescent="0.25">
      <c r="A226" s="23" t="str">
        <f>"3960265"</f>
        <v>3960265</v>
      </c>
      <c r="B226" s="23" t="s">
        <v>638</v>
      </c>
      <c r="C226" s="23">
        <v>12.3</v>
      </c>
      <c r="D226" s="23">
        <v>355826</v>
      </c>
      <c r="E226" s="24">
        <v>44286.369895833333</v>
      </c>
      <c r="F226" s="85">
        <v>4463</v>
      </c>
    </row>
    <row r="227" spans="1:6" x14ac:dyDescent="0.25">
      <c r="A227" s="23" t="str">
        <f>"3903765"</f>
        <v>3903765</v>
      </c>
      <c r="B227" s="23" t="s">
        <v>3572</v>
      </c>
      <c r="C227" s="23">
        <v>1.1299999999999999</v>
      </c>
      <c r="D227" s="23">
        <v>356355</v>
      </c>
      <c r="E227" s="24">
        <v>44286.398819444446</v>
      </c>
      <c r="F227" s="85">
        <v>4464</v>
      </c>
    </row>
    <row r="228" spans="1:6" x14ac:dyDescent="0.25">
      <c r="A228" s="23" t="str">
        <f>"3940887"</f>
        <v>3940887</v>
      </c>
      <c r="B228" s="23" t="s">
        <v>623</v>
      </c>
      <c r="C228" s="23">
        <v>17.899999999999999</v>
      </c>
      <c r="D228" s="23">
        <v>355851</v>
      </c>
      <c r="E228" s="24">
        <v>44286.539826388886</v>
      </c>
      <c r="F228" s="85">
        <v>4465</v>
      </c>
    </row>
    <row r="229" spans="1:6" x14ac:dyDescent="0.25">
      <c r="A229" s="23" t="str">
        <f>"3901332"</f>
        <v>3901332</v>
      </c>
      <c r="B229" s="23" t="s">
        <v>6123</v>
      </c>
      <c r="C229" s="23">
        <v>9.2799999999999994</v>
      </c>
      <c r="D229" s="23">
        <v>356761</v>
      </c>
      <c r="E229" s="24">
        <v>44286.584733796299</v>
      </c>
      <c r="F229" s="85">
        <v>4466</v>
      </c>
    </row>
    <row r="230" spans="1:6" x14ac:dyDescent="0.25">
      <c r="A230" s="23" t="str">
        <f>"3909033"</f>
        <v>3909033</v>
      </c>
      <c r="B230" s="23" t="s">
        <v>6091</v>
      </c>
      <c r="C230" s="23">
        <v>1.68</v>
      </c>
      <c r="D230" s="23">
        <v>356711</v>
      </c>
      <c r="E230" s="24">
        <v>44286.619131944448</v>
      </c>
      <c r="F230" s="85">
        <v>4467</v>
      </c>
    </row>
    <row r="231" spans="1:6" x14ac:dyDescent="0.25">
      <c r="A231" s="23" t="str">
        <f>"3906750"</f>
        <v>3906750</v>
      </c>
      <c r="B231" s="23" t="s">
        <v>616</v>
      </c>
      <c r="C231" s="23">
        <v>2.5099999999999998</v>
      </c>
      <c r="D231" s="23">
        <v>356548</v>
      </c>
      <c r="E231" s="24">
        <v>44286.692569444444</v>
      </c>
      <c r="F231" s="85">
        <v>4468</v>
      </c>
    </row>
    <row r="232" spans="1:6" x14ac:dyDescent="0.25">
      <c r="A232" s="23" t="str">
        <f>"3909959"</f>
        <v>3909959</v>
      </c>
      <c r="B232" s="23" t="s">
        <v>3802</v>
      </c>
      <c r="C232" s="23">
        <v>4.21</v>
      </c>
      <c r="D232" s="23">
        <v>356242</v>
      </c>
      <c r="E232" s="24">
        <v>44286.791990740741</v>
      </c>
      <c r="F232" s="85">
        <v>4469</v>
      </c>
    </row>
    <row r="233" spans="1:6" x14ac:dyDescent="0.25">
      <c r="A233" s="23"/>
      <c r="B233" s="145">
        <v>21</v>
      </c>
      <c r="C233" s="189">
        <f>SUM(C221:C232)</f>
        <v>68.209999999999994</v>
      </c>
      <c r="D233" s="23"/>
      <c r="E233" s="24"/>
      <c r="F233" s="85"/>
    </row>
    <row r="234" spans="1:6" x14ac:dyDescent="0.25">
      <c r="A234" s="23"/>
      <c r="B234" s="23"/>
      <c r="C234" s="23"/>
      <c r="D234" s="23"/>
      <c r="E234" s="24"/>
      <c r="F234" s="85"/>
    </row>
    <row r="235" spans="1:6" x14ac:dyDescent="0.25">
      <c r="A235" s="23"/>
      <c r="B235" s="23"/>
      <c r="C235" s="23"/>
      <c r="D235" s="23"/>
      <c r="E235" s="24"/>
      <c r="F235" s="85"/>
    </row>
    <row r="236" spans="1:6" x14ac:dyDescent="0.25">
      <c r="A236" s="23"/>
      <c r="B236" s="23"/>
      <c r="C236" s="23"/>
      <c r="D236" s="23"/>
      <c r="E236" s="24"/>
      <c r="F236" s="85"/>
    </row>
    <row r="237" spans="1:6" x14ac:dyDescent="0.25">
      <c r="A237" s="23"/>
      <c r="B237" s="23"/>
      <c r="C237" s="23"/>
      <c r="D237" s="23"/>
      <c r="E237" s="24"/>
      <c r="F237" s="85"/>
    </row>
  </sheetData>
  <mergeCells count="1">
    <mergeCell ref="A1:F1"/>
  </mergeCells>
  <pageMargins left="0.70866141732283472" right="0.70866141732283472" top="0.74803149606299213" bottom="0.74803149606299213" header="0.31496062992125984" footer="0.31496062992125984"/>
  <pageSetup paperSize="9" scale="85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C0384-F22D-40D7-9294-F17ECEB2713B}">
  <sheetPr>
    <pageSetUpPr fitToPage="1"/>
  </sheetPr>
  <dimension ref="A1:N752"/>
  <sheetViews>
    <sheetView topLeftCell="A442" zoomScale="106" zoomScaleNormal="106" workbookViewId="0">
      <selection activeCell="J176" sqref="J176"/>
    </sheetView>
  </sheetViews>
  <sheetFormatPr baseColWidth="10" defaultRowHeight="15" x14ac:dyDescent="0.25"/>
  <cols>
    <col min="3" max="3" width="19.140625" customWidth="1"/>
    <col min="4" max="4" width="12.42578125" customWidth="1"/>
    <col min="5" max="5" width="11.42578125" style="146"/>
    <col min="6" max="6" width="13.85546875" customWidth="1"/>
  </cols>
  <sheetData>
    <row r="1" spans="1:8" ht="15.75" thickBot="1" x14ac:dyDescent="0.3">
      <c r="A1" s="295" t="s">
        <v>5072</v>
      </c>
      <c r="B1" s="296"/>
      <c r="C1" s="296"/>
      <c r="D1" s="296"/>
      <c r="E1" s="296"/>
      <c r="F1" s="296"/>
      <c r="G1" s="96"/>
      <c r="H1" s="97"/>
    </row>
    <row r="2" spans="1:8" s="179" customFormat="1" ht="14.25" customHeight="1" x14ac:dyDescent="0.25">
      <c r="A2" s="174" t="s">
        <v>1080</v>
      </c>
      <c r="B2" s="175" t="s">
        <v>1079</v>
      </c>
      <c r="C2" s="175" t="s">
        <v>1078</v>
      </c>
      <c r="D2" s="175" t="s">
        <v>525</v>
      </c>
      <c r="E2" s="176" t="s">
        <v>1077</v>
      </c>
      <c r="F2" s="175" t="s">
        <v>1076</v>
      </c>
      <c r="G2" s="177" t="s">
        <v>1075</v>
      </c>
      <c r="H2" s="178" t="s">
        <v>545</v>
      </c>
    </row>
    <row r="3" spans="1:8" s="179" customFormat="1" ht="14.25" customHeight="1" x14ac:dyDescent="0.25">
      <c r="A3" s="180" t="s">
        <v>4930</v>
      </c>
      <c r="B3" s="180" t="s">
        <v>4931</v>
      </c>
      <c r="C3" s="180" t="s">
        <v>4932</v>
      </c>
      <c r="D3" s="180" t="s">
        <v>4933</v>
      </c>
      <c r="E3" s="181">
        <v>5.27</v>
      </c>
      <c r="F3" s="180" t="s">
        <v>4934</v>
      </c>
      <c r="G3" s="180" t="s">
        <v>640</v>
      </c>
      <c r="H3" s="84">
        <v>2691</v>
      </c>
    </row>
    <row r="4" spans="1:8" s="179" customFormat="1" ht="14.25" customHeight="1" x14ac:dyDescent="0.25">
      <c r="A4" s="180" t="s">
        <v>4930</v>
      </c>
      <c r="B4" s="180" t="s">
        <v>4935</v>
      </c>
      <c r="C4" s="180" t="s">
        <v>4936</v>
      </c>
      <c r="D4" s="180" t="s">
        <v>3583</v>
      </c>
      <c r="E4" s="181">
        <v>21.43</v>
      </c>
      <c r="F4" s="180" t="s">
        <v>3584</v>
      </c>
      <c r="G4" s="180" t="s">
        <v>640</v>
      </c>
      <c r="H4" s="84">
        <v>2692</v>
      </c>
    </row>
    <row r="5" spans="1:8" s="179" customFormat="1" ht="14.25" customHeight="1" x14ac:dyDescent="0.25">
      <c r="A5" s="180" t="s">
        <v>4930</v>
      </c>
      <c r="B5" s="180" t="s">
        <v>4937</v>
      </c>
      <c r="C5" s="180" t="s">
        <v>4938</v>
      </c>
      <c r="D5" s="180" t="s">
        <v>4939</v>
      </c>
      <c r="E5" s="181">
        <v>5.04</v>
      </c>
      <c r="F5" s="180" t="s">
        <v>4940</v>
      </c>
      <c r="G5" s="180" t="s">
        <v>640</v>
      </c>
      <c r="H5" s="84">
        <v>2693</v>
      </c>
    </row>
    <row r="6" spans="1:8" s="179" customFormat="1" ht="14.25" customHeight="1" x14ac:dyDescent="0.25">
      <c r="A6" s="180" t="s">
        <v>4930</v>
      </c>
      <c r="B6" s="180" t="s">
        <v>4941</v>
      </c>
      <c r="C6" s="180" t="s">
        <v>4942</v>
      </c>
      <c r="D6" s="180" t="s">
        <v>1343</v>
      </c>
      <c r="E6" s="181">
        <v>3.89</v>
      </c>
      <c r="F6" s="180" t="s">
        <v>1342</v>
      </c>
      <c r="G6" s="180" t="s">
        <v>640</v>
      </c>
      <c r="H6" s="84">
        <v>2694</v>
      </c>
    </row>
    <row r="7" spans="1:8" s="179" customFormat="1" ht="14.25" customHeight="1" x14ac:dyDescent="0.25">
      <c r="A7" s="180" t="s">
        <v>4930</v>
      </c>
      <c r="B7" s="180" t="s">
        <v>4943</v>
      </c>
      <c r="C7" s="180" t="s">
        <v>4944</v>
      </c>
      <c r="D7" s="180" t="s">
        <v>1146</v>
      </c>
      <c r="E7" s="181">
        <v>14.74</v>
      </c>
      <c r="F7" s="180" t="s">
        <v>673</v>
      </c>
      <c r="G7" s="180" t="s">
        <v>640</v>
      </c>
      <c r="H7" s="84">
        <v>2695</v>
      </c>
    </row>
    <row r="8" spans="1:8" s="179" customFormat="1" ht="14.25" customHeight="1" x14ac:dyDescent="0.25">
      <c r="A8" s="180" t="s">
        <v>4930</v>
      </c>
      <c r="B8" s="180" t="s">
        <v>4945</v>
      </c>
      <c r="C8" s="180" t="s">
        <v>4946</v>
      </c>
      <c r="D8" s="180" t="s">
        <v>1456</v>
      </c>
      <c r="E8" s="181">
        <v>3.9</v>
      </c>
      <c r="F8" s="180" t="s">
        <v>1455</v>
      </c>
      <c r="G8" s="180" t="s">
        <v>640</v>
      </c>
      <c r="H8" s="84">
        <v>2696</v>
      </c>
    </row>
    <row r="9" spans="1:8" s="179" customFormat="1" ht="14.25" customHeight="1" x14ac:dyDescent="0.25">
      <c r="A9" s="180" t="s">
        <v>4930</v>
      </c>
      <c r="B9" s="180" t="s">
        <v>4947</v>
      </c>
      <c r="C9" s="180" t="s">
        <v>4948</v>
      </c>
      <c r="D9" s="180" t="s">
        <v>3959</v>
      </c>
      <c r="E9" s="181">
        <v>2.35</v>
      </c>
      <c r="F9" s="180" t="s">
        <v>3960</v>
      </c>
      <c r="G9" s="180" t="s">
        <v>640</v>
      </c>
      <c r="H9" s="84">
        <v>2697</v>
      </c>
    </row>
    <row r="10" spans="1:8" s="179" customFormat="1" ht="14.25" customHeight="1" x14ac:dyDescent="0.25">
      <c r="A10" s="180" t="s">
        <v>4930</v>
      </c>
      <c r="B10" s="180" t="s">
        <v>4949</v>
      </c>
      <c r="C10" s="180" t="s">
        <v>4950</v>
      </c>
      <c r="D10" s="180" t="s">
        <v>4951</v>
      </c>
      <c r="E10" s="181">
        <v>5.08</v>
      </c>
      <c r="F10" s="180" t="s">
        <v>4952</v>
      </c>
      <c r="G10" s="180" t="s">
        <v>640</v>
      </c>
      <c r="H10" s="84">
        <v>2698</v>
      </c>
    </row>
    <row r="11" spans="1:8" s="179" customFormat="1" ht="14.25" customHeight="1" x14ac:dyDescent="0.25">
      <c r="A11" s="180" t="s">
        <v>4930</v>
      </c>
      <c r="B11" s="180" t="s">
        <v>4953</v>
      </c>
      <c r="C11" s="180" t="s">
        <v>4954</v>
      </c>
      <c r="D11" s="180" t="s">
        <v>4955</v>
      </c>
      <c r="E11" s="181">
        <v>6.31</v>
      </c>
      <c r="F11" s="180" t="s">
        <v>4956</v>
      </c>
      <c r="G11" s="180" t="s">
        <v>640</v>
      </c>
      <c r="H11" s="84">
        <v>2706</v>
      </c>
    </row>
    <row r="12" spans="1:8" s="179" customFormat="1" ht="14.25" customHeight="1" x14ac:dyDescent="0.25">
      <c r="A12" s="180" t="s">
        <v>4930</v>
      </c>
      <c r="B12" s="180" t="s">
        <v>4957</v>
      </c>
      <c r="C12" s="180" t="s">
        <v>4958</v>
      </c>
      <c r="D12" s="180" t="s">
        <v>946</v>
      </c>
      <c r="E12" s="181">
        <v>6.24</v>
      </c>
      <c r="F12" s="180" t="s">
        <v>945</v>
      </c>
      <c r="G12" s="180" t="s">
        <v>640</v>
      </c>
      <c r="H12" s="84">
        <v>2707</v>
      </c>
    </row>
    <row r="13" spans="1:8" s="179" customFormat="1" ht="14.25" customHeight="1" x14ac:dyDescent="0.25">
      <c r="A13" s="180" t="s">
        <v>4930</v>
      </c>
      <c r="B13" s="180" t="s">
        <v>4959</v>
      </c>
      <c r="C13" s="180" t="s">
        <v>4960</v>
      </c>
      <c r="D13" s="180" t="s">
        <v>3819</v>
      </c>
      <c r="E13" s="181">
        <v>6.84</v>
      </c>
      <c r="F13" s="180" t="s">
        <v>3820</v>
      </c>
      <c r="G13" s="180" t="s">
        <v>640</v>
      </c>
      <c r="H13" s="84">
        <v>2708</v>
      </c>
    </row>
    <row r="14" spans="1:8" s="179" customFormat="1" ht="14.25" customHeight="1" x14ac:dyDescent="0.25">
      <c r="A14" s="180" t="s">
        <v>4930</v>
      </c>
      <c r="B14" s="180" t="s">
        <v>4961</v>
      </c>
      <c r="C14" s="180" t="s">
        <v>4962</v>
      </c>
      <c r="D14" s="180" t="s">
        <v>948</v>
      </c>
      <c r="E14" s="181">
        <v>1.68</v>
      </c>
      <c r="F14" s="180" t="s">
        <v>947</v>
      </c>
      <c r="G14" s="180" t="s">
        <v>640</v>
      </c>
      <c r="H14" s="84">
        <v>2732</v>
      </c>
    </row>
    <row r="15" spans="1:8" s="179" customFormat="1" ht="14.25" customHeight="1" x14ac:dyDescent="0.25">
      <c r="A15" s="180" t="s">
        <v>4930</v>
      </c>
      <c r="B15" s="180" t="s">
        <v>4963</v>
      </c>
      <c r="C15" s="180" t="s">
        <v>4964</v>
      </c>
      <c r="D15" s="180" t="s">
        <v>654</v>
      </c>
      <c r="E15" s="181">
        <v>1.7</v>
      </c>
      <c r="F15" s="180" t="s">
        <v>653</v>
      </c>
      <c r="G15" s="180" t="s">
        <v>640</v>
      </c>
      <c r="H15" s="84">
        <v>2733</v>
      </c>
    </row>
    <row r="16" spans="1:8" s="179" customFormat="1" ht="14.25" customHeight="1" x14ac:dyDescent="0.25">
      <c r="A16" s="180" t="s">
        <v>4930</v>
      </c>
      <c r="B16" s="180" t="s">
        <v>3301</v>
      </c>
      <c r="C16" s="180" t="s">
        <v>4965</v>
      </c>
      <c r="D16" s="180" t="s">
        <v>3393</v>
      </c>
      <c r="E16" s="181">
        <v>0.62</v>
      </c>
      <c r="F16" s="180" t="s">
        <v>3394</v>
      </c>
      <c r="G16" s="180" t="s">
        <v>640</v>
      </c>
      <c r="H16" s="84">
        <v>2734</v>
      </c>
    </row>
    <row r="17" spans="1:8" s="179" customFormat="1" ht="14.25" customHeight="1" x14ac:dyDescent="0.25">
      <c r="A17" s="180" t="s">
        <v>4930</v>
      </c>
      <c r="B17" s="180" t="s">
        <v>4966</v>
      </c>
      <c r="C17" s="180" t="s">
        <v>4967</v>
      </c>
      <c r="D17" s="180" t="s">
        <v>4968</v>
      </c>
      <c r="E17" s="181">
        <v>7.25</v>
      </c>
      <c r="F17" s="180" t="s">
        <v>4969</v>
      </c>
      <c r="G17" s="180" t="s">
        <v>640</v>
      </c>
      <c r="H17" s="84">
        <v>2735</v>
      </c>
    </row>
    <row r="18" spans="1:8" s="179" customFormat="1" ht="14.25" customHeight="1" x14ac:dyDescent="0.25">
      <c r="A18" s="180" t="s">
        <v>4930</v>
      </c>
      <c r="B18" s="180" t="s">
        <v>4970</v>
      </c>
      <c r="C18" s="180" t="s">
        <v>4971</v>
      </c>
      <c r="D18" s="180" t="s">
        <v>1007</v>
      </c>
      <c r="E18" s="181">
        <v>1.68</v>
      </c>
      <c r="F18" s="180" t="s">
        <v>1006</v>
      </c>
      <c r="G18" s="180" t="s">
        <v>640</v>
      </c>
      <c r="H18" s="84">
        <v>2736</v>
      </c>
    </row>
    <row r="19" spans="1:8" s="179" customFormat="1" ht="14.25" customHeight="1" x14ac:dyDescent="0.25">
      <c r="A19" s="180" t="s">
        <v>4930</v>
      </c>
      <c r="B19" s="180" t="s">
        <v>4972</v>
      </c>
      <c r="C19" s="180" t="s">
        <v>4973</v>
      </c>
      <c r="D19" s="180" t="s">
        <v>4974</v>
      </c>
      <c r="E19" s="181">
        <v>5.05</v>
      </c>
      <c r="F19" s="180" t="s">
        <v>4975</v>
      </c>
      <c r="G19" s="180" t="s">
        <v>640</v>
      </c>
      <c r="H19" s="84">
        <v>2737</v>
      </c>
    </row>
    <row r="20" spans="1:8" s="179" customFormat="1" ht="14.25" customHeight="1" x14ac:dyDescent="0.25">
      <c r="A20" s="180" t="s">
        <v>4930</v>
      </c>
      <c r="B20" s="180" t="s">
        <v>4976</v>
      </c>
      <c r="C20" s="180" t="s">
        <v>4977</v>
      </c>
      <c r="D20" s="180" t="s">
        <v>4618</v>
      </c>
      <c r="E20" s="181">
        <v>3.11</v>
      </c>
      <c r="F20" s="180" t="s">
        <v>4619</v>
      </c>
      <c r="G20" s="180" t="s">
        <v>640</v>
      </c>
      <c r="H20" s="84">
        <v>2738</v>
      </c>
    </row>
    <row r="21" spans="1:8" s="179" customFormat="1" ht="14.25" customHeight="1" x14ac:dyDescent="0.25">
      <c r="A21" s="180" t="s">
        <v>4930</v>
      </c>
      <c r="B21" s="180" t="s">
        <v>4978</v>
      </c>
      <c r="C21" s="180" t="s">
        <v>4979</v>
      </c>
      <c r="D21" s="180" t="s">
        <v>1359</v>
      </c>
      <c r="E21" s="181">
        <v>10.65</v>
      </c>
      <c r="F21" s="180" t="s">
        <v>1358</v>
      </c>
      <c r="G21" s="180" t="s">
        <v>640</v>
      </c>
      <c r="H21" s="84">
        <v>2739</v>
      </c>
    </row>
    <row r="22" spans="1:8" s="179" customFormat="1" ht="14.25" customHeight="1" x14ac:dyDescent="0.25">
      <c r="A22" s="180" t="s">
        <v>4930</v>
      </c>
      <c r="B22" s="180" t="s">
        <v>4980</v>
      </c>
      <c r="C22" s="180" t="s">
        <v>4981</v>
      </c>
      <c r="D22" s="180" t="s">
        <v>4982</v>
      </c>
      <c r="E22" s="181">
        <v>10.7</v>
      </c>
      <c r="F22" s="180" t="s">
        <v>4983</v>
      </c>
      <c r="G22" s="180" t="s">
        <v>640</v>
      </c>
      <c r="H22" s="84">
        <v>2740</v>
      </c>
    </row>
    <row r="23" spans="1:8" s="179" customFormat="1" ht="14.25" customHeight="1" x14ac:dyDescent="0.25">
      <c r="A23" s="180" t="s">
        <v>4930</v>
      </c>
      <c r="B23" s="180" t="s">
        <v>4984</v>
      </c>
      <c r="C23" s="180" t="s">
        <v>4985</v>
      </c>
      <c r="D23" s="180" t="s">
        <v>1235</v>
      </c>
      <c r="E23" s="181">
        <v>4.78</v>
      </c>
      <c r="F23" s="180" t="s">
        <v>1234</v>
      </c>
      <c r="G23" s="180" t="s">
        <v>640</v>
      </c>
      <c r="H23" s="84">
        <v>2741</v>
      </c>
    </row>
    <row r="24" spans="1:8" s="179" customFormat="1" ht="14.25" customHeight="1" x14ac:dyDescent="0.25">
      <c r="A24" s="180" t="s">
        <v>4930</v>
      </c>
      <c r="B24" s="180" t="s">
        <v>1495</v>
      </c>
      <c r="C24" s="180" t="s">
        <v>4986</v>
      </c>
      <c r="D24" s="180" t="s">
        <v>4987</v>
      </c>
      <c r="E24" s="181">
        <v>5.82</v>
      </c>
      <c r="F24" s="180" t="s">
        <v>4988</v>
      </c>
      <c r="G24" s="180" t="s">
        <v>640</v>
      </c>
      <c r="H24" s="84">
        <v>2742</v>
      </c>
    </row>
    <row r="25" spans="1:8" s="179" customFormat="1" ht="14.25" customHeight="1" x14ac:dyDescent="0.25">
      <c r="A25" s="180" t="s">
        <v>4930</v>
      </c>
      <c r="B25" s="180" t="s">
        <v>4989</v>
      </c>
      <c r="C25" s="180" t="s">
        <v>4990</v>
      </c>
      <c r="D25" s="180" t="s">
        <v>4991</v>
      </c>
      <c r="E25" s="181">
        <v>14.57</v>
      </c>
      <c r="F25" s="180" t="s">
        <v>4992</v>
      </c>
      <c r="G25" s="180" t="s">
        <v>640</v>
      </c>
      <c r="H25" s="84">
        <v>2743</v>
      </c>
    </row>
    <row r="26" spans="1:8" s="179" customFormat="1" ht="14.25" customHeight="1" x14ac:dyDescent="0.25">
      <c r="A26" s="180" t="s">
        <v>4930</v>
      </c>
      <c r="B26" s="180" t="s">
        <v>4993</v>
      </c>
      <c r="C26" s="180" t="s">
        <v>4994</v>
      </c>
      <c r="D26" s="180" t="s">
        <v>4995</v>
      </c>
      <c r="E26" s="181">
        <v>5.04</v>
      </c>
      <c r="F26" s="180" t="s">
        <v>4996</v>
      </c>
      <c r="G26" s="180" t="s">
        <v>640</v>
      </c>
      <c r="H26" s="84">
        <v>2744</v>
      </c>
    </row>
    <row r="27" spans="1:8" s="179" customFormat="1" ht="14.25" customHeight="1" x14ac:dyDescent="0.25">
      <c r="A27" s="180" t="s">
        <v>4930</v>
      </c>
      <c r="B27" s="180" t="s">
        <v>4997</v>
      </c>
      <c r="C27" s="180" t="s">
        <v>4998</v>
      </c>
      <c r="D27" s="180" t="s">
        <v>4999</v>
      </c>
      <c r="E27" s="181">
        <v>5.93</v>
      </c>
      <c r="F27" s="180" t="s">
        <v>5000</v>
      </c>
      <c r="G27" s="180" t="s">
        <v>640</v>
      </c>
      <c r="H27" s="84">
        <v>2745</v>
      </c>
    </row>
    <row r="28" spans="1:8" s="179" customFormat="1" ht="14.25" customHeight="1" x14ac:dyDescent="0.25">
      <c r="A28" s="180" t="s">
        <v>4930</v>
      </c>
      <c r="B28" s="180" t="s">
        <v>5001</v>
      </c>
      <c r="C28" s="180" t="s">
        <v>5002</v>
      </c>
      <c r="D28" s="180" t="s">
        <v>5003</v>
      </c>
      <c r="E28" s="181">
        <v>20.6</v>
      </c>
      <c r="F28" s="180" t="s">
        <v>5004</v>
      </c>
      <c r="G28" s="180" t="s">
        <v>640</v>
      </c>
      <c r="H28" s="84">
        <v>2746</v>
      </c>
    </row>
    <row r="29" spans="1:8" s="179" customFormat="1" ht="14.25" customHeight="1" x14ac:dyDescent="0.25">
      <c r="A29" s="180" t="s">
        <v>4930</v>
      </c>
      <c r="B29" s="180" t="s">
        <v>5005</v>
      </c>
      <c r="C29" s="180" t="s">
        <v>5006</v>
      </c>
      <c r="D29" s="180" t="s">
        <v>3036</v>
      </c>
      <c r="E29" s="181">
        <v>6.08</v>
      </c>
      <c r="F29" s="180" t="s">
        <v>3037</v>
      </c>
      <c r="G29" s="180" t="s">
        <v>640</v>
      </c>
      <c r="H29" s="84">
        <v>2747</v>
      </c>
    </row>
    <row r="30" spans="1:8" s="179" customFormat="1" ht="14.25" customHeight="1" x14ac:dyDescent="0.25">
      <c r="A30" s="180" t="s">
        <v>4930</v>
      </c>
      <c r="B30" s="180" t="s">
        <v>5007</v>
      </c>
      <c r="C30" s="180" t="s">
        <v>5008</v>
      </c>
      <c r="D30" s="180" t="s">
        <v>1152</v>
      </c>
      <c r="E30" s="181">
        <v>2.2200000000000002</v>
      </c>
      <c r="F30" s="180" t="s">
        <v>1151</v>
      </c>
      <c r="G30" s="180" t="s">
        <v>640</v>
      </c>
      <c r="H30" s="84">
        <v>2748</v>
      </c>
    </row>
    <row r="31" spans="1:8" s="179" customFormat="1" ht="14.25" customHeight="1" x14ac:dyDescent="0.25">
      <c r="A31" s="180" t="s">
        <v>4930</v>
      </c>
      <c r="B31" s="180" t="s">
        <v>5009</v>
      </c>
      <c r="C31" s="180" t="s">
        <v>5010</v>
      </c>
      <c r="D31" s="180" t="s">
        <v>648</v>
      </c>
      <c r="E31" s="181">
        <v>3.53</v>
      </c>
      <c r="F31" s="180" t="s">
        <v>647</v>
      </c>
      <c r="G31" s="180" t="s">
        <v>640</v>
      </c>
      <c r="H31" s="84">
        <v>2749</v>
      </c>
    </row>
    <row r="32" spans="1:8" s="179" customFormat="1" ht="14.25" customHeight="1" x14ac:dyDescent="0.25">
      <c r="A32" s="180" t="s">
        <v>4930</v>
      </c>
      <c r="B32" s="180" t="s">
        <v>5011</v>
      </c>
      <c r="C32" s="180" t="s">
        <v>5012</v>
      </c>
      <c r="D32" s="180" t="s">
        <v>823</v>
      </c>
      <c r="E32" s="181">
        <v>17.899999999999999</v>
      </c>
      <c r="F32" s="180" t="s">
        <v>822</v>
      </c>
      <c r="G32" s="180" t="s">
        <v>640</v>
      </c>
      <c r="H32" s="84">
        <v>2750</v>
      </c>
    </row>
    <row r="33" spans="1:8" s="179" customFormat="1" ht="14.25" customHeight="1" x14ac:dyDescent="0.25">
      <c r="A33" s="180" t="s">
        <v>4930</v>
      </c>
      <c r="B33" s="180" t="s">
        <v>5013</v>
      </c>
      <c r="C33" s="180" t="s">
        <v>5014</v>
      </c>
      <c r="D33" s="180" t="s">
        <v>5015</v>
      </c>
      <c r="E33" s="181">
        <v>4.01</v>
      </c>
      <c r="F33" s="180" t="s">
        <v>651</v>
      </c>
      <c r="G33" s="180" t="s">
        <v>640</v>
      </c>
      <c r="H33" s="84">
        <v>2752</v>
      </c>
    </row>
    <row r="34" spans="1:8" s="179" customFormat="1" ht="14.25" customHeight="1" x14ac:dyDescent="0.25">
      <c r="A34" s="180" t="s">
        <v>4930</v>
      </c>
      <c r="B34" s="180" t="s">
        <v>5016</v>
      </c>
      <c r="C34" s="180" t="s">
        <v>5017</v>
      </c>
      <c r="D34" s="180" t="s">
        <v>652</v>
      </c>
      <c r="E34" s="181">
        <v>1.99</v>
      </c>
      <c r="F34" s="180" t="s">
        <v>651</v>
      </c>
      <c r="G34" s="180" t="s">
        <v>640</v>
      </c>
      <c r="H34" s="84">
        <v>2753</v>
      </c>
    </row>
    <row r="35" spans="1:8" s="179" customFormat="1" ht="14.25" customHeight="1" x14ac:dyDescent="0.25">
      <c r="A35" s="180" t="s">
        <v>4930</v>
      </c>
      <c r="B35" s="180" t="s">
        <v>5018</v>
      </c>
      <c r="C35" s="180" t="s">
        <v>5019</v>
      </c>
      <c r="D35" s="180" t="s">
        <v>1205</v>
      </c>
      <c r="E35" s="181">
        <v>6.37</v>
      </c>
      <c r="F35" s="180" t="s">
        <v>1204</v>
      </c>
      <c r="G35" s="180" t="s">
        <v>640</v>
      </c>
      <c r="H35" s="84">
        <v>2754</v>
      </c>
    </row>
    <row r="36" spans="1:8" s="179" customFormat="1" ht="14.25" customHeight="1" x14ac:dyDescent="0.25">
      <c r="A36" s="180" t="s">
        <v>5020</v>
      </c>
      <c r="B36" s="180" t="s">
        <v>5021</v>
      </c>
      <c r="C36" s="180" t="s">
        <v>5022</v>
      </c>
      <c r="D36" s="180" t="s">
        <v>1145</v>
      </c>
      <c r="E36" s="181">
        <v>2.12</v>
      </c>
      <c r="F36" s="180" t="s">
        <v>1144</v>
      </c>
      <c r="G36" s="180" t="s">
        <v>640</v>
      </c>
      <c r="H36" s="84">
        <v>2755</v>
      </c>
    </row>
    <row r="37" spans="1:8" s="179" customFormat="1" ht="14.25" customHeight="1" x14ac:dyDescent="0.25">
      <c r="A37" s="180" t="s">
        <v>5020</v>
      </c>
      <c r="B37" s="180" t="s">
        <v>5023</v>
      </c>
      <c r="C37" s="180" t="s">
        <v>5024</v>
      </c>
      <c r="D37" s="180" t="s">
        <v>5025</v>
      </c>
      <c r="E37" s="181">
        <v>8.8699999999999992</v>
      </c>
      <c r="F37" s="180" t="s">
        <v>5026</v>
      </c>
      <c r="G37" s="180" t="s">
        <v>640</v>
      </c>
      <c r="H37" s="84">
        <v>2756</v>
      </c>
    </row>
    <row r="38" spans="1:8" s="179" customFormat="1" ht="14.25" customHeight="1" x14ac:dyDescent="0.25">
      <c r="A38" s="180" t="s">
        <v>5020</v>
      </c>
      <c r="B38" s="180" t="s">
        <v>5027</v>
      </c>
      <c r="C38" s="180" t="s">
        <v>5028</v>
      </c>
      <c r="D38" s="180" t="s">
        <v>1001</v>
      </c>
      <c r="E38" s="181">
        <v>3.48</v>
      </c>
      <c r="F38" s="180" t="s">
        <v>1000</v>
      </c>
      <c r="G38" s="180" t="s">
        <v>640</v>
      </c>
      <c r="H38" s="84">
        <v>2757</v>
      </c>
    </row>
    <row r="39" spans="1:8" s="179" customFormat="1" ht="14.25" customHeight="1" x14ac:dyDescent="0.25">
      <c r="A39" s="180" t="s">
        <v>5020</v>
      </c>
      <c r="B39" s="180" t="s">
        <v>5029</v>
      </c>
      <c r="C39" s="180" t="s">
        <v>5030</v>
      </c>
      <c r="D39" s="180" t="s">
        <v>681</v>
      </c>
      <c r="E39" s="181">
        <v>4.76</v>
      </c>
      <c r="F39" s="180" t="s">
        <v>680</v>
      </c>
      <c r="G39" s="180" t="s">
        <v>640</v>
      </c>
      <c r="H39" s="84">
        <v>2758</v>
      </c>
    </row>
    <row r="40" spans="1:8" s="179" customFormat="1" ht="14.25" customHeight="1" x14ac:dyDescent="0.25">
      <c r="A40" s="180" t="s">
        <v>5020</v>
      </c>
      <c r="B40" s="180" t="s">
        <v>5031</v>
      </c>
      <c r="C40" s="180" t="s">
        <v>5032</v>
      </c>
      <c r="D40" s="180" t="s">
        <v>5033</v>
      </c>
      <c r="E40" s="181">
        <v>5.48</v>
      </c>
      <c r="F40" s="180" t="s">
        <v>5034</v>
      </c>
      <c r="G40" s="180" t="s">
        <v>640</v>
      </c>
      <c r="H40" s="84">
        <v>2759</v>
      </c>
    </row>
    <row r="41" spans="1:8" s="179" customFormat="1" ht="14.25" customHeight="1" x14ac:dyDescent="0.25">
      <c r="A41" s="180" t="s">
        <v>5020</v>
      </c>
      <c r="B41" s="180" t="s">
        <v>5035</v>
      </c>
      <c r="C41" s="180" t="s">
        <v>5036</v>
      </c>
      <c r="D41" s="180" t="s">
        <v>928</v>
      </c>
      <c r="E41" s="181">
        <v>1.75</v>
      </c>
      <c r="F41" s="180" t="s">
        <v>927</v>
      </c>
      <c r="G41" s="180" t="s">
        <v>640</v>
      </c>
      <c r="H41" s="84">
        <v>2760</v>
      </c>
    </row>
    <row r="42" spans="1:8" s="179" customFormat="1" ht="14.25" customHeight="1" x14ac:dyDescent="0.25">
      <c r="A42" s="180" t="s">
        <v>5020</v>
      </c>
      <c r="B42" s="180" t="s">
        <v>5037</v>
      </c>
      <c r="C42" s="180" t="s">
        <v>5038</v>
      </c>
      <c r="D42" s="180" t="s">
        <v>3704</v>
      </c>
      <c r="E42" s="181">
        <v>5.94</v>
      </c>
      <c r="F42" s="180" t="s">
        <v>3705</v>
      </c>
      <c r="G42" s="180" t="s">
        <v>640</v>
      </c>
      <c r="H42" s="84">
        <v>2761</v>
      </c>
    </row>
    <row r="43" spans="1:8" s="179" customFormat="1" ht="14.25" customHeight="1" x14ac:dyDescent="0.25">
      <c r="A43" s="180" t="s">
        <v>5020</v>
      </c>
      <c r="B43" s="180" t="s">
        <v>5039</v>
      </c>
      <c r="C43" s="180" t="s">
        <v>5040</v>
      </c>
      <c r="D43" s="180" t="s">
        <v>1285</v>
      </c>
      <c r="E43" s="181">
        <v>3.96</v>
      </c>
      <c r="F43" s="180" t="s">
        <v>1284</v>
      </c>
      <c r="G43" s="180" t="s">
        <v>640</v>
      </c>
      <c r="H43" s="84">
        <v>2762</v>
      </c>
    </row>
    <row r="44" spans="1:8" s="179" customFormat="1" ht="14.25" customHeight="1" x14ac:dyDescent="0.25">
      <c r="A44" s="180" t="s">
        <v>5020</v>
      </c>
      <c r="B44" s="180" t="s">
        <v>5041</v>
      </c>
      <c r="C44" s="180" t="s">
        <v>5042</v>
      </c>
      <c r="D44" s="180" t="s">
        <v>2822</v>
      </c>
      <c r="E44" s="181">
        <v>3.16</v>
      </c>
      <c r="F44" s="180" t="s">
        <v>2823</v>
      </c>
      <c r="G44" s="180" t="s">
        <v>640</v>
      </c>
      <c r="H44" s="84">
        <v>2763</v>
      </c>
    </row>
    <row r="45" spans="1:8" s="179" customFormat="1" ht="14.25" customHeight="1" x14ac:dyDescent="0.25">
      <c r="A45" s="180" t="s">
        <v>5020</v>
      </c>
      <c r="B45" s="180" t="s">
        <v>5043</v>
      </c>
      <c r="C45" s="180" t="s">
        <v>5044</v>
      </c>
      <c r="D45" s="180" t="s">
        <v>1074</v>
      </c>
      <c r="E45" s="181">
        <v>5.0599999999999996</v>
      </c>
      <c r="F45" s="180" t="s">
        <v>1073</v>
      </c>
      <c r="G45" s="180" t="s">
        <v>640</v>
      </c>
      <c r="H45" s="84">
        <v>2764</v>
      </c>
    </row>
    <row r="46" spans="1:8" s="179" customFormat="1" ht="14.25" customHeight="1" x14ac:dyDescent="0.25">
      <c r="A46" s="180" t="s">
        <v>5020</v>
      </c>
      <c r="B46" s="180" t="s">
        <v>5045</v>
      </c>
      <c r="C46" s="180" t="s">
        <v>5046</v>
      </c>
      <c r="D46" s="180" t="s">
        <v>4255</v>
      </c>
      <c r="E46" s="181">
        <v>2.4500000000000002</v>
      </c>
      <c r="F46" s="180" t="s">
        <v>4256</v>
      </c>
      <c r="G46" s="180" t="s">
        <v>640</v>
      </c>
      <c r="H46" s="84">
        <v>2765</v>
      </c>
    </row>
    <row r="47" spans="1:8" s="179" customFormat="1" ht="14.25" customHeight="1" x14ac:dyDescent="0.25">
      <c r="A47" s="180" t="s">
        <v>5020</v>
      </c>
      <c r="B47" s="180" t="s">
        <v>5047</v>
      </c>
      <c r="C47" s="180" t="s">
        <v>5048</v>
      </c>
      <c r="D47" s="180" t="s">
        <v>3593</v>
      </c>
      <c r="E47" s="181">
        <v>15.1</v>
      </c>
      <c r="F47" s="180" t="s">
        <v>3594</v>
      </c>
      <c r="G47" s="180" t="s">
        <v>640</v>
      </c>
      <c r="H47" s="84">
        <v>2766</v>
      </c>
    </row>
    <row r="48" spans="1:8" s="179" customFormat="1" ht="14.25" customHeight="1" x14ac:dyDescent="0.25">
      <c r="A48" s="180" t="s">
        <v>5049</v>
      </c>
      <c r="B48" s="180" t="s">
        <v>5050</v>
      </c>
      <c r="C48" s="180" t="s">
        <v>5051</v>
      </c>
      <c r="D48" s="180" t="s">
        <v>5052</v>
      </c>
      <c r="E48" s="181">
        <v>5.24</v>
      </c>
      <c r="F48" s="180" t="s">
        <v>5053</v>
      </c>
      <c r="G48" s="180" t="s">
        <v>640</v>
      </c>
      <c r="H48" s="84">
        <v>2767</v>
      </c>
    </row>
    <row r="49" spans="1:8" s="179" customFormat="1" ht="14.25" customHeight="1" x14ac:dyDescent="0.25">
      <c r="A49" s="180" t="s">
        <v>5049</v>
      </c>
      <c r="B49" s="180" t="s">
        <v>5054</v>
      </c>
      <c r="C49" s="180" t="s">
        <v>5055</v>
      </c>
      <c r="D49" s="180" t="s">
        <v>5056</v>
      </c>
      <c r="E49" s="181">
        <v>6.23</v>
      </c>
      <c r="F49" s="180" t="s">
        <v>5057</v>
      </c>
      <c r="G49" s="180" t="s">
        <v>640</v>
      </c>
      <c r="H49" s="84">
        <v>2768</v>
      </c>
    </row>
    <row r="50" spans="1:8" s="179" customFormat="1" ht="14.25" customHeight="1" x14ac:dyDescent="0.25">
      <c r="A50" s="180" t="s">
        <v>5049</v>
      </c>
      <c r="B50" s="180" t="s">
        <v>5058</v>
      </c>
      <c r="C50" s="180" t="s">
        <v>5059</v>
      </c>
      <c r="D50" s="180" t="s">
        <v>741</v>
      </c>
      <c r="E50" s="181">
        <v>1.83</v>
      </c>
      <c r="F50" s="180" t="s">
        <v>740</v>
      </c>
      <c r="G50" s="180" t="s">
        <v>640</v>
      </c>
      <c r="H50" s="84">
        <v>2769</v>
      </c>
    </row>
    <row r="51" spans="1:8" s="179" customFormat="1" ht="14.25" customHeight="1" x14ac:dyDescent="0.25">
      <c r="A51" s="180" t="s">
        <v>5049</v>
      </c>
      <c r="B51" s="180" t="s">
        <v>5060</v>
      </c>
      <c r="C51" s="180" t="s">
        <v>5061</v>
      </c>
      <c r="D51" s="180" t="s">
        <v>5062</v>
      </c>
      <c r="E51" s="181">
        <v>9.1300000000000008</v>
      </c>
      <c r="F51" s="180" t="s">
        <v>5063</v>
      </c>
      <c r="G51" s="180" t="s">
        <v>640</v>
      </c>
      <c r="H51" s="84">
        <v>2770</v>
      </c>
    </row>
    <row r="52" spans="1:8" s="179" customFormat="1" ht="14.25" customHeight="1" x14ac:dyDescent="0.25">
      <c r="A52" s="180" t="s">
        <v>5049</v>
      </c>
      <c r="B52" s="180" t="s">
        <v>5064</v>
      </c>
      <c r="C52" s="180" t="s">
        <v>5065</v>
      </c>
      <c r="D52" s="180" t="s">
        <v>4546</v>
      </c>
      <c r="E52" s="181">
        <v>2.15</v>
      </c>
      <c r="F52" s="180" t="s">
        <v>4547</v>
      </c>
      <c r="G52" s="180" t="s">
        <v>640</v>
      </c>
      <c r="H52" s="84">
        <v>2771</v>
      </c>
    </row>
    <row r="53" spans="1:8" s="179" customFormat="1" ht="14.25" customHeight="1" x14ac:dyDescent="0.25">
      <c r="A53" s="180" t="s">
        <v>5049</v>
      </c>
      <c r="B53" s="180" t="s">
        <v>5066</v>
      </c>
      <c r="C53" s="180" t="s">
        <v>5067</v>
      </c>
      <c r="D53" s="180" t="s">
        <v>723</v>
      </c>
      <c r="E53" s="181">
        <v>7.77</v>
      </c>
      <c r="F53" s="180" t="s">
        <v>721</v>
      </c>
      <c r="G53" s="180" t="s">
        <v>640</v>
      </c>
      <c r="H53" s="84">
        <v>2772</v>
      </c>
    </row>
    <row r="54" spans="1:8" s="179" customFormat="1" ht="14.25" customHeight="1" x14ac:dyDescent="0.25">
      <c r="A54" s="180" t="s">
        <v>5049</v>
      </c>
      <c r="B54" s="180" t="s">
        <v>5068</v>
      </c>
      <c r="C54" s="180" t="s">
        <v>5069</v>
      </c>
      <c r="D54" s="180" t="s">
        <v>722</v>
      </c>
      <c r="E54" s="181">
        <v>2.02</v>
      </c>
      <c r="F54" s="180" t="s">
        <v>721</v>
      </c>
      <c r="G54" s="180" t="s">
        <v>640</v>
      </c>
      <c r="H54" s="84">
        <v>2773</v>
      </c>
    </row>
    <row r="55" spans="1:8" s="179" customFormat="1" ht="14.25" customHeight="1" x14ac:dyDescent="0.25">
      <c r="A55" s="180" t="s">
        <v>5049</v>
      </c>
      <c r="B55" s="180" t="s">
        <v>5070</v>
      </c>
      <c r="C55" s="180" t="s">
        <v>5071</v>
      </c>
      <c r="D55" s="180" t="s">
        <v>958</v>
      </c>
      <c r="E55" s="181">
        <v>5.19</v>
      </c>
      <c r="F55" s="180" t="s">
        <v>957</v>
      </c>
      <c r="G55" s="180" t="s">
        <v>640</v>
      </c>
      <c r="H55" s="84">
        <v>2774</v>
      </c>
    </row>
    <row r="56" spans="1:8" s="179" customFormat="1" ht="14.25" customHeight="1" x14ac:dyDescent="0.25">
      <c r="A56" s="182"/>
      <c r="B56" s="182"/>
      <c r="C56" s="182"/>
      <c r="D56" s="142" t="s">
        <v>3577</v>
      </c>
      <c r="E56" s="142">
        <f>SUM(E3:E55)</f>
        <v>324.05999999999995</v>
      </c>
      <c r="F56" s="182"/>
      <c r="G56" s="182"/>
      <c r="H56" s="182"/>
    </row>
    <row r="57" spans="1:8" s="179" customFormat="1" ht="14.25" customHeight="1" x14ac:dyDescent="0.25">
      <c r="A57" s="182"/>
      <c r="B57" s="182"/>
      <c r="C57" s="182"/>
      <c r="D57" s="182"/>
      <c r="E57" s="183"/>
      <c r="F57" s="182"/>
      <c r="G57" s="182"/>
      <c r="H57" s="182"/>
    </row>
    <row r="58" spans="1:8" s="179" customFormat="1" ht="14.25" customHeight="1" x14ac:dyDescent="0.25">
      <c r="A58" s="180" t="s">
        <v>5073</v>
      </c>
      <c r="B58" s="180" t="s">
        <v>5074</v>
      </c>
      <c r="C58" s="180" t="s">
        <v>5075</v>
      </c>
      <c r="D58" s="180" t="s">
        <v>1592</v>
      </c>
      <c r="E58" s="181">
        <v>2.88</v>
      </c>
      <c r="F58" s="180" t="s">
        <v>1593</v>
      </c>
      <c r="G58" s="180" t="s">
        <v>640</v>
      </c>
      <c r="H58" s="84">
        <v>2820</v>
      </c>
    </row>
    <row r="59" spans="1:8" s="179" customFormat="1" ht="14.25" customHeight="1" x14ac:dyDescent="0.25">
      <c r="A59" s="180" t="s">
        <v>5073</v>
      </c>
      <c r="B59" s="180" t="s">
        <v>5076</v>
      </c>
      <c r="C59" s="180" t="s">
        <v>5077</v>
      </c>
      <c r="D59" s="180" t="s">
        <v>5078</v>
      </c>
      <c r="E59" s="181">
        <v>7.52</v>
      </c>
      <c r="F59" s="180" t="s">
        <v>5079</v>
      </c>
      <c r="G59" s="180" t="s">
        <v>640</v>
      </c>
      <c r="H59" s="84">
        <v>2821</v>
      </c>
    </row>
    <row r="60" spans="1:8" s="179" customFormat="1" ht="14.25" customHeight="1" x14ac:dyDescent="0.25">
      <c r="A60" s="180" t="s">
        <v>5073</v>
      </c>
      <c r="B60" s="180" t="s">
        <v>5080</v>
      </c>
      <c r="C60" s="180" t="s">
        <v>5081</v>
      </c>
      <c r="D60" s="180" t="s">
        <v>5082</v>
      </c>
      <c r="E60" s="181">
        <v>8.35</v>
      </c>
      <c r="F60" s="180" t="s">
        <v>5083</v>
      </c>
      <c r="G60" s="180" t="s">
        <v>640</v>
      </c>
      <c r="H60" s="84">
        <v>2822</v>
      </c>
    </row>
    <row r="61" spans="1:8" s="179" customFormat="1" ht="14.25" customHeight="1" x14ac:dyDescent="0.25">
      <c r="A61" s="180" t="s">
        <v>5073</v>
      </c>
      <c r="B61" s="180" t="s">
        <v>5084</v>
      </c>
      <c r="C61" s="180" t="s">
        <v>5085</v>
      </c>
      <c r="D61" s="180" t="s">
        <v>960</v>
      </c>
      <c r="E61" s="181">
        <v>3.26</v>
      </c>
      <c r="F61" s="180" t="s">
        <v>959</v>
      </c>
      <c r="G61" s="180" t="s">
        <v>640</v>
      </c>
      <c r="H61" s="84">
        <v>2823</v>
      </c>
    </row>
    <row r="62" spans="1:8" s="179" customFormat="1" ht="14.25" customHeight="1" x14ac:dyDescent="0.25">
      <c r="A62" s="180" t="s">
        <v>5073</v>
      </c>
      <c r="B62" s="180" t="s">
        <v>5086</v>
      </c>
      <c r="C62" s="180" t="s">
        <v>5087</v>
      </c>
      <c r="D62" s="180" t="s">
        <v>3000</v>
      </c>
      <c r="E62" s="181">
        <v>5.56</v>
      </c>
      <c r="F62" s="180" t="s">
        <v>3001</v>
      </c>
      <c r="G62" s="180" t="s">
        <v>640</v>
      </c>
      <c r="H62" s="84">
        <v>2824</v>
      </c>
    </row>
    <row r="63" spans="1:8" s="179" customFormat="1" ht="14.25" customHeight="1" x14ac:dyDescent="0.25">
      <c r="A63" s="180" t="s">
        <v>5073</v>
      </c>
      <c r="B63" s="180" t="s">
        <v>5088</v>
      </c>
      <c r="C63" s="180" t="s">
        <v>5089</v>
      </c>
      <c r="D63" s="180" t="s">
        <v>5090</v>
      </c>
      <c r="E63" s="181">
        <v>11.82</v>
      </c>
      <c r="F63" s="180" t="s">
        <v>5091</v>
      </c>
      <c r="G63" s="180" t="s">
        <v>640</v>
      </c>
      <c r="H63" s="84">
        <v>2825</v>
      </c>
    </row>
    <row r="64" spans="1:8" s="179" customFormat="1" ht="14.25" customHeight="1" x14ac:dyDescent="0.25">
      <c r="A64" s="180" t="s">
        <v>5073</v>
      </c>
      <c r="B64" s="180" t="s">
        <v>5092</v>
      </c>
      <c r="C64" s="180" t="s">
        <v>5093</v>
      </c>
      <c r="D64" s="180" t="s">
        <v>3633</v>
      </c>
      <c r="E64" s="181">
        <v>6.57</v>
      </c>
      <c r="F64" s="180" t="s">
        <v>3634</v>
      </c>
      <c r="G64" s="180" t="s">
        <v>640</v>
      </c>
      <c r="H64" s="84">
        <v>2826</v>
      </c>
    </row>
    <row r="65" spans="1:8" s="179" customFormat="1" ht="14.25" customHeight="1" x14ac:dyDescent="0.25">
      <c r="A65" s="180" t="s">
        <v>5073</v>
      </c>
      <c r="B65" s="180" t="s">
        <v>5094</v>
      </c>
      <c r="C65" s="180" t="s">
        <v>5095</v>
      </c>
      <c r="D65" s="180" t="s">
        <v>911</v>
      </c>
      <c r="E65" s="181">
        <v>1.99</v>
      </c>
      <c r="F65" s="180" t="s">
        <v>910</v>
      </c>
      <c r="G65" s="180" t="s">
        <v>640</v>
      </c>
      <c r="H65" s="84">
        <v>2827</v>
      </c>
    </row>
    <row r="66" spans="1:8" s="179" customFormat="1" ht="14.25" customHeight="1" x14ac:dyDescent="0.25">
      <c r="A66" s="180" t="s">
        <v>5073</v>
      </c>
      <c r="B66" s="180" t="s">
        <v>5096</v>
      </c>
      <c r="C66" s="180" t="s">
        <v>5097</v>
      </c>
      <c r="D66" s="180" t="s">
        <v>5098</v>
      </c>
      <c r="E66" s="181">
        <v>5.61</v>
      </c>
      <c r="F66" s="180" t="s">
        <v>5099</v>
      </c>
      <c r="G66" s="180" t="s">
        <v>640</v>
      </c>
      <c r="H66" s="84">
        <v>2828</v>
      </c>
    </row>
    <row r="67" spans="1:8" s="179" customFormat="1" ht="14.25" customHeight="1" x14ac:dyDescent="0.25">
      <c r="A67" s="180" t="s">
        <v>5073</v>
      </c>
      <c r="B67" s="180" t="s">
        <v>5100</v>
      </c>
      <c r="C67" s="180" t="s">
        <v>5101</v>
      </c>
      <c r="D67" s="180" t="s">
        <v>5102</v>
      </c>
      <c r="E67" s="181">
        <v>9.81</v>
      </c>
      <c r="F67" s="180" t="s">
        <v>5103</v>
      </c>
      <c r="G67" s="180" t="s">
        <v>640</v>
      </c>
      <c r="H67" s="84">
        <v>2829</v>
      </c>
    </row>
    <row r="68" spans="1:8" s="179" customFormat="1" ht="14.25" customHeight="1" x14ac:dyDescent="0.25">
      <c r="A68" s="180" t="s">
        <v>5073</v>
      </c>
      <c r="B68" s="180" t="s">
        <v>5104</v>
      </c>
      <c r="C68" s="180" t="s">
        <v>5105</v>
      </c>
      <c r="D68" s="180" t="s">
        <v>5106</v>
      </c>
      <c r="E68" s="181">
        <v>7.34</v>
      </c>
      <c r="F68" s="180" t="s">
        <v>5107</v>
      </c>
      <c r="G68" s="180" t="s">
        <v>640</v>
      </c>
      <c r="H68" s="84">
        <v>2830</v>
      </c>
    </row>
    <row r="69" spans="1:8" s="179" customFormat="1" ht="14.25" customHeight="1" x14ac:dyDescent="0.25">
      <c r="A69" s="180" t="s">
        <v>5073</v>
      </c>
      <c r="B69" s="180" t="s">
        <v>5108</v>
      </c>
      <c r="C69" s="180" t="s">
        <v>5109</v>
      </c>
      <c r="D69" s="180" t="s">
        <v>768</v>
      </c>
      <c r="E69" s="181">
        <v>1.8</v>
      </c>
      <c r="F69" s="180" t="s">
        <v>766</v>
      </c>
      <c r="G69" s="180" t="s">
        <v>640</v>
      </c>
      <c r="H69" s="84">
        <v>2831</v>
      </c>
    </row>
    <row r="70" spans="1:8" s="179" customFormat="1" ht="14.25" customHeight="1" x14ac:dyDescent="0.25">
      <c r="A70" s="180" t="s">
        <v>5073</v>
      </c>
      <c r="B70" s="180" t="s">
        <v>5110</v>
      </c>
      <c r="C70" s="180" t="s">
        <v>5111</v>
      </c>
      <c r="D70" s="180" t="s">
        <v>767</v>
      </c>
      <c r="E70" s="181">
        <v>1.68</v>
      </c>
      <c r="F70" s="180" t="s">
        <v>766</v>
      </c>
      <c r="G70" s="180" t="s">
        <v>640</v>
      </c>
      <c r="H70" s="84">
        <v>2832</v>
      </c>
    </row>
    <row r="71" spans="1:8" s="179" customFormat="1" ht="14.25" customHeight="1" x14ac:dyDescent="0.25">
      <c r="A71" s="180" t="s">
        <v>5073</v>
      </c>
      <c r="B71" s="180" t="s">
        <v>5112</v>
      </c>
      <c r="C71" s="180" t="s">
        <v>5113</v>
      </c>
      <c r="D71" s="180" t="s">
        <v>1439</v>
      </c>
      <c r="E71" s="181">
        <v>14.24</v>
      </c>
      <c r="F71" s="180" t="s">
        <v>1438</v>
      </c>
      <c r="G71" s="180" t="s">
        <v>640</v>
      </c>
      <c r="H71" s="84">
        <v>2833</v>
      </c>
    </row>
    <row r="72" spans="1:8" s="179" customFormat="1" ht="14.25" customHeight="1" x14ac:dyDescent="0.25">
      <c r="A72" s="180" t="s">
        <v>5073</v>
      </c>
      <c r="B72" s="180" t="s">
        <v>5114</v>
      </c>
      <c r="C72" s="180" t="s">
        <v>5115</v>
      </c>
      <c r="D72" s="180" t="s">
        <v>3937</v>
      </c>
      <c r="E72" s="181">
        <v>6.99</v>
      </c>
      <c r="F72" s="180" t="s">
        <v>3938</v>
      </c>
      <c r="G72" s="180" t="s">
        <v>640</v>
      </c>
      <c r="H72" s="84">
        <v>2834</v>
      </c>
    </row>
    <row r="73" spans="1:8" s="179" customFormat="1" ht="14.25" customHeight="1" x14ac:dyDescent="0.25">
      <c r="A73" s="180" t="s">
        <v>5073</v>
      </c>
      <c r="B73" s="180" t="s">
        <v>5116</v>
      </c>
      <c r="C73" s="180" t="s">
        <v>5117</v>
      </c>
      <c r="D73" s="180" t="s">
        <v>3989</v>
      </c>
      <c r="E73" s="181">
        <v>1.68</v>
      </c>
      <c r="F73" s="180" t="s">
        <v>3990</v>
      </c>
      <c r="G73" s="180" t="s">
        <v>640</v>
      </c>
      <c r="H73" s="84">
        <v>2835</v>
      </c>
    </row>
    <row r="74" spans="1:8" s="179" customFormat="1" ht="14.25" customHeight="1" x14ac:dyDescent="0.25">
      <c r="A74" s="180" t="s">
        <v>5073</v>
      </c>
      <c r="B74" s="180" t="s">
        <v>5118</v>
      </c>
      <c r="C74" s="180" t="s">
        <v>5119</v>
      </c>
      <c r="D74" s="180" t="s">
        <v>3962</v>
      </c>
      <c r="E74" s="181">
        <v>17.86</v>
      </c>
      <c r="F74" s="180" t="s">
        <v>3963</v>
      </c>
      <c r="G74" s="180" t="s">
        <v>640</v>
      </c>
      <c r="H74" s="84">
        <v>2836</v>
      </c>
    </row>
    <row r="75" spans="1:8" s="179" customFormat="1" ht="14.25" customHeight="1" x14ac:dyDescent="0.25">
      <c r="A75" s="180" t="s">
        <v>5073</v>
      </c>
      <c r="B75" s="180" t="s">
        <v>3272</v>
      </c>
      <c r="C75" s="180" t="s">
        <v>5120</v>
      </c>
      <c r="D75" s="180" t="s">
        <v>5121</v>
      </c>
      <c r="E75" s="181">
        <v>34.4</v>
      </c>
      <c r="F75" s="180" t="s">
        <v>5122</v>
      </c>
      <c r="G75" s="180" t="s">
        <v>640</v>
      </c>
      <c r="H75" s="84">
        <v>2837</v>
      </c>
    </row>
    <row r="76" spans="1:8" s="179" customFormat="1" ht="14.25" customHeight="1" x14ac:dyDescent="0.25">
      <c r="A76" s="180" t="s">
        <v>5073</v>
      </c>
      <c r="B76" s="180" t="s">
        <v>5123</v>
      </c>
      <c r="C76" s="180" t="s">
        <v>5124</v>
      </c>
      <c r="D76" s="180" t="s">
        <v>5125</v>
      </c>
      <c r="E76" s="181">
        <v>2.39</v>
      </c>
      <c r="F76" s="180" t="s">
        <v>5126</v>
      </c>
      <c r="G76" s="180" t="s">
        <v>640</v>
      </c>
      <c r="H76" s="84">
        <v>2838</v>
      </c>
    </row>
    <row r="77" spans="1:8" s="179" customFormat="1" ht="14.25" customHeight="1" x14ac:dyDescent="0.25">
      <c r="A77" s="180" t="s">
        <v>5073</v>
      </c>
      <c r="B77" s="180" t="s">
        <v>5127</v>
      </c>
      <c r="C77" s="180" t="s">
        <v>5128</v>
      </c>
      <c r="D77" s="180" t="s">
        <v>846</v>
      </c>
      <c r="E77" s="181">
        <v>8.3800000000000008</v>
      </c>
      <c r="F77" s="180" t="s">
        <v>845</v>
      </c>
      <c r="G77" s="180" t="s">
        <v>640</v>
      </c>
      <c r="H77" s="84">
        <v>2839</v>
      </c>
    </row>
    <row r="78" spans="1:8" s="179" customFormat="1" ht="14.25" customHeight="1" x14ac:dyDescent="0.25">
      <c r="A78" s="180" t="s">
        <v>5073</v>
      </c>
      <c r="B78" s="180" t="s">
        <v>5129</v>
      </c>
      <c r="C78" s="180" t="s">
        <v>5130</v>
      </c>
      <c r="D78" s="180" t="s">
        <v>675</v>
      </c>
      <c r="E78" s="181">
        <v>7</v>
      </c>
      <c r="F78" s="180" t="s">
        <v>674</v>
      </c>
      <c r="G78" s="180" t="s">
        <v>640</v>
      </c>
      <c r="H78" s="84">
        <v>2840</v>
      </c>
    </row>
    <row r="79" spans="1:8" s="179" customFormat="1" ht="14.25" customHeight="1" x14ac:dyDescent="0.25">
      <c r="A79" s="180" t="s">
        <v>5073</v>
      </c>
      <c r="B79" s="180" t="s">
        <v>5131</v>
      </c>
      <c r="C79" s="180" t="s">
        <v>5132</v>
      </c>
      <c r="D79" s="180" t="s">
        <v>3724</v>
      </c>
      <c r="E79" s="181">
        <v>4.6900000000000004</v>
      </c>
      <c r="F79" s="180" t="s">
        <v>3725</v>
      </c>
      <c r="G79" s="180" t="s">
        <v>640</v>
      </c>
      <c r="H79" s="84">
        <v>2841</v>
      </c>
    </row>
    <row r="80" spans="1:8" s="179" customFormat="1" ht="14.25" customHeight="1" x14ac:dyDescent="0.25">
      <c r="A80" s="180" t="s">
        <v>5073</v>
      </c>
      <c r="B80" s="180" t="s">
        <v>5133</v>
      </c>
      <c r="C80" s="180" t="s">
        <v>5134</v>
      </c>
      <c r="D80" s="180" t="s">
        <v>1060</v>
      </c>
      <c r="E80" s="181">
        <v>1.42</v>
      </c>
      <c r="F80" s="180" t="s">
        <v>1059</v>
      </c>
      <c r="G80" s="180" t="s">
        <v>640</v>
      </c>
      <c r="H80" s="84">
        <v>2842</v>
      </c>
    </row>
    <row r="81" spans="1:8" s="179" customFormat="1" ht="14.25" customHeight="1" x14ac:dyDescent="0.25">
      <c r="A81" s="180" t="s">
        <v>5073</v>
      </c>
      <c r="B81" s="180" t="s">
        <v>5135</v>
      </c>
      <c r="C81" s="180" t="s">
        <v>5136</v>
      </c>
      <c r="D81" s="180" t="s">
        <v>1525</v>
      </c>
      <c r="E81" s="181">
        <v>10.14</v>
      </c>
      <c r="F81" s="180" t="s">
        <v>1524</v>
      </c>
      <c r="G81" s="180" t="s">
        <v>640</v>
      </c>
      <c r="H81" s="84">
        <v>2843</v>
      </c>
    </row>
    <row r="82" spans="1:8" s="179" customFormat="1" ht="14.25" customHeight="1" x14ac:dyDescent="0.25">
      <c r="A82" s="180" t="s">
        <v>5073</v>
      </c>
      <c r="B82" s="180" t="s">
        <v>5137</v>
      </c>
      <c r="C82" s="180" t="s">
        <v>5138</v>
      </c>
      <c r="D82" s="180" t="s">
        <v>3700</v>
      </c>
      <c r="E82" s="181">
        <v>4.4400000000000004</v>
      </c>
      <c r="F82" s="180" t="s">
        <v>3701</v>
      </c>
      <c r="G82" s="180" t="s">
        <v>640</v>
      </c>
      <c r="H82" s="84">
        <v>2844</v>
      </c>
    </row>
    <row r="83" spans="1:8" s="179" customFormat="1" ht="14.25" customHeight="1" x14ac:dyDescent="0.25">
      <c r="A83" s="180" t="s">
        <v>5139</v>
      </c>
      <c r="B83" s="180" t="s">
        <v>5140</v>
      </c>
      <c r="C83" s="180" t="s">
        <v>5141</v>
      </c>
      <c r="D83" s="180" t="s">
        <v>5142</v>
      </c>
      <c r="E83" s="181">
        <v>33.75</v>
      </c>
      <c r="F83" s="180" t="s">
        <v>5143</v>
      </c>
      <c r="G83" s="180" t="s">
        <v>640</v>
      </c>
      <c r="H83" s="84">
        <v>2964</v>
      </c>
    </row>
    <row r="84" spans="1:8" s="179" customFormat="1" ht="14.25" customHeight="1" x14ac:dyDescent="0.25">
      <c r="A84" s="180" t="s">
        <v>5139</v>
      </c>
      <c r="B84" s="180" t="s">
        <v>5144</v>
      </c>
      <c r="C84" s="180" t="s">
        <v>5145</v>
      </c>
      <c r="D84" s="180" t="s">
        <v>1307</v>
      </c>
      <c r="E84" s="181">
        <v>2.2799999999999998</v>
      </c>
      <c r="F84" s="180" t="s">
        <v>1306</v>
      </c>
      <c r="G84" s="180" t="s">
        <v>640</v>
      </c>
      <c r="H84" s="25">
        <v>2965</v>
      </c>
    </row>
    <row r="85" spans="1:8" s="179" customFormat="1" ht="14.25" customHeight="1" x14ac:dyDescent="0.25">
      <c r="A85" s="180" t="s">
        <v>5139</v>
      </c>
      <c r="B85" s="180" t="s">
        <v>5146</v>
      </c>
      <c r="C85" s="180" t="s">
        <v>5147</v>
      </c>
      <c r="D85" s="180" t="s">
        <v>1014</v>
      </c>
      <c r="E85" s="181">
        <v>3.99</v>
      </c>
      <c r="F85" s="180" t="s">
        <v>1013</v>
      </c>
      <c r="G85" s="180" t="s">
        <v>640</v>
      </c>
      <c r="H85" s="25">
        <v>2966</v>
      </c>
    </row>
    <row r="86" spans="1:8" s="179" customFormat="1" ht="14.25" customHeight="1" x14ac:dyDescent="0.25">
      <c r="A86" s="180" t="s">
        <v>5139</v>
      </c>
      <c r="B86" s="180" t="s">
        <v>5148</v>
      </c>
      <c r="C86" s="180" t="s">
        <v>5149</v>
      </c>
      <c r="D86" s="180" t="s">
        <v>1224</v>
      </c>
      <c r="E86" s="181">
        <v>3.36</v>
      </c>
      <c r="F86" s="180" t="s">
        <v>1223</v>
      </c>
      <c r="G86" s="180" t="s">
        <v>640</v>
      </c>
      <c r="H86" s="25">
        <v>2968</v>
      </c>
    </row>
    <row r="87" spans="1:8" s="179" customFormat="1" ht="14.25" customHeight="1" x14ac:dyDescent="0.25">
      <c r="A87" s="180" t="s">
        <v>5139</v>
      </c>
      <c r="B87" s="180" t="s">
        <v>5150</v>
      </c>
      <c r="C87" s="180" t="s">
        <v>5151</v>
      </c>
      <c r="D87" s="180" t="s">
        <v>1225</v>
      </c>
      <c r="E87" s="181">
        <v>4.78</v>
      </c>
      <c r="F87" s="180" t="s">
        <v>1223</v>
      </c>
      <c r="G87" s="180" t="s">
        <v>640</v>
      </c>
      <c r="H87" s="25">
        <v>2967</v>
      </c>
    </row>
    <row r="88" spans="1:8" s="179" customFormat="1" ht="14.25" customHeight="1" x14ac:dyDescent="0.25">
      <c r="A88" s="180" t="s">
        <v>5139</v>
      </c>
      <c r="B88" s="180" t="s">
        <v>5152</v>
      </c>
      <c r="C88" s="180" t="s">
        <v>5153</v>
      </c>
      <c r="D88" s="180" t="s">
        <v>733</v>
      </c>
      <c r="E88" s="181">
        <v>6.94</v>
      </c>
      <c r="F88" s="180" t="s">
        <v>732</v>
      </c>
      <c r="G88" s="180" t="s">
        <v>640</v>
      </c>
      <c r="H88" s="25">
        <v>2969</v>
      </c>
    </row>
    <row r="89" spans="1:8" s="179" customFormat="1" ht="14.25" customHeight="1" x14ac:dyDescent="0.25">
      <c r="A89" s="180" t="s">
        <v>5139</v>
      </c>
      <c r="B89" s="180" t="s">
        <v>5154</v>
      </c>
      <c r="C89" s="180" t="s">
        <v>5155</v>
      </c>
      <c r="D89" s="180" t="s">
        <v>881</v>
      </c>
      <c r="E89" s="181">
        <v>3.6</v>
      </c>
      <c r="F89" s="180" t="s">
        <v>880</v>
      </c>
      <c r="G89" s="180" t="s">
        <v>640</v>
      </c>
      <c r="H89" s="25">
        <v>2970</v>
      </c>
    </row>
    <row r="90" spans="1:8" s="179" customFormat="1" ht="14.25" customHeight="1" x14ac:dyDescent="0.25">
      <c r="A90" s="180" t="s">
        <v>5139</v>
      </c>
      <c r="B90" s="180" t="s">
        <v>5156</v>
      </c>
      <c r="C90" s="180" t="s">
        <v>5157</v>
      </c>
      <c r="D90" s="180" t="s">
        <v>1335</v>
      </c>
      <c r="E90" s="181">
        <v>3.63</v>
      </c>
      <c r="F90" s="180" t="s">
        <v>1334</v>
      </c>
      <c r="G90" s="180" t="s">
        <v>640</v>
      </c>
      <c r="H90" s="25">
        <v>2971</v>
      </c>
    </row>
    <row r="91" spans="1:8" s="179" customFormat="1" ht="14.25" customHeight="1" x14ac:dyDescent="0.25">
      <c r="A91" s="180" t="s">
        <v>5139</v>
      </c>
      <c r="B91" s="180" t="s">
        <v>5158</v>
      </c>
      <c r="C91" s="180" t="s">
        <v>5159</v>
      </c>
      <c r="D91" s="180" t="s">
        <v>5160</v>
      </c>
      <c r="E91" s="181">
        <v>30.1</v>
      </c>
      <c r="F91" s="180" t="s">
        <v>5161</v>
      </c>
      <c r="G91" s="180" t="s">
        <v>640</v>
      </c>
      <c r="H91" s="25">
        <v>2973</v>
      </c>
    </row>
    <row r="92" spans="1:8" s="179" customFormat="1" ht="14.25" customHeight="1" x14ac:dyDescent="0.25">
      <c r="A92" s="180" t="s">
        <v>5139</v>
      </c>
      <c r="B92" s="180" t="s">
        <v>5162</v>
      </c>
      <c r="C92" s="180" t="s">
        <v>5163</v>
      </c>
      <c r="D92" s="180" t="s">
        <v>5164</v>
      </c>
      <c r="E92" s="181">
        <v>87.82</v>
      </c>
      <c r="F92" s="180" t="s">
        <v>5165</v>
      </c>
      <c r="G92" s="180" t="s">
        <v>640</v>
      </c>
      <c r="H92" s="84">
        <v>2974</v>
      </c>
    </row>
    <row r="93" spans="1:8" s="179" customFormat="1" ht="14.25" customHeight="1" x14ac:dyDescent="0.25">
      <c r="A93" s="180" t="s">
        <v>5139</v>
      </c>
      <c r="B93" s="180" t="s">
        <v>5166</v>
      </c>
      <c r="C93" s="180" t="s">
        <v>5167</v>
      </c>
      <c r="D93" s="180" t="s">
        <v>1511</v>
      </c>
      <c r="E93" s="181">
        <v>2.7</v>
      </c>
      <c r="F93" s="180" t="s">
        <v>1510</v>
      </c>
      <c r="G93" s="180" t="s">
        <v>640</v>
      </c>
      <c r="H93" s="84">
        <v>2975</v>
      </c>
    </row>
    <row r="94" spans="1:8" s="179" customFormat="1" ht="14.25" customHeight="1" x14ac:dyDescent="0.25">
      <c r="A94" s="180" t="s">
        <v>5139</v>
      </c>
      <c r="B94" s="180" t="s">
        <v>5168</v>
      </c>
      <c r="C94" s="180" t="s">
        <v>5169</v>
      </c>
      <c r="D94" s="180" t="s">
        <v>4604</v>
      </c>
      <c r="E94" s="181">
        <v>3.46</v>
      </c>
      <c r="F94" s="180" t="s">
        <v>4605</v>
      </c>
      <c r="G94" s="180" t="s">
        <v>640</v>
      </c>
      <c r="H94" s="84">
        <v>2976</v>
      </c>
    </row>
    <row r="95" spans="1:8" s="179" customFormat="1" ht="14.25" customHeight="1" x14ac:dyDescent="0.25">
      <c r="A95" s="180" t="s">
        <v>5139</v>
      </c>
      <c r="B95" s="180" t="s">
        <v>5170</v>
      </c>
      <c r="C95" s="180" t="s">
        <v>5171</v>
      </c>
      <c r="D95" s="180" t="s">
        <v>993</v>
      </c>
      <c r="E95" s="181">
        <v>1.74</v>
      </c>
      <c r="F95" s="180" t="s">
        <v>992</v>
      </c>
      <c r="G95" s="180" t="s">
        <v>640</v>
      </c>
      <c r="H95" s="84">
        <v>2977</v>
      </c>
    </row>
    <row r="96" spans="1:8" s="179" customFormat="1" ht="14.25" customHeight="1" x14ac:dyDescent="0.25">
      <c r="A96" s="180" t="s">
        <v>5139</v>
      </c>
      <c r="B96" s="180" t="s">
        <v>5172</v>
      </c>
      <c r="C96" s="180" t="s">
        <v>5173</v>
      </c>
      <c r="D96" s="180" t="s">
        <v>5174</v>
      </c>
      <c r="E96" s="181">
        <v>5.16</v>
      </c>
      <c r="F96" s="180" t="s">
        <v>5175</v>
      </c>
      <c r="G96" s="180" t="s">
        <v>640</v>
      </c>
      <c r="H96" s="84">
        <v>2978</v>
      </c>
    </row>
    <row r="97" spans="1:12" s="179" customFormat="1" ht="14.25" customHeight="1" x14ac:dyDescent="0.25">
      <c r="A97" s="180" t="s">
        <v>5139</v>
      </c>
      <c r="B97" s="180" t="s">
        <v>5176</v>
      </c>
      <c r="C97" s="180" t="s">
        <v>5177</v>
      </c>
      <c r="D97" s="180" t="s">
        <v>894</v>
      </c>
      <c r="E97" s="181">
        <v>2.72</v>
      </c>
      <c r="F97" s="180" t="s">
        <v>893</v>
      </c>
      <c r="G97" s="180" t="s">
        <v>640</v>
      </c>
      <c r="H97" s="84">
        <v>2979</v>
      </c>
    </row>
    <row r="98" spans="1:12" s="179" customFormat="1" ht="14.25" customHeight="1" x14ac:dyDescent="0.25">
      <c r="A98" s="180" t="s">
        <v>5139</v>
      </c>
      <c r="B98" s="180" t="s">
        <v>5178</v>
      </c>
      <c r="C98" s="180" t="s">
        <v>5179</v>
      </c>
      <c r="D98" s="180" t="s">
        <v>5180</v>
      </c>
      <c r="E98" s="181">
        <v>5.04</v>
      </c>
      <c r="F98" s="180" t="s">
        <v>5181</v>
      </c>
      <c r="G98" s="180" t="s">
        <v>640</v>
      </c>
      <c r="H98" s="84">
        <v>2980</v>
      </c>
    </row>
    <row r="99" spans="1:12" s="179" customFormat="1" ht="14.25" customHeight="1" x14ac:dyDescent="0.25">
      <c r="A99" s="180" t="s">
        <v>5139</v>
      </c>
      <c r="B99" s="180" t="s">
        <v>5182</v>
      </c>
      <c r="C99" s="180" t="s">
        <v>5183</v>
      </c>
      <c r="D99" s="180" t="s">
        <v>1139</v>
      </c>
      <c r="E99" s="181">
        <v>1.87</v>
      </c>
      <c r="F99" s="180" t="s">
        <v>1138</v>
      </c>
      <c r="G99" s="180" t="s">
        <v>640</v>
      </c>
      <c r="H99" s="84">
        <v>2981</v>
      </c>
    </row>
    <row r="100" spans="1:12" s="179" customFormat="1" ht="14.25" customHeight="1" x14ac:dyDescent="0.25">
      <c r="A100" s="180" t="s">
        <v>5139</v>
      </c>
      <c r="B100" s="180" t="s">
        <v>5184</v>
      </c>
      <c r="C100" s="180" t="s">
        <v>5185</v>
      </c>
      <c r="D100" s="180" t="s">
        <v>5186</v>
      </c>
      <c r="E100" s="181">
        <v>2.5099999999999998</v>
      </c>
      <c r="F100" s="180" t="s">
        <v>5187</v>
      </c>
      <c r="G100" s="180" t="s">
        <v>640</v>
      </c>
      <c r="H100" s="84">
        <v>2982</v>
      </c>
    </row>
    <row r="101" spans="1:12" s="179" customFormat="1" ht="14.25" customHeight="1" x14ac:dyDescent="0.25">
      <c r="A101" s="180" t="s">
        <v>5139</v>
      </c>
      <c r="B101" s="180" t="s">
        <v>5188</v>
      </c>
      <c r="C101" s="180" t="s">
        <v>5189</v>
      </c>
      <c r="D101" s="180" t="s">
        <v>1375</v>
      </c>
      <c r="E101" s="181">
        <v>3.28</v>
      </c>
      <c r="F101" s="180" t="s">
        <v>1374</v>
      </c>
      <c r="G101" s="180" t="s">
        <v>640</v>
      </c>
      <c r="H101" s="84">
        <v>2984</v>
      </c>
      <c r="J101" s="179" t="s">
        <v>1053</v>
      </c>
    </row>
    <row r="102" spans="1:12" s="179" customFormat="1" ht="14.25" customHeight="1" x14ac:dyDescent="0.25">
      <c r="A102" s="180" t="s">
        <v>5139</v>
      </c>
      <c r="B102" s="180" t="s">
        <v>5190</v>
      </c>
      <c r="C102" s="180" t="s">
        <v>5191</v>
      </c>
      <c r="D102" s="180" t="s">
        <v>5192</v>
      </c>
      <c r="E102" s="181">
        <v>5.25</v>
      </c>
      <c r="F102" s="180" t="s">
        <v>5193</v>
      </c>
      <c r="G102" s="180" t="s">
        <v>640</v>
      </c>
      <c r="H102" s="84">
        <v>2985</v>
      </c>
    </row>
    <row r="103" spans="1:12" s="179" customFormat="1" ht="14.25" customHeight="1" x14ac:dyDescent="0.25">
      <c r="A103" s="180" t="s">
        <v>5139</v>
      </c>
      <c r="B103" s="180" t="s">
        <v>5194</v>
      </c>
      <c r="C103" s="180" t="s">
        <v>5195</v>
      </c>
      <c r="D103" s="180" t="s">
        <v>1493</v>
      </c>
      <c r="E103" s="181">
        <v>1.68</v>
      </c>
      <c r="F103" s="180" t="s">
        <v>1492</v>
      </c>
      <c r="G103" s="180" t="s">
        <v>640</v>
      </c>
      <c r="H103" s="84">
        <v>2986</v>
      </c>
    </row>
    <row r="104" spans="1:12" s="179" customFormat="1" ht="14.25" customHeight="1" x14ac:dyDescent="0.25">
      <c r="A104" s="180" t="s">
        <v>5139</v>
      </c>
      <c r="B104" s="180" t="s">
        <v>5196</v>
      </c>
      <c r="C104" s="180" t="s">
        <v>5197</v>
      </c>
      <c r="D104" s="180" t="s">
        <v>3659</v>
      </c>
      <c r="E104" s="181">
        <v>2.99</v>
      </c>
      <c r="F104" s="180" t="s">
        <v>3660</v>
      </c>
      <c r="G104" s="180" t="s">
        <v>640</v>
      </c>
      <c r="H104" s="84">
        <v>2987</v>
      </c>
    </row>
    <row r="105" spans="1:12" s="179" customFormat="1" ht="14.25" customHeight="1" x14ac:dyDescent="0.25">
      <c r="A105" s="180" t="s">
        <v>5139</v>
      </c>
      <c r="B105" s="180" t="s">
        <v>5198</v>
      </c>
      <c r="C105" s="180" t="s">
        <v>5199</v>
      </c>
      <c r="D105" s="180" t="s">
        <v>1048</v>
      </c>
      <c r="E105" s="181">
        <v>12.58</v>
      </c>
      <c r="F105" s="180" t="s">
        <v>1047</v>
      </c>
      <c r="G105" s="180" t="s">
        <v>640</v>
      </c>
      <c r="H105" s="84">
        <v>2988</v>
      </c>
    </row>
    <row r="106" spans="1:12" s="179" customFormat="1" ht="14.25" customHeight="1" x14ac:dyDescent="0.25">
      <c r="A106" s="180" t="s">
        <v>5139</v>
      </c>
      <c r="B106" s="180" t="s">
        <v>5200</v>
      </c>
      <c r="C106" s="180" t="s">
        <v>5201</v>
      </c>
      <c r="D106" s="180" t="s">
        <v>1066</v>
      </c>
      <c r="E106" s="181">
        <v>1.88</v>
      </c>
      <c r="F106" s="180" t="s">
        <v>1065</v>
      </c>
      <c r="G106" s="180" t="s">
        <v>640</v>
      </c>
      <c r="H106" s="84">
        <v>2989</v>
      </c>
    </row>
    <row r="107" spans="1:12" s="179" customFormat="1" ht="14.25" customHeight="1" x14ac:dyDescent="0.25">
      <c r="A107" s="180" t="s">
        <v>5139</v>
      </c>
      <c r="B107" s="180" t="s">
        <v>5202</v>
      </c>
      <c r="C107" s="180" t="s">
        <v>5203</v>
      </c>
      <c r="D107" s="180" t="s">
        <v>5204</v>
      </c>
      <c r="E107" s="181">
        <v>5.04</v>
      </c>
      <c r="F107" s="180" t="s">
        <v>5205</v>
      </c>
      <c r="G107" s="180" t="s">
        <v>640</v>
      </c>
      <c r="H107" s="84">
        <v>2990</v>
      </c>
    </row>
    <row r="108" spans="1:12" s="179" customFormat="1" ht="14.25" customHeight="1" x14ac:dyDescent="0.25">
      <c r="A108" s="180" t="s">
        <v>5139</v>
      </c>
      <c r="B108" s="180" t="s">
        <v>5206</v>
      </c>
      <c r="C108" s="180" t="s">
        <v>5207</v>
      </c>
      <c r="D108" s="180" t="s">
        <v>747</v>
      </c>
      <c r="E108" s="181">
        <v>1.74</v>
      </c>
      <c r="F108" s="180" t="s">
        <v>746</v>
      </c>
      <c r="G108" s="180" t="s">
        <v>640</v>
      </c>
      <c r="H108" s="84">
        <v>2991</v>
      </c>
    </row>
    <row r="109" spans="1:12" s="179" customFormat="1" ht="14.25" customHeight="1" x14ac:dyDescent="0.25">
      <c r="A109" s="180" t="s">
        <v>5139</v>
      </c>
      <c r="B109" s="180" t="s">
        <v>5208</v>
      </c>
      <c r="C109" s="180" t="s">
        <v>5209</v>
      </c>
      <c r="D109" s="180" t="s">
        <v>759</v>
      </c>
      <c r="E109" s="181">
        <v>1.68</v>
      </c>
      <c r="F109" s="180" t="s">
        <v>758</v>
      </c>
      <c r="G109" s="180" t="s">
        <v>640</v>
      </c>
      <c r="H109" s="84">
        <v>2992</v>
      </c>
      <c r="L109" s="179" t="s">
        <v>1528</v>
      </c>
    </row>
    <row r="110" spans="1:12" s="179" customFormat="1" ht="14.25" customHeight="1" x14ac:dyDescent="0.25">
      <c r="A110" s="180" t="s">
        <v>5139</v>
      </c>
      <c r="B110" s="180" t="s">
        <v>5210</v>
      </c>
      <c r="C110" s="180" t="s">
        <v>5211</v>
      </c>
      <c r="D110" s="180" t="s">
        <v>648</v>
      </c>
      <c r="E110" s="181">
        <v>3.53</v>
      </c>
      <c r="F110" s="180" t="s">
        <v>647</v>
      </c>
      <c r="G110" s="180" t="s">
        <v>640</v>
      </c>
      <c r="H110" s="84" t="s">
        <v>5212</v>
      </c>
    </row>
    <row r="111" spans="1:12" s="179" customFormat="1" ht="14.25" customHeight="1" x14ac:dyDescent="0.25">
      <c r="A111" s="180" t="s">
        <v>5139</v>
      </c>
      <c r="B111" s="180" t="s">
        <v>5213</v>
      </c>
      <c r="C111" s="180" t="s">
        <v>5214</v>
      </c>
      <c r="D111" s="180" t="s">
        <v>5215</v>
      </c>
      <c r="E111" s="181">
        <v>7.19</v>
      </c>
      <c r="F111" s="180" t="s">
        <v>5216</v>
      </c>
      <c r="G111" s="180" t="s">
        <v>640</v>
      </c>
      <c r="H111" s="84">
        <v>2993</v>
      </c>
    </row>
    <row r="112" spans="1:12" s="179" customFormat="1" ht="14.25" customHeight="1" x14ac:dyDescent="0.25">
      <c r="A112" s="180" t="s">
        <v>5139</v>
      </c>
      <c r="B112" s="180" t="s">
        <v>5217</v>
      </c>
      <c r="C112" s="180" t="s">
        <v>5218</v>
      </c>
      <c r="D112" s="180" t="s">
        <v>1325</v>
      </c>
      <c r="E112" s="181">
        <v>3.36</v>
      </c>
      <c r="F112" s="180" t="s">
        <v>1324</v>
      </c>
      <c r="G112" s="180" t="s">
        <v>640</v>
      </c>
      <c r="H112" s="84">
        <v>2994</v>
      </c>
    </row>
    <row r="113" spans="1:14" s="179" customFormat="1" ht="14.25" customHeight="1" x14ac:dyDescent="0.25">
      <c r="A113" s="180" t="s">
        <v>5139</v>
      </c>
      <c r="B113" s="180" t="s">
        <v>5219</v>
      </c>
      <c r="C113" s="180" t="s">
        <v>5220</v>
      </c>
      <c r="D113" s="180" t="s">
        <v>1408</v>
      </c>
      <c r="E113" s="181">
        <v>6.94</v>
      </c>
      <c r="F113" s="180" t="s">
        <v>1407</v>
      </c>
      <c r="G113" s="180" t="s">
        <v>640</v>
      </c>
      <c r="H113" s="84">
        <v>2995</v>
      </c>
    </row>
    <row r="114" spans="1:14" s="179" customFormat="1" ht="14.25" customHeight="1" x14ac:dyDescent="0.25">
      <c r="A114" s="180" t="s">
        <v>5139</v>
      </c>
      <c r="B114" s="180" t="s">
        <v>5221</v>
      </c>
      <c r="C114" s="180" t="s">
        <v>5222</v>
      </c>
      <c r="D114" s="180" t="s">
        <v>1218</v>
      </c>
      <c r="E114" s="181">
        <v>10.81</v>
      </c>
      <c r="F114" s="180" t="s">
        <v>1217</v>
      </c>
      <c r="G114" s="180" t="s">
        <v>640</v>
      </c>
      <c r="H114" s="84">
        <v>2996</v>
      </c>
      <c r="K114" s="179" t="s">
        <v>1527</v>
      </c>
      <c r="N114" s="179" t="s">
        <v>1526</v>
      </c>
    </row>
    <row r="115" spans="1:14" s="179" customFormat="1" ht="14.25" customHeight="1" x14ac:dyDescent="0.25">
      <c r="A115" s="180" t="s">
        <v>5223</v>
      </c>
      <c r="B115" s="180" t="s">
        <v>5224</v>
      </c>
      <c r="C115" s="180" t="s">
        <v>5225</v>
      </c>
      <c r="D115" s="180" t="s">
        <v>5226</v>
      </c>
      <c r="E115" s="181">
        <v>4.1900000000000004</v>
      </c>
      <c r="F115" s="180" t="s">
        <v>5227</v>
      </c>
      <c r="G115" s="180" t="s">
        <v>640</v>
      </c>
      <c r="H115" s="84">
        <v>3041</v>
      </c>
    </row>
    <row r="116" spans="1:14" s="179" customFormat="1" ht="14.25" customHeight="1" x14ac:dyDescent="0.25">
      <c r="A116" s="180" t="s">
        <v>5223</v>
      </c>
      <c r="B116" s="180" t="s">
        <v>4624</v>
      </c>
      <c r="C116" s="180" t="s">
        <v>5228</v>
      </c>
      <c r="D116" s="180" t="s">
        <v>5229</v>
      </c>
      <c r="E116" s="181">
        <v>6.25</v>
      </c>
      <c r="F116" s="180" t="s">
        <v>5230</v>
      </c>
      <c r="G116" s="180" t="s">
        <v>640</v>
      </c>
      <c r="H116" s="84">
        <v>3042</v>
      </c>
    </row>
    <row r="117" spans="1:14" s="179" customFormat="1" ht="14.25" customHeight="1" x14ac:dyDescent="0.25">
      <c r="A117" s="180" t="s">
        <v>5223</v>
      </c>
      <c r="B117" s="180" t="s">
        <v>5231</v>
      </c>
      <c r="C117" s="180" t="s">
        <v>5232</v>
      </c>
      <c r="D117" s="180" t="s">
        <v>905</v>
      </c>
      <c r="E117" s="181">
        <v>13.29</v>
      </c>
      <c r="F117" s="180" t="s">
        <v>904</v>
      </c>
      <c r="G117" s="180" t="s">
        <v>640</v>
      </c>
      <c r="H117" s="84">
        <v>3043</v>
      </c>
    </row>
    <row r="118" spans="1:14" s="179" customFormat="1" ht="14.25" customHeight="1" x14ac:dyDescent="0.25">
      <c r="A118" s="180" t="s">
        <v>5223</v>
      </c>
      <c r="B118" s="180" t="s">
        <v>5233</v>
      </c>
      <c r="C118" s="180" t="s">
        <v>5234</v>
      </c>
      <c r="D118" s="180" t="s">
        <v>755</v>
      </c>
      <c r="E118" s="181">
        <v>15.44</v>
      </c>
      <c r="F118" s="180" t="s">
        <v>754</v>
      </c>
      <c r="G118" s="180" t="s">
        <v>640</v>
      </c>
      <c r="H118" s="84">
        <v>3044</v>
      </c>
    </row>
    <row r="119" spans="1:14" s="179" customFormat="1" ht="14.25" customHeight="1" x14ac:dyDescent="0.25">
      <c r="A119" s="180" t="s">
        <v>5223</v>
      </c>
      <c r="B119" s="180" t="s">
        <v>5235</v>
      </c>
      <c r="C119" s="180" t="s">
        <v>5236</v>
      </c>
      <c r="D119" s="180" t="s">
        <v>761</v>
      </c>
      <c r="E119" s="181">
        <v>1.97</v>
      </c>
      <c r="F119" s="180" t="s">
        <v>760</v>
      </c>
      <c r="G119" s="180" t="s">
        <v>640</v>
      </c>
      <c r="H119" s="84">
        <v>3045</v>
      </c>
    </row>
    <row r="120" spans="1:14" s="179" customFormat="1" ht="14.25" customHeight="1" x14ac:dyDescent="0.25">
      <c r="A120" s="180" t="s">
        <v>5223</v>
      </c>
      <c r="B120" s="180" t="s">
        <v>5237</v>
      </c>
      <c r="C120" s="180" t="s">
        <v>5238</v>
      </c>
      <c r="D120" s="180" t="s">
        <v>5239</v>
      </c>
      <c r="E120" s="181">
        <v>6.93</v>
      </c>
      <c r="F120" s="180" t="s">
        <v>5240</v>
      </c>
      <c r="G120" s="180" t="s">
        <v>640</v>
      </c>
      <c r="H120" s="84">
        <v>3046</v>
      </c>
    </row>
    <row r="121" spans="1:14" s="179" customFormat="1" ht="14.25" customHeight="1" x14ac:dyDescent="0.25">
      <c r="A121" s="180" t="s">
        <v>5223</v>
      </c>
      <c r="B121" s="180" t="s">
        <v>5241</v>
      </c>
      <c r="C121" s="180" t="s">
        <v>5242</v>
      </c>
      <c r="D121" s="180" t="s">
        <v>5243</v>
      </c>
      <c r="E121" s="181">
        <v>5.51</v>
      </c>
      <c r="F121" s="180" t="s">
        <v>5244</v>
      </c>
      <c r="G121" s="180" t="s">
        <v>640</v>
      </c>
      <c r="H121" s="84">
        <v>3047</v>
      </c>
    </row>
    <row r="122" spans="1:14" s="179" customFormat="1" ht="14.25" customHeight="1" x14ac:dyDescent="0.25">
      <c r="A122" s="180" t="s">
        <v>5223</v>
      </c>
      <c r="B122" s="180" t="s">
        <v>5245</v>
      </c>
      <c r="C122" s="180" t="s">
        <v>5246</v>
      </c>
      <c r="D122" s="180" t="s">
        <v>1016</v>
      </c>
      <c r="E122" s="181">
        <v>12.86</v>
      </c>
      <c r="F122" s="180" t="s">
        <v>1015</v>
      </c>
      <c r="G122" s="180" t="s">
        <v>640</v>
      </c>
      <c r="H122" s="84">
        <v>3048</v>
      </c>
    </row>
    <row r="123" spans="1:14" s="179" customFormat="1" ht="14.25" customHeight="1" x14ac:dyDescent="0.25">
      <c r="A123" s="180" t="s">
        <v>5223</v>
      </c>
      <c r="B123" s="180" t="s">
        <v>5247</v>
      </c>
      <c r="C123" s="180" t="s">
        <v>5248</v>
      </c>
      <c r="D123" s="180" t="s">
        <v>3933</v>
      </c>
      <c r="E123" s="181">
        <v>2.95</v>
      </c>
      <c r="F123" s="180" t="s">
        <v>3934</v>
      </c>
      <c r="G123" s="180" t="s">
        <v>640</v>
      </c>
      <c r="H123" s="84">
        <v>3049</v>
      </c>
    </row>
    <row r="124" spans="1:14" s="179" customFormat="1" ht="14.25" customHeight="1" x14ac:dyDescent="0.25">
      <c r="A124" s="180" t="s">
        <v>5223</v>
      </c>
      <c r="B124" s="180" t="s">
        <v>5249</v>
      </c>
      <c r="C124" s="180" t="s">
        <v>5250</v>
      </c>
      <c r="D124" s="180" t="s">
        <v>5251</v>
      </c>
      <c r="E124" s="181">
        <v>18.79</v>
      </c>
      <c r="F124" s="180" t="s">
        <v>5252</v>
      </c>
      <c r="G124" s="180" t="s">
        <v>640</v>
      </c>
      <c r="H124" s="84">
        <v>3050</v>
      </c>
    </row>
    <row r="125" spans="1:14" s="179" customFormat="1" ht="14.25" customHeight="1" x14ac:dyDescent="0.25">
      <c r="A125" s="180" t="s">
        <v>5223</v>
      </c>
      <c r="B125" s="180" t="s">
        <v>5253</v>
      </c>
      <c r="C125" s="180" t="s">
        <v>5254</v>
      </c>
      <c r="D125" s="180" t="s">
        <v>1583</v>
      </c>
      <c r="E125" s="181">
        <v>29.14</v>
      </c>
      <c r="F125" s="180" t="s">
        <v>1584</v>
      </c>
      <c r="G125" s="180" t="s">
        <v>640</v>
      </c>
      <c r="H125" s="84">
        <v>3051</v>
      </c>
    </row>
    <row r="126" spans="1:14" s="179" customFormat="1" ht="14.25" customHeight="1" x14ac:dyDescent="0.25">
      <c r="A126" s="180" t="s">
        <v>5223</v>
      </c>
      <c r="B126" s="180" t="s">
        <v>5255</v>
      </c>
      <c r="C126" s="180" t="s">
        <v>5256</v>
      </c>
      <c r="D126" s="180" t="s">
        <v>1446</v>
      </c>
      <c r="E126" s="181">
        <v>6.94</v>
      </c>
      <c r="F126" s="180" t="s">
        <v>1445</v>
      </c>
      <c r="G126" s="180" t="s">
        <v>640</v>
      </c>
      <c r="H126" s="84">
        <v>3052</v>
      </c>
    </row>
    <row r="127" spans="1:14" s="179" customFormat="1" ht="14.25" customHeight="1" x14ac:dyDescent="0.25">
      <c r="A127" s="180" t="s">
        <v>5223</v>
      </c>
      <c r="B127" s="180" t="s">
        <v>5257</v>
      </c>
      <c r="C127" s="180" t="s">
        <v>5258</v>
      </c>
      <c r="D127" s="180" t="s">
        <v>1030</v>
      </c>
      <c r="E127" s="181">
        <v>20.190000000000001</v>
      </c>
      <c r="F127" s="180" t="s">
        <v>1029</v>
      </c>
      <c r="G127" s="180" t="s">
        <v>640</v>
      </c>
      <c r="H127" s="84">
        <v>3053</v>
      </c>
    </row>
    <row r="128" spans="1:14" s="179" customFormat="1" ht="14.25" customHeight="1" x14ac:dyDescent="0.25">
      <c r="A128" s="180" t="s">
        <v>5223</v>
      </c>
      <c r="B128" s="180" t="s">
        <v>5259</v>
      </c>
      <c r="C128" s="180" t="s">
        <v>5260</v>
      </c>
      <c r="D128" s="180" t="s">
        <v>5261</v>
      </c>
      <c r="E128" s="181">
        <v>9.1999999999999993</v>
      </c>
      <c r="F128" s="180" t="s">
        <v>5262</v>
      </c>
      <c r="G128" s="180" t="s">
        <v>640</v>
      </c>
      <c r="H128" s="84">
        <v>3054</v>
      </c>
    </row>
    <row r="129" spans="1:10" s="179" customFormat="1" ht="14.25" customHeight="1" x14ac:dyDescent="0.25">
      <c r="A129" s="180" t="s">
        <v>5223</v>
      </c>
      <c r="B129" s="180" t="s">
        <v>5263</v>
      </c>
      <c r="C129" s="180" t="s">
        <v>5264</v>
      </c>
      <c r="D129" s="180" t="s">
        <v>3655</v>
      </c>
      <c r="E129" s="181">
        <v>7.28</v>
      </c>
      <c r="F129" s="180" t="s">
        <v>3656</v>
      </c>
      <c r="G129" s="180" t="s">
        <v>640</v>
      </c>
      <c r="H129" s="84">
        <v>3055</v>
      </c>
    </row>
    <row r="130" spans="1:10" s="179" customFormat="1" ht="14.25" customHeight="1" x14ac:dyDescent="0.25">
      <c r="A130" s="180" t="s">
        <v>5223</v>
      </c>
      <c r="B130" s="180" t="s">
        <v>3365</v>
      </c>
      <c r="C130" s="180" t="s">
        <v>5265</v>
      </c>
      <c r="D130" s="180" t="s">
        <v>696</v>
      </c>
      <c r="E130" s="181">
        <v>6.94</v>
      </c>
      <c r="F130" s="180" t="s">
        <v>695</v>
      </c>
      <c r="G130" s="180" t="s">
        <v>640</v>
      </c>
      <c r="H130" s="84">
        <v>3056</v>
      </c>
    </row>
    <row r="131" spans="1:10" s="179" customFormat="1" ht="14.25" customHeight="1" x14ac:dyDescent="0.25">
      <c r="A131" s="180" t="s">
        <v>5223</v>
      </c>
      <c r="B131" s="180" t="s">
        <v>5266</v>
      </c>
      <c r="C131" s="180" t="s">
        <v>5267</v>
      </c>
      <c r="D131" s="180" t="s">
        <v>683</v>
      </c>
      <c r="E131" s="181">
        <v>2.2400000000000002</v>
      </c>
      <c r="F131" s="180" t="s">
        <v>682</v>
      </c>
      <c r="G131" s="180" t="s">
        <v>640</v>
      </c>
      <c r="H131" s="84">
        <v>3057</v>
      </c>
    </row>
    <row r="132" spans="1:10" s="179" customFormat="1" ht="14.25" customHeight="1" x14ac:dyDescent="0.25">
      <c r="A132" s="180" t="s">
        <v>5223</v>
      </c>
      <c r="B132" s="180" t="s">
        <v>5268</v>
      </c>
      <c r="C132" s="180" t="s">
        <v>5269</v>
      </c>
      <c r="D132" s="180" t="s">
        <v>5270</v>
      </c>
      <c r="E132" s="181">
        <v>9.6999999999999993</v>
      </c>
      <c r="F132" s="180" t="s">
        <v>738</v>
      </c>
      <c r="G132" s="180" t="s">
        <v>640</v>
      </c>
      <c r="H132" s="84">
        <v>3058</v>
      </c>
    </row>
    <row r="133" spans="1:10" s="179" customFormat="1" ht="14.25" customHeight="1" x14ac:dyDescent="0.25">
      <c r="A133" s="180" t="s">
        <v>5223</v>
      </c>
      <c r="B133" s="180" t="s">
        <v>5271</v>
      </c>
      <c r="C133" s="180" t="s">
        <v>5272</v>
      </c>
      <c r="D133" s="180" t="s">
        <v>1178</v>
      </c>
      <c r="E133" s="181">
        <v>3.79</v>
      </c>
      <c r="F133" s="180" t="s">
        <v>1177</v>
      </c>
      <c r="G133" s="180" t="s">
        <v>640</v>
      </c>
      <c r="H133" s="84">
        <v>3059</v>
      </c>
    </row>
    <row r="134" spans="1:10" s="179" customFormat="1" ht="14.25" customHeight="1" x14ac:dyDescent="0.25">
      <c r="A134" s="180" t="s">
        <v>5223</v>
      </c>
      <c r="B134" s="180" t="s">
        <v>5273</v>
      </c>
      <c r="C134" s="180" t="s">
        <v>5274</v>
      </c>
      <c r="D134" s="180" t="s">
        <v>5275</v>
      </c>
      <c r="E134" s="181">
        <v>3.86</v>
      </c>
      <c r="F134" s="180" t="s">
        <v>5276</v>
      </c>
      <c r="G134" s="180" t="s">
        <v>640</v>
      </c>
      <c r="H134" s="84">
        <v>3060</v>
      </c>
    </row>
    <row r="135" spans="1:10" s="179" customFormat="1" ht="14.25" customHeight="1" x14ac:dyDescent="0.25">
      <c r="A135" s="180" t="s">
        <v>5223</v>
      </c>
      <c r="B135" s="180" t="s">
        <v>5277</v>
      </c>
      <c r="C135" s="180" t="s">
        <v>5278</v>
      </c>
      <c r="D135" s="180" t="s">
        <v>1233</v>
      </c>
      <c r="E135" s="181">
        <v>1.74</v>
      </c>
      <c r="F135" s="180" t="s">
        <v>1232</v>
      </c>
      <c r="G135" s="180" t="s">
        <v>640</v>
      </c>
      <c r="H135" s="84">
        <v>3061</v>
      </c>
    </row>
    <row r="136" spans="1:10" s="179" customFormat="1" ht="14.25" customHeight="1" x14ac:dyDescent="0.25">
      <c r="A136" s="180" t="s">
        <v>5223</v>
      </c>
      <c r="B136" s="180" t="s">
        <v>5279</v>
      </c>
      <c r="C136" s="180" t="s">
        <v>5280</v>
      </c>
      <c r="D136" s="180" t="s">
        <v>1213</v>
      </c>
      <c r="E136" s="181">
        <v>7.87</v>
      </c>
      <c r="F136" s="180" t="s">
        <v>1212</v>
      </c>
      <c r="G136" s="180" t="s">
        <v>640</v>
      </c>
      <c r="H136" s="84">
        <v>3062</v>
      </c>
    </row>
    <row r="137" spans="1:10" s="179" customFormat="1" ht="14.25" customHeight="1" x14ac:dyDescent="0.25">
      <c r="A137" s="180" t="s">
        <v>5223</v>
      </c>
      <c r="B137" s="180" t="s">
        <v>5281</v>
      </c>
      <c r="C137" s="180" t="s">
        <v>5282</v>
      </c>
      <c r="D137" s="180" t="s">
        <v>1413</v>
      </c>
      <c r="E137" s="181">
        <v>1.68</v>
      </c>
      <c r="F137" s="180" t="s">
        <v>1412</v>
      </c>
      <c r="G137" s="180" t="s">
        <v>640</v>
      </c>
      <c r="H137" s="84">
        <v>3063</v>
      </c>
    </row>
    <row r="138" spans="1:10" s="179" customFormat="1" ht="14.25" customHeight="1" x14ac:dyDescent="0.25">
      <c r="A138" s="180" t="s">
        <v>5223</v>
      </c>
      <c r="B138" s="180" t="s">
        <v>5283</v>
      </c>
      <c r="C138" s="180" t="s">
        <v>5284</v>
      </c>
      <c r="D138" s="180" t="s">
        <v>5285</v>
      </c>
      <c r="E138" s="181">
        <v>15</v>
      </c>
      <c r="F138" s="180" t="s">
        <v>5286</v>
      </c>
      <c r="G138" s="180" t="s">
        <v>640</v>
      </c>
      <c r="H138" s="84">
        <v>3064</v>
      </c>
    </row>
    <row r="139" spans="1:10" s="179" customFormat="1" ht="14.25" customHeight="1" x14ac:dyDescent="0.25">
      <c r="A139" s="180" t="s">
        <v>5223</v>
      </c>
      <c r="B139" s="180" t="s">
        <v>5287</v>
      </c>
      <c r="C139" s="180" t="s">
        <v>5288</v>
      </c>
      <c r="D139" s="180" t="s">
        <v>5289</v>
      </c>
      <c r="E139" s="181">
        <v>4.1900000000000004</v>
      </c>
      <c r="F139" s="180" t="s">
        <v>5290</v>
      </c>
      <c r="G139" s="180" t="s">
        <v>640</v>
      </c>
      <c r="H139" s="84">
        <v>3065</v>
      </c>
    </row>
    <row r="140" spans="1:10" s="179" customFormat="1" ht="14.25" customHeight="1" x14ac:dyDescent="0.25">
      <c r="A140" s="180" t="s">
        <v>5223</v>
      </c>
      <c r="B140" s="180" t="s">
        <v>5291</v>
      </c>
      <c r="C140" s="180" t="s">
        <v>5292</v>
      </c>
      <c r="D140" s="180" t="s">
        <v>4169</v>
      </c>
      <c r="E140" s="181">
        <v>2.33</v>
      </c>
      <c r="F140" s="180" t="s">
        <v>4170</v>
      </c>
      <c r="G140" s="180" t="s">
        <v>640</v>
      </c>
      <c r="H140" s="84">
        <v>3066</v>
      </c>
      <c r="I140" s="184"/>
      <c r="J140" s="84"/>
    </row>
    <row r="141" spans="1:10" s="179" customFormat="1" ht="14.25" customHeight="1" x14ac:dyDescent="0.25">
      <c r="A141" s="180" t="s">
        <v>5223</v>
      </c>
      <c r="B141" s="180" t="s">
        <v>5293</v>
      </c>
      <c r="C141" s="180" t="s">
        <v>5294</v>
      </c>
      <c r="D141" s="180" t="s">
        <v>1070</v>
      </c>
      <c r="E141" s="181">
        <v>3.4</v>
      </c>
      <c r="F141" s="180" t="s">
        <v>1069</v>
      </c>
      <c r="G141" s="180" t="s">
        <v>640</v>
      </c>
      <c r="H141" s="84">
        <v>3067</v>
      </c>
    </row>
    <row r="142" spans="1:10" s="179" customFormat="1" ht="14.25" customHeight="1" x14ac:dyDescent="0.25">
      <c r="A142" s="180" t="s">
        <v>5295</v>
      </c>
      <c r="B142" s="180" t="s">
        <v>5296</v>
      </c>
      <c r="C142" s="180" t="s">
        <v>5297</v>
      </c>
      <c r="D142" s="180" t="s">
        <v>966</v>
      </c>
      <c r="E142" s="181">
        <v>10.48</v>
      </c>
      <c r="F142" s="180" t="s">
        <v>965</v>
      </c>
      <c r="G142" s="180" t="s">
        <v>640</v>
      </c>
      <c r="H142" s="84">
        <v>3272</v>
      </c>
    </row>
    <row r="143" spans="1:10" s="179" customFormat="1" ht="14.25" customHeight="1" x14ac:dyDescent="0.25">
      <c r="A143" s="180" t="s">
        <v>5295</v>
      </c>
      <c r="B143" s="180" t="s">
        <v>5298</v>
      </c>
      <c r="C143" s="180" t="s">
        <v>5299</v>
      </c>
      <c r="D143" s="180" t="s">
        <v>5300</v>
      </c>
      <c r="E143" s="181">
        <v>15.84</v>
      </c>
      <c r="F143" s="180" t="s">
        <v>5301</v>
      </c>
      <c r="G143" s="180" t="s">
        <v>640</v>
      </c>
      <c r="H143" s="84">
        <v>3273</v>
      </c>
    </row>
    <row r="144" spans="1:10" s="179" customFormat="1" ht="14.25" customHeight="1" x14ac:dyDescent="0.25">
      <c r="A144" s="180" t="s">
        <v>5295</v>
      </c>
      <c r="B144" s="180" t="s">
        <v>5302</v>
      </c>
      <c r="C144" s="180" t="s">
        <v>5303</v>
      </c>
      <c r="D144" s="180" t="s">
        <v>4735</v>
      </c>
      <c r="E144" s="181">
        <v>1.68</v>
      </c>
      <c r="F144" s="180" t="s">
        <v>4736</v>
      </c>
      <c r="G144" s="180" t="s">
        <v>640</v>
      </c>
      <c r="H144" s="84">
        <v>3274</v>
      </c>
    </row>
    <row r="145" spans="1:8" s="179" customFormat="1" ht="14.25" customHeight="1" x14ac:dyDescent="0.25">
      <c r="A145" s="180" t="s">
        <v>5295</v>
      </c>
      <c r="B145" s="180" t="s">
        <v>5304</v>
      </c>
      <c r="C145" s="180" t="s">
        <v>5305</v>
      </c>
      <c r="D145" s="180" t="s">
        <v>5306</v>
      </c>
      <c r="E145" s="181">
        <v>10.7</v>
      </c>
      <c r="F145" s="180" t="s">
        <v>5307</v>
      </c>
      <c r="G145" s="180" t="s">
        <v>640</v>
      </c>
      <c r="H145" s="84">
        <v>3275</v>
      </c>
    </row>
    <row r="146" spans="1:8" s="179" customFormat="1" ht="14.25" customHeight="1" x14ac:dyDescent="0.25">
      <c r="A146" s="180" t="s">
        <v>5295</v>
      </c>
      <c r="B146" s="180" t="s">
        <v>5308</v>
      </c>
      <c r="C146" s="180" t="s">
        <v>5309</v>
      </c>
      <c r="D146" s="180" t="s">
        <v>1042</v>
      </c>
      <c r="E146" s="181">
        <v>7.78</v>
      </c>
      <c r="F146" s="180" t="s">
        <v>1041</v>
      </c>
      <c r="G146" s="180" t="s">
        <v>640</v>
      </c>
      <c r="H146" s="84">
        <v>3276</v>
      </c>
    </row>
    <row r="147" spans="1:8" s="179" customFormat="1" ht="14.25" customHeight="1" x14ac:dyDescent="0.25">
      <c r="A147" s="180" t="s">
        <v>5295</v>
      </c>
      <c r="B147" s="180" t="s">
        <v>5310</v>
      </c>
      <c r="C147" s="180" t="s">
        <v>5311</v>
      </c>
      <c r="D147" s="180" t="s">
        <v>5312</v>
      </c>
      <c r="E147" s="181">
        <v>5.91</v>
      </c>
      <c r="F147" s="180" t="s">
        <v>5313</v>
      </c>
      <c r="G147" s="180" t="s">
        <v>640</v>
      </c>
      <c r="H147" s="84">
        <v>3277</v>
      </c>
    </row>
    <row r="148" spans="1:8" s="179" customFormat="1" ht="14.25" customHeight="1" x14ac:dyDescent="0.25">
      <c r="A148" s="180" t="s">
        <v>5295</v>
      </c>
      <c r="B148" s="180" t="s">
        <v>5314</v>
      </c>
      <c r="C148" s="180" t="s">
        <v>5315</v>
      </c>
      <c r="D148" s="180" t="s">
        <v>4523</v>
      </c>
      <c r="E148" s="181">
        <v>14.1</v>
      </c>
      <c r="F148" s="180" t="s">
        <v>4524</v>
      </c>
      <c r="G148" s="180" t="s">
        <v>640</v>
      </c>
      <c r="H148" s="84">
        <v>3278</v>
      </c>
    </row>
    <row r="149" spans="1:8" s="179" customFormat="1" ht="14.25" customHeight="1" x14ac:dyDescent="0.25">
      <c r="A149" s="180" t="s">
        <v>5295</v>
      </c>
      <c r="B149" s="180" t="s">
        <v>5316</v>
      </c>
      <c r="C149" s="180" t="s">
        <v>5317</v>
      </c>
      <c r="D149" s="180" t="s">
        <v>4210</v>
      </c>
      <c r="E149" s="181">
        <v>12.06</v>
      </c>
      <c r="F149" s="180" t="s">
        <v>4211</v>
      </c>
      <c r="G149" s="180" t="s">
        <v>640</v>
      </c>
      <c r="H149" s="84">
        <v>3279</v>
      </c>
    </row>
    <row r="150" spans="1:8" s="179" customFormat="1" ht="14.25" customHeight="1" x14ac:dyDescent="0.25">
      <c r="A150" s="180" t="s">
        <v>5295</v>
      </c>
      <c r="B150" s="180" t="s">
        <v>5318</v>
      </c>
      <c r="C150" s="180" t="s">
        <v>5319</v>
      </c>
      <c r="D150" s="180" t="s">
        <v>792</v>
      </c>
      <c r="E150" s="181">
        <v>6.44</v>
      </c>
      <c r="F150" s="180" t="s">
        <v>791</v>
      </c>
      <c r="G150" s="180" t="s">
        <v>640</v>
      </c>
      <c r="H150" s="25">
        <v>3280</v>
      </c>
    </row>
    <row r="151" spans="1:8" s="179" customFormat="1" ht="14.25" customHeight="1" x14ac:dyDescent="0.25">
      <c r="A151" s="180" t="s">
        <v>5295</v>
      </c>
      <c r="B151" s="180" t="s">
        <v>5320</v>
      </c>
      <c r="C151" s="180" t="s">
        <v>5321</v>
      </c>
      <c r="D151" s="180" t="s">
        <v>5322</v>
      </c>
      <c r="E151" s="181">
        <v>12.48</v>
      </c>
      <c r="F151" s="180" t="s">
        <v>5323</v>
      </c>
      <c r="G151" s="180" t="s">
        <v>640</v>
      </c>
      <c r="H151" s="84">
        <v>3281</v>
      </c>
    </row>
    <row r="152" spans="1:8" s="179" customFormat="1" ht="14.25" customHeight="1" x14ac:dyDescent="0.25">
      <c r="A152" s="180" t="s">
        <v>5295</v>
      </c>
      <c r="B152" s="180" t="s">
        <v>5324</v>
      </c>
      <c r="C152" s="180" t="s">
        <v>5325</v>
      </c>
      <c r="D152" s="180" t="s">
        <v>731</v>
      </c>
      <c r="E152" s="181">
        <v>4.47</v>
      </c>
      <c r="F152" s="180" t="s">
        <v>730</v>
      </c>
      <c r="G152" s="180" t="s">
        <v>640</v>
      </c>
      <c r="H152" s="84">
        <v>3282</v>
      </c>
    </row>
    <row r="153" spans="1:8" s="179" customFormat="1" ht="14.25" customHeight="1" x14ac:dyDescent="0.25">
      <c r="A153" s="180" t="s">
        <v>5295</v>
      </c>
      <c r="B153" s="180" t="s">
        <v>3459</v>
      </c>
      <c r="C153" s="180" t="s">
        <v>5326</v>
      </c>
      <c r="D153" s="180" t="s">
        <v>4113</v>
      </c>
      <c r="E153" s="181">
        <v>10.48</v>
      </c>
      <c r="F153" s="180" t="s">
        <v>4114</v>
      </c>
      <c r="G153" s="180" t="s">
        <v>640</v>
      </c>
      <c r="H153" s="84">
        <v>3283</v>
      </c>
    </row>
    <row r="154" spans="1:8" s="179" customFormat="1" ht="14.25" customHeight="1" x14ac:dyDescent="0.25">
      <c r="A154" s="180" t="s">
        <v>5295</v>
      </c>
      <c r="B154" s="180" t="s">
        <v>5327</v>
      </c>
      <c r="C154" s="180" t="s">
        <v>5328</v>
      </c>
      <c r="D154" s="180" t="s">
        <v>5329</v>
      </c>
      <c r="E154" s="181">
        <v>2.41</v>
      </c>
      <c r="F154" s="180" t="s">
        <v>5330</v>
      </c>
      <c r="G154" s="180" t="s">
        <v>640</v>
      </c>
      <c r="H154" s="84">
        <v>3284</v>
      </c>
    </row>
    <row r="155" spans="1:8" s="179" customFormat="1" ht="14.25" customHeight="1" x14ac:dyDescent="0.25">
      <c r="A155" s="180" t="s">
        <v>5295</v>
      </c>
      <c r="B155" s="180" t="s">
        <v>5331</v>
      </c>
      <c r="C155" s="180" t="s">
        <v>5332</v>
      </c>
      <c r="D155" s="180" t="s">
        <v>5333</v>
      </c>
      <c r="E155" s="181">
        <v>61.2</v>
      </c>
      <c r="F155" s="180" t="s">
        <v>5334</v>
      </c>
      <c r="G155" s="180" t="s">
        <v>640</v>
      </c>
      <c r="H155" s="84">
        <v>3285</v>
      </c>
    </row>
    <row r="156" spans="1:8" s="179" customFormat="1" ht="14.25" customHeight="1" x14ac:dyDescent="0.25">
      <c r="A156" s="180" t="s">
        <v>5295</v>
      </c>
      <c r="B156" s="180" t="s">
        <v>5335</v>
      </c>
      <c r="C156" s="180" t="s">
        <v>5336</v>
      </c>
      <c r="D156" s="180" t="s">
        <v>3637</v>
      </c>
      <c r="E156" s="181">
        <v>2.68</v>
      </c>
      <c r="F156" s="180" t="s">
        <v>3638</v>
      </c>
      <c r="G156" s="180" t="s">
        <v>640</v>
      </c>
      <c r="H156" s="84">
        <v>3286</v>
      </c>
    </row>
    <row r="157" spans="1:8" s="179" customFormat="1" ht="14.25" customHeight="1" x14ac:dyDescent="0.25">
      <c r="A157" s="180" t="s">
        <v>5295</v>
      </c>
      <c r="B157" s="180" t="s">
        <v>5337</v>
      </c>
      <c r="C157" s="180" t="s">
        <v>5338</v>
      </c>
      <c r="D157" s="180" t="s">
        <v>790</v>
      </c>
      <c r="E157" s="181">
        <v>3.53</v>
      </c>
      <c r="F157" s="180" t="s">
        <v>1468</v>
      </c>
      <c r="G157" s="180" t="s">
        <v>640</v>
      </c>
      <c r="H157" s="84">
        <v>3287</v>
      </c>
    </row>
    <row r="158" spans="1:8" s="179" customFormat="1" ht="14.25" customHeight="1" x14ac:dyDescent="0.25">
      <c r="A158" s="180" t="s">
        <v>5295</v>
      </c>
      <c r="B158" s="180" t="s">
        <v>5339</v>
      </c>
      <c r="C158" s="180" t="s">
        <v>5340</v>
      </c>
      <c r="D158" s="180" t="s">
        <v>869</v>
      </c>
      <c r="E158" s="181">
        <v>1.69</v>
      </c>
      <c r="F158" s="180" t="s">
        <v>868</v>
      </c>
      <c r="G158" s="180" t="s">
        <v>640</v>
      </c>
      <c r="H158" s="84">
        <v>3288</v>
      </c>
    </row>
    <row r="159" spans="1:8" s="179" customFormat="1" ht="14.25" customHeight="1" x14ac:dyDescent="0.25">
      <c r="A159" s="180" t="s">
        <v>5295</v>
      </c>
      <c r="B159" s="180" t="s">
        <v>5341</v>
      </c>
      <c r="C159" s="180" t="s">
        <v>5342</v>
      </c>
      <c r="D159" s="180" t="s">
        <v>706</v>
      </c>
      <c r="E159" s="181">
        <v>8.3800000000000008</v>
      </c>
      <c r="F159" s="180" t="s">
        <v>705</v>
      </c>
      <c r="G159" s="180" t="s">
        <v>640</v>
      </c>
      <c r="H159" s="84">
        <v>3289</v>
      </c>
    </row>
    <row r="160" spans="1:8" s="179" customFormat="1" ht="14.25" customHeight="1" x14ac:dyDescent="0.25">
      <c r="A160" s="180" t="s">
        <v>5295</v>
      </c>
      <c r="B160" s="180" t="s">
        <v>5343</v>
      </c>
      <c r="C160" s="180" t="s">
        <v>5344</v>
      </c>
      <c r="D160" s="180" t="s">
        <v>930</v>
      </c>
      <c r="E160" s="181">
        <v>32.450000000000003</v>
      </c>
      <c r="F160" s="180" t="s">
        <v>929</v>
      </c>
      <c r="G160" s="180" t="s">
        <v>640</v>
      </c>
      <c r="H160" s="84">
        <v>3290</v>
      </c>
    </row>
    <row r="161" spans="1:8" s="179" customFormat="1" ht="14.25" customHeight="1" x14ac:dyDescent="0.25">
      <c r="A161" s="180" t="s">
        <v>5295</v>
      </c>
      <c r="B161" s="180" t="s">
        <v>5345</v>
      </c>
      <c r="C161" s="180" t="s">
        <v>5346</v>
      </c>
      <c r="D161" s="180" t="s">
        <v>776</v>
      </c>
      <c r="E161" s="181">
        <v>8.11</v>
      </c>
      <c r="F161" s="180" t="s">
        <v>775</v>
      </c>
      <c r="G161" s="180" t="s">
        <v>640</v>
      </c>
      <c r="H161" s="84">
        <v>3291</v>
      </c>
    </row>
    <row r="162" spans="1:8" s="179" customFormat="1" ht="14.25" customHeight="1" x14ac:dyDescent="0.25">
      <c r="A162" s="180" t="s">
        <v>5295</v>
      </c>
      <c r="B162" s="180" t="s">
        <v>5347</v>
      </c>
      <c r="C162" s="180" t="s">
        <v>5348</v>
      </c>
      <c r="D162" s="180" t="s">
        <v>3671</v>
      </c>
      <c r="E162" s="181">
        <v>3.36</v>
      </c>
      <c r="F162" s="180" t="s">
        <v>3672</v>
      </c>
      <c r="G162" s="180" t="s">
        <v>640</v>
      </c>
      <c r="H162" s="84">
        <v>3292</v>
      </c>
    </row>
    <row r="163" spans="1:8" s="179" customFormat="1" ht="14.25" customHeight="1" x14ac:dyDescent="0.25">
      <c r="A163" s="180" t="s">
        <v>5295</v>
      </c>
      <c r="B163" s="180" t="s">
        <v>5349</v>
      </c>
      <c r="C163" s="180" t="s">
        <v>5350</v>
      </c>
      <c r="D163" s="180" t="s">
        <v>1265</v>
      </c>
      <c r="E163" s="181">
        <v>4.74</v>
      </c>
      <c r="F163" s="180" t="s">
        <v>1264</v>
      </c>
      <c r="G163" s="180" t="s">
        <v>640</v>
      </c>
      <c r="H163" s="84">
        <v>3293</v>
      </c>
    </row>
    <row r="164" spans="1:8" s="179" customFormat="1" ht="14.25" customHeight="1" x14ac:dyDescent="0.25">
      <c r="A164" s="180" t="s">
        <v>5295</v>
      </c>
      <c r="B164" s="180" t="s">
        <v>5351</v>
      </c>
      <c r="C164" s="180" t="s">
        <v>5352</v>
      </c>
      <c r="D164" s="180" t="s">
        <v>1281</v>
      </c>
      <c r="E164" s="181">
        <v>2.72</v>
      </c>
      <c r="F164" s="180" t="s">
        <v>1280</v>
      </c>
      <c r="G164" s="180" t="s">
        <v>640</v>
      </c>
      <c r="H164" s="84">
        <v>3294</v>
      </c>
    </row>
    <row r="165" spans="1:8" s="179" customFormat="1" ht="14.25" customHeight="1" x14ac:dyDescent="0.25">
      <c r="A165" s="180" t="s">
        <v>5295</v>
      </c>
      <c r="B165" s="180" t="s">
        <v>5353</v>
      </c>
      <c r="C165" s="180" t="s">
        <v>5354</v>
      </c>
      <c r="D165" s="180" t="s">
        <v>1188</v>
      </c>
      <c r="E165" s="181">
        <v>9.06</v>
      </c>
      <c r="F165" s="180" t="s">
        <v>1187</v>
      </c>
      <c r="G165" s="180" t="s">
        <v>640</v>
      </c>
      <c r="H165" s="84">
        <v>3295</v>
      </c>
    </row>
    <row r="166" spans="1:8" s="179" customFormat="1" ht="14.25" customHeight="1" x14ac:dyDescent="0.25">
      <c r="A166" s="180" t="s">
        <v>5295</v>
      </c>
      <c r="B166" s="180" t="s">
        <v>5355</v>
      </c>
      <c r="C166" s="180" t="s">
        <v>5356</v>
      </c>
      <c r="D166" s="180" t="s">
        <v>5357</v>
      </c>
      <c r="E166" s="181">
        <v>6.23</v>
      </c>
      <c r="F166" s="180" t="s">
        <v>5358</v>
      </c>
      <c r="G166" s="180" t="s">
        <v>640</v>
      </c>
      <c r="H166" s="84">
        <v>3296</v>
      </c>
    </row>
    <row r="167" spans="1:8" s="179" customFormat="1" ht="14.25" customHeight="1" x14ac:dyDescent="0.25">
      <c r="A167" s="180" t="s">
        <v>5295</v>
      </c>
      <c r="B167" s="180" t="s">
        <v>5359</v>
      </c>
      <c r="C167" s="180" t="s">
        <v>5360</v>
      </c>
      <c r="D167" s="180" t="s">
        <v>999</v>
      </c>
      <c r="E167" s="181">
        <v>3.12</v>
      </c>
      <c r="F167" s="180" t="s">
        <v>998</v>
      </c>
      <c r="G167" s="180" t="s">
        <v>640</v>
      </c>
      <c r="H167" s="84">
        <v>3297</v>
      </c>
    </row>
    <row r="168" spans="1:8" s="179" customFormat="1" ht="14.25" customHeight="1" x14ac:dyDescent="0.25">
      <c r="A168" s="180" t="s">
        <v>5295</v>
      </c>
      <c r="B168" s="180" t="s">
        <v>5361</v>
      </c>
      <c r="C168" s="180" t="s">
        <v>5362</v>
      </c>
      <c r="D168" s="180" t="s">
        <v>5363</v>
      </c>
      <c r="E168" s="181">
        <v>3.36</v>
      </c>
      <c r="F168" s="180" t="s">
        <v>5364</v>
      </c>
      <c r="G168" s="180" t="s">
        <v>640</v>
      </c>
      <c r="H168" s="84">
        <v>3298</v>
      </c>
    </row>
    <row r="169" spans="1:8" s="179" customFormat="1" ht="14.25" customHeight="1" x14ac:dyDescent="0.25">
      <c r="A169" s="180" t="s">
        <v>5295</v>
      </c>
      <c r="B169" s="180" t="s">
        <v>5365</v>
      </c>
      <c r="C169" s="180" t="s">
        <v>5366</v>
      </c>
      <c r="D169" s="180" t="s">
        <v>1275</v>
      </c>
      <c r="E169" s="181">
        <v>9.8000000000000007</v>
      </c>
      <c r="F169" s="180" t="s">
        <v>1274</v>
      </c>
      <c r="G169" s="180" t="s">
        <v>640</v>
      </c>
      <c r="H169" s="84">
        <v>3299</v>
      </c>
    </row>
    <row r="170" spans="1:8" s="179" customFormat="1" ht="14.25" customHeight="1" x14ac:dyDescent="0.25">
      <c r="A170" s="180" t="s">
        <v>5295</v>
      </c>
      <c r="B170" s="180" t="s">
        <v>5367</v>
      </c>
      <c r="C170" s="180" t="s">
        <v>5368</v>
      </c>
      <c r="D170" s="180" t="s">
        <v>4411</v>
      </c>
      <c r="E170" s="181">
        <v>3.62</v>
      </c>
      <c r="F170" s="180" t="s">
        <v>4412</v>
      </c>
      <c r="G170" s="180" t="s">
        <v>640</v>
      </c>
      <c r="H170" s="84">
        <v>3300</v>
      </c>
    </row>
    <row r="171" spans="1:8" s="179" customFormat="1" ht="14.25" customHeight="1" x14ac:dyDescent="0.25">
      <c r="A171" s="180" t="s">
        <v>5295</v>
      </c>
      <c r="B171" s="180" t="s">
        <v>5369</v>
      </c>
      <c r="C171" s="180" t="s">
        <v>5370</v>
      </c>
      <c r="D171" s="180" t="s">
        <v>1403</v>
      </c>
      <c r="E171" s="181">
        <v>4.3099999999999996</v>
      </c>
      <c r="F171" s="180" t="s">
        <v>1402</v>
      </c>
      <c r="G171" s="180" t="s">
        <v>640</v>
      </c>
      <c r="H171" s="84">
        <v>3301</v>
      </c>
    </row>
    <row r="172" spans="1:8" s="179" customFormat="1" ht="14.25" customHeight="1" x14ac:dyDescent="0.25">
      <c r="A172" s="180" t="s">
        <v>5295</v>
      </c>
      <c r="B172" s="180" t="s">
        <v>5371</v>
      </c>
      <c r="C172" s="180" t="s">
        <v>5372</v>
      </c>
      <c r="D172" s="180" t="s">
        <v>677</v>
      </c>
      <c r="E172" s="181">
        <v>11.08</v>
      </c>
      <c r="F172" s="180" t="s">
        <v>676</v>
      </c>
      <c r="G172" s="180" t="s">
        <v>640</v>
      </c>
      <c r="H172" s="84">
        <v>3302</v>
      </c>
    </row>
    <row r="173" spans="1:8" s="179" customFormat="1" ht="14.25" customHeight="1" x14ac:dyDescent="0.25">
      <c r="A173" s="180" t="s">
        <v>5295</v>
      </c>
      <c r="B173" s="180" t="s">
        <v>5373</v>
      </c>
      <c r="C173" s="180" t="s">
        <v>5374</v>
      </c>
      <c r="D173" s="180" t="s">
        <v>1229</v>
      </c>
      <c r="E173" s="181">
        <v>1.8</v>
      </c>
      <c r="F173" s="180" t="s">
        <v>1228</v>
      </c>
      <c r="G173" s="180" t="s">
        <v>640</v>
      </c>
      <c r="H173" s="84">
        <v>3303</v>
      </c>
    </row>
    <row r="174" spans="1:8" s="179" customFormat="1" ht="14.25" customHeight="1" x14ac:dyDescent="0.25">
      <c r="A174" s="180" t="s">
        <v>5295</v>
      </c>
      <c r="B174" s="180" t="s">
        <v>5375</v>
      </c>
      <c r="C174" s="180" t="s">
        <v>5376</v>
      </c>
      <c r="D174" s="180" t="s">
        <v>827</v>
      </c>
      <c r="E174" s="181">
        <v>2.83</v>
      </c>
      <c r="F174" s="180" t="s">
        <v>826</v>
      </c>
      <c r="G174" s="180" t="s">
        <v>640</v>
      </c>
      <c r="H174" s="84">
        <v>3304</v>
      </c>
    </row>
    <row r="175" spans="1:8" s="179" customFormat="1" ht="14.25" customHeight="1" x14ac:dyDescent="0.25">
      <c r="A175" s="180"/>
      <c r="B175" s="180"/>
      <c r="C175" s="180"/>
      <c r="D175" s="143" t="s">
        <v>3738</v>
      </c>
      <c r="E175" s="141">
        <f>SUM(E58:E174)</f>
        <v>983.79000000000042</v>
      </c>
      <c r="F175" s="180"/>
      <c r="G175" s="180"/>
      <c r="H175" s="84"/>
    </row>
    <row r="176" spans="1:8" s="179" customFormat="1" ht="14.25" customHeight="1" x14ac:dyDescent="0.25">
      <c r="A176" s="180"/>
      <c r="B176" s="180"/>
      <c r="C176" s="180"/>
      <c r="D176" s="180"/>
      <c r="E176" s="181"/>
      <c r="F176" s="180"/>
      <c r="G176" s="180"/>
      <c r="H176" s="84"/>
    </row>
    <row r="177" spans="1:8" s="179" customFormat="1" ht="14.25" customHeight="1" x14ac:dyDescent="0.25">
      <c r="A177" s="180" t="s">
        <v>5377</v>
      </c>
      <c r="B177" s="180" t="s">
        <v>5378</v>
      </c>
      <c r="C177" s="180" t="s">
        <v>5379</v>
      </c>
      <c r="D177" s="180" t="s">
        <v>964</v>
      </c>
      <c r="E177" s="181">
        <v>4.42</v>
      </c>
      <c r="F177" s="180" t="s">
        <v>963</v>
      </c>
      <c r="G177" s="180" t="s">
        <v>640</v>
      </c>
      <c r="H177" s="84">
        <v>3358</v>
      </c>
    </row>
    <row r="178" spans="1:8" s="179" customFormat="1" ht="14.25" customHeight="1" x14ac:dyDescent="0.25">
      <c r="A178" s="180" t="s">
        <v>5377</v>
      </c>
      <c r="B178" s="180" t="s">
        <v>5380</v>
      </c>
      <c r="C178" s="180" t="s">
        <v>5381</v>
      </c>
      <c r="D178" s="180" t="s">
        <v>995</v>
      </c>
      <c r="E178" s="181">
        <v>2.54</v>
      </c>
      <c r="F178" s="180" t="s">
        <v>994</v>
      </c>
      <c r="G178" s="180" t="s">
        <v>640</v>
      </c>
      <c r="H178" s="84">
        <v>3359</v>
      </c>
    </row>
    <row r="179" spans="1:8" s="179" customFormat="1" ht="14.25" customHeight="1" x14ac:dyDescent="0.25">
      <c r="A179" s="180" t="s">
        <v>5377</v>
      </c>
      <c r="B179" s="180" t="s">
        <v>5382</v>
      </c>
      <c r="C179" s="180" t="s">
        <v>5383</v>
      </c>
      <c r="D179" s="180" t="s">
        <v>1573</v>
      </c>
      <c r="E179" s="181">
        <v>9.0500000000000007</v>
      </c>
      <c r="F179" s="180" t="s">
        <v>1572</v>
      </c>
      <c r="G179" s="180" t="s">
        <v>640</v>
      </c>
      <c r="H179" s="84">
        <v>3360</v>
      </c>
    </row>
    <row r="180" spans="1:8" s="179" customFormat="1" ht="14.25" customHeight="1" x14ac:dyDescent="0.25">
      <c r="A180" s="180" t="s">
        <v>5377</v>
      </c>
      <c r="B180" s="180" t="s">
        <v>5384</v>
      </c>
      <c r="C180" s="180" t="s">
        <v>5385</v>
      </c>
      <c r="D180" s="180" t="s">
        <v>5386</v>
      </c>
      <c r="E180" s="181">
        <v>7.49</v>
      </c>
      <c r="F180" s="180" t="s">
        <v>5387</v>
      </c>
      <c r="G180" s="180" t="s">
        <v>640</v>
      </c>
      <c r="H180" s="84">
        <v>3361</v>
      </c>
    </row>
    <row r="181" spans="1:8" s="179" customFormat="1" ht="14.25" customHeight="1" x14ac:dyDescent="0.25">
      <c r="A181" s="180" t="s">
        <v>5377</v>
      </c>
      <c r="B181" s="180" t="s">
        <v>5388</v>
      </c>
      <c r="C181" s="180" t="s">
        <v>5389</v>
      </c>
      <c r="D181" s="180" t="s">
        <v>4109</v>
      </c>
      <c r="E181" s="181">
        <v>1.68</v>
      </c>
      <c r="F181" s="180" t="s">
        <v>4110</v>
      </c>
      <c r="G181" s="180" t="s">
        <v>640</v>
      </c>
      <c r="H181" s="84">
        <v>3362</v>
      </c>
    </row>
    <row r="182" spans="1:8" s="179" customFormat="1" ht="14.25" customHeight="1" x14ac:dyDescent="0.25">
      <c r="A182" s="180" t="s">
        <v>5377</v>
      </c>
      <c r="B182" s="180" t="s">
        <v>5390</v>
      </c>
      <c r="C182" s="180" t="s">
        <v>5391</v>
      </c>
      <c r="D182" s="180" t="s">
        <v>1297</v>
      </c>
      <c r="E182" s="181">
        <v>11.41</v>
      </c>
      <c r="F182" s="180" t="s">
        <v>1296</v>
      </c>
      <c r="G182" s="180" t="s">
        <v>640</v>
      </c>
      <c r="H182" s="84">
        <v>3363</v>
      </c>
    </row>
    <row r="183" spans="1:8" s="179" customFormat="1" ht="14.25" customHeight="1" x14ac:dyDescent="0.25">
      <c r="A183" s="180" t="s">
        <v>5377</v>
      </c>
      <c r="B183" s="180" t="s">
        <v>5392</v>
      </c>
      <c r="C183" s="180" t="s">
        <v>5393</v>
      </c>
      <c r="D183" s="180" t="s">
        <v>5394</v>
      </c>
      <c r="E183" s="181">
        <v>1.7</v>
      </c>
      <c r="F183" s="180" t="s">
        <v>5395</v>
      </c>
      <c r="G183" s="180" t="s">
        <v>640</v>
      </c>
      <c r="H183" s="84">
        <v>3364</v>
      </c>
    </row>
    <row r="184" spans="1:8" s="179" customFormat="1" ht="14.25" customHeight="1" x14ac:dyDescent="0.25">
      <c r="A184" s="180" t="s">
        <v>5377</v>
      </c>
      <c r="B184" s="180" t="s">
        <v>5396</v>
      </c>
      <c r="C184" s="180" t="s">
        <v>5397</v>
      </c>
      <c r="D184" s="180" t="s">
        <v>698</v>
      </c>
      <c r="E184" s="181">
        <v>16.760000000000002</v>
      </c>
      <c r="F184" s="180" t="s">
        <v>697</v>
      </c>
      <c r="G184" s="180" t="s">
        <v>640</v>
      </c>
      <c r="H184" s="84">
        <v>3365</v>
      </c>
    </row>
    <row r="185" spans="1:8" s="179" customFormat="1" ht="14.25" customHeight="1" x14ac:dyDescent="0.25">
      <c r="A185" s="180" t="s">
        <v>5377</v>
      </c>
      <c r="B185" s="180" t="s">
        <v>5398</v>
      </c>
      <c r="C185" s="180" t="s">
        <v>5399</v>
      </c>
      <c r="D185" s="180" t="s">
        <v>4438</v>
      </c>
      <c r="E185" s="181">
        <v>2.76</v>
      </c>
      <c r="F185" s="180" t="s">
        <v>4439</v>
      </c>
      <c r="G185" s="180" t="s">
        <v>640</v>
      </c>
      <c r="H185" s="84">
        <v>3366</v>
      </c>
    </row>
    <row r="186" spans="1:8" s="179" customFormat="1" ht="14.25" customHeight="1" x14ac:dyDescent="0.25">
      <c r="A186" s="180" t="s">
        <v>5377</v>
      </c>
      <c r="B186" s="180" t="s">
        <v>5400</v>
      </c>
      <c r="C186" s="180" t="s">
        <v>5401</v>
      </c>
      <c r="D186" s="180" t="s">
        <v>4093</v>
      </c>
      <c r="E186" s="181">
        <v>1.86</v>
      </c>
      <c r="F186" s="180" t="s">
        <v>4094</v>
      </c>
      <c r="G186" s="180" t="s">
        <v>640</v>
      </c>
      <c r="H186" s="84">
        <v>3367</v>
      </c>
    </row>
    <row r="187" spans="1:8" s="179" customFormat="1" ht="14.25" customHeight="1" x14ac:dyDescent="0.25">
      <c r="A187" s="180" t="s">
        <v>5377</v>
      </c>
      <c r="B187" s="180" t="s">
        <v>5402</v>
      </c>
      <c r="C187" s="180" t="s">
        <v>5403</v>
      </c>
      <c r="D187" s="180" t="s">
        <v>1011</v>
      </c>
      <c r="E187" s="181">
        <v>1.68</v>
      </c>
      <c r="F187" s="180" t="s">
        <v>1010</v>
      </c>
      <c r="G187" s="180" t="s">
        <v>640</v>
      </c>
      <c r="H187" s="84">
        <v>3368</v>
      </c>
    </row>
    <row r="188" spans="1:8" s="179" customFormat="1" ht="14.25" customHeight="1" x14ac:dyDescent="0.25">
      <c r="A188" s="180" t="s">
        <v>5377</v>
      </c>
      <c r="B188" s="180" t="s">
        <v>5404</v>
      </c>
      <c r="C188" s="180" t="s">
        <v>5405</v>
      </c>
      <c r="D188" s="180" t="s">
        <v>1333</v>
      </c>
      <c r="E188" s="181">
        <v>11.24</v>
      </c>
      <c r="F188" s="180" t="s">
        <v>1332</v>
      </c>
      <c r="G188" s="180" t="s">
        <v>640</v>
      </c>
      <c r="H188" s="84">
        <v>3369</v>
      </c>
    </row>
    <row r="189" spans="1:8" s="179" customFormat="1" ht="14.25" customHeight="1" x14ac:dyDescent="0.25">
      <c r="A189" s="180" t="s">
        <v>5377</v>
      </c>
      <c r="B189" s="180" t="s">
        <v>5406</v>
      </c>
      <c r="C189" s="180" t="s">
        <v>5407</v>
      </c>
      <c r="D189" s="180" t="s">
        <v>5408</v>
      </c>
      <c r="E189" s="181">
        <v>2.52</v>
      </c>
      <c r="F189" s="180" t="s">
        <v>5409</v>
      </c>
      <c r="G189" s="180" t="s">
        <v>640</v>
      </c>
      <c r="H189" s="84">
        <v>3370</v>
      </c>
    </row>
    <row r="190" spans="1:8" s="179" customFormat="1" ht="14.25" customHeight="1" x14ac:dyDescent="0.25">
      <c r="A190" s="180" t="s">
        <v>5377</v>
      </c>
      <c r="B190" s="180" t="s">
        <v>5410</v>
      </c>
      <c r="C190" s="180" t="s">
        <v>5411</v>
      </c>
      <c r="D190" s="180" t="s">
        <v>4154</v>
      </c>
      <c r="E190" s="181">
        <v>3.29</v>
      </c>
      <c r="F190" s="180" t="s">
        <v>4151</v>
      </c>
      <c r="G190" s="180" t="s">
        <v>640</v>
      </c>
      <c r="H190" s="84">
        <v>3371</v>
      </c>
    </row>
    <row r="191" spans="1:8" s="179" customFormat="1" ht="14.25" customHeight="1" x14ac:dyDescent="0.25">
      <c r="A191" s="180" t="s">
        <v>5377</v>
      </c>
      <c r="B191" s="180" t="s">
        <v>5412</v>
      </c>
      <c r="C191" s="180" t="s">
        <v>5413</v>
      </c>
      <c r="D191" s="180" t="s">
        <v>4150</v>
      </c>
      <c r="E191" s="181">
        <v>3.32</v>
      </c>
      <c r="F191" s="180" t="s">
        <v>4151</v>
      </c>
      <c r="G191" s="180" t="s">
        <v>640</v>
      </c>
      <c r="H191" s="84">
        <v>3372</v>
      </c>
    </row>
    <row r="192" spans="1:8" s="179" customFormat="1" ht="14.25" customHeight="1" x14ac:dyDescent="0.25">
      <c r="A192" s="180" t="s">
        <v>5377</v>
      </c>
      <c r="B192" s="180" t="s">
        <v>5414</v>
      </c>
      <c r="C192" s="180" t="s">
        <v>5415</v>
      </c>
      <c r="D192" s="180" t="s">
        <v>1577</v>
      </c>
      <c r="E192" s="181">
        <v>8.23</v>
      </c>
      <c r="F192" s="180" t="s">
        <v>1576</v>
      </c>
      <c r="G192" s="180" t="s">
        <v>640</v>
      </c>
      <c r="H192" s="84">
        <v>3373</v>
      </c>
    </row>
    <row r="193" spans="1:8" s="179" customFormat="1" ht="14.25" customHeight="1" x14ac:dyDescent="0.25">
      <c r="A193" s="180" t="s">
        <v>5377</v>
      </c>
      <c r="B193" s="180" t="s">
        <v>5416</v>
      </c>
      <c r="C193" s="180" t="s">
        <v>5417</v>
      </c>
      <c r="D193" s="180" t="s">
        <v>1156</v>
      </c>
      <c r="E193" s="181">
        <v>1.9</v>
      </c>
      <c r="F193" s="180" t="s">
        <v>1155</v>
      </c>
      <c r="G193" s="180" t="s">
        <v>640</v>
      </c>
      <c r="H193" s="84">
        <v>3374</v>
      </c>
    </row>
    <row r="194" spans="1:8" s="179" customFormat="1" ht="14.25" customHeight="1" x14ac:dyDescent="0.25">
      <c r="A194" s="180" t="s">
        <v>5377</v>
      </c>
      <c r="B194" s="180" t="s">
        <v>5418</v>
      </c>
      <c r="C194" s="180" t="s">
        <v>5419</v>
      </c>
      <c r="D194" s="180" t="s">
        <v>859</v>
      </c>
      <c r="E194" s="181">
        <v>11.48</v>
      </c>
      <c r="F194" s="180" t="s">
        <v>858</v>
      </c>
      <c r="G194" s="180" t="s">
        <v>640</v>
      </c>
      <c r="H194" s="84">
        <v>3375</v>
      </c>
    </row>
    <row r="195" spans="1:8" s="179" customFormat="1" ht="14.25" customHeight="1" x14ac:dyDescent="0.25">
      <c r="A195" s="180" t="s">
        <v>5377</v>
      </c>
      <c r="B195" s="180" t="s">
        <v>5420</v>
      </c>
      <c r="C195" s="180" t="s">
        <v>5421</v>
      </c>
      <c r="D195" s="180" t="s">
        <v>5422</v>
      </c>
      <c r="E195" s="181">
        <v>3.88</v>
      </c>
      <c r="F195" s="180" t="s">
        <v>5423</v>
      </c>
      <c r="G195" s="180" t="s">
        <v>640</v>
      </c>
      <c r="H195" s="84">
        <v>3376</v>
      </c>
    </row>
    <row r="196" spans="1:8" s="179" customFormat="1" ht="14.25" customHeight="1" x14ac:dyDescent="0.25">
      <c r="A196" s="180" t="s">
        <v>5377</v>
      </c>
      <c r="B196" s="180" t="s">
        <v>5424</v>
      </c>
      <c r="C196" s="180" t="s">
        <v>5425</v>
      </c>
      <c r="D196" s="180" t="s">
        <v>1064</v>
      </c>
      <c r="E196" s="181">
        <v>1.68</v>
      </c>
      <c r="F196" s="180" t="s">
        <v>1063</v>
      </c>
      <c r="G196" s="180" t="s">
        <v>640</v>
      </c>
      <c r="H196" s="84">
        <v>3377</v>
      </c>
    </row>
    <row r="197" spans="1:8" s="179" customFormat="1" ht="14.25" customHeight="1" x14ac:dyDescent="0.25">
      <c r="A197" s="180" t="s">
        <v>5377</v>
      </c>
      <c r="B197" s="180" t="s">
        <v>5426</v>
      </c>
      <c r="C197" s="180" t="s">
        <v>5427</v>
      </c>
      <c r="D197" s="180" t="s">
        <v>3825</v>
      </c>
      <c r="E197" s="181">
        <v>2.96</v>
      </c>
      <c r="F197" s="180" t="s">
        <v>3826</v>
      </c>
      <c r="G197" s="180" t="s">
        <v>640</v>
      </c>
      <c r="H197" s="84">
        <v>3378</v>
      </c>
    </row>
    <row r="198" spans="1:8" s="179" customFormat="1" ht="14.25" customHeight="1" x14ac:dyDescent="0.25">
      <c r="A198" s="180" t="s">
        <v>5377</v>
      </c>
      <c r="B198" s="180" t="s">
        <v>5428</v>
      </c>
      <c r="C198" s="180" t="s">
        <v>5429</v>
      </c>
      <c r="D198" s="180" t="s">
        <v>1382</v>
      </c>
      <c r="E198" s="181">
        <v>3.91</v>
      </c>
      <c r="F198" s="180" t="s">
        <v>1381</v>
      </c>
      <c r="G198" s="180" t="s">
        <v>640</v>
      </c>
      <c r="H198" s="84">
        <v>3379</v>
      </c>
    </row>
    <row r="199" spans="1:8" s="179" customFormat="1" ht="14.25" customHeight="1" x14ac:dyDescent="0.25">
      <c r="A199" s="180" t="s">
        <v>5377</v>
      </c>
      <c r="B199" s="180" t="s">
        <v>5430</v>
      </c>
      <c r="C199" s="180" t="s">
        <v>5431</v>
      </c>
      <c r="D199" s="180" t="s">
        <v>5432</v>
      </c>
      <c r="E199" s="181">
        <v>7.14</v>
      </c>
      <c r="F199" s="180" t="s">
        <v>5433</v>
      </c>
      <c r="G199" s="180" t="s">
        <v>640</v>
      </c>
      <c r="H199" s="84">
        <v>3380</v>
      </c>
    </row>
    <row r="200" spans="1:8" s="179" customFormat="1" ht="14.25" customHeight="1" x14ac:dyDescent="0.25">
      <c r="A200" s="180" t="s">
        <v>5377</v>
      </c>
      <c r="B200" s="180" t="s">
        <v>5434</v>
      </c>
      <c r="C200" s="180" t="s">
        <v>5435</v>
      </c>
      <c r="D200" s="180" t="s">
        <v>644</v>
      </c>
      <c r="E200" s="181">
        <v>9.64</v>
      </c>
      <c r="F200" s="180" t="s">
        <v>643</v>
      </c>
      <c r="G200" s="180" t="s">
        <v>640</v>
      </c>
      <c r="H200" s="84">
        <v>3381</v>
      </c>
    </row>
    <row r="201" spans="1:8" s="179" customFormat="1" ht="14.25" customHeight="1" x14ac:dyDescent="0.25">
      <c r="A201" s="180" t="s">
        <v>5377</v>
      </c>
      <c r="B201" s="180" t="s">
        <v>5436</v>
      </c>
      <c r="C201" s="180" t="s">
        <v>5437</v>
      </c>
      <c r="D201" s="180" t="s">
        <v>739</v>
      </c>
      <c r="E201" s="181">
        <v>3.64</v>
      </c>
      <c r="F201" s="180" t="s">
        <v>738</v>
      </c>
      <c r="G201" s="180" t="s">
        <v>640</v>
      </c>
      <c r="H201" s="84">
        <v>3382</v>
      </c>
    </row>
    <row r="202" spans="1:8" s="179" customFormat="1" ht="14.25" customHeight="1" x14ac:dyDescent="0.25">
      <c r="A202" s="180" t="s">
        <v>5377</v>
      </c>
      <c r="B202" s="180" t="s">
        <v>5438</v>
      </c>
      <c r="C202" s="180" t="s">
        <v>5439</v>
      </c>
      <c r="D202" s="180" t="s">
        <v>3601</v>
      </c>
      <c r="E202" s="181">
        <v>1.68</v>
      </c>
      <c r="F202" s="180" t="s">
        <v>3602</v>
      </c>
      <c r="G202" s="180" t="s">
        <v>640</v>
      </c>
      <c r="H202" s="84">
        <v>3383</v>
      </c>
    </row>
    <row r="203" spans="1:8" s="179" customFormat="1" ht="14.25" customHeight="1" x14ac:dyDescent="0.25">
      <c r="A203" s="180" t="s">
        <v>5377</v>
      </c>
      <c r="B203" s="180" t="s">
        <v>5440</v>
      </c>
      <c r="C203" s="180" t="s">
        <v>5441</v>
      </c>
      <c r="D203" s="180" t="s">
        <v>1405</v>
      </c>
      <c r="E203" s="181">
        <v>5.47</v>
      </c>
      <c r="F203" s="180" t="s">
        <v>1404</v>
      </c>
      <c r="G203" s="180" t="s">
        <v>640</v>
      </c>
      <c r="H203" s="84">
        <v>3384</v>
      </c>
    </row>
    <row r="204" spans="1:8" s="179" customFormat="1" ht="14.25" customHeight="1" x14ac:dyDescent="0.25">
      <c r="A204" s="180" t="s">
        <v>5377</v>
      </c>
      <c r="B204" s="180" t="s">
        <v>5442</v>
      </c>
      <c r="C204" s="180" t="s">
        <v>5443</v>
      </c>
      <c r="D204" s="180" t="s">
        <v>743</v>
      </c>
      <c r="E204" s="181">
        <v>8.1199999999999992</v>
      </c>
      <c r="F204" s="180" t="s">
        <v>742</v>
      </c>
      <c r="G204" s="180" t="s">
        <v>640</v>
      </c>
      <c r="H204" s="84">
        <v>3385</v>
      </c>
    </row>
    <row r="205" spans="1:8" s="179" customFormat="1" ht="14.25" customHeight="1" x14ac:dyDescent="0.25">
      <c r="A205" s="180" t="s">
        <v>5377</v>
      </c>
      <c r="B205" s="180" t="s">
        <v>5444</v>
      </c>
      <c r="C205" s="180" t="s">
        <v>5445</v>
      </c>
      <c r="D205" s="180" t="s">
        <v>974</v>
      </c>
      <c r="E205" s="181">
        <v>3.92</v>
      </c>
      <c r="F205" s="180" t="s">
        <v>973</v>
      </c>
      <c r="G205" s="180" t="s">
        <v>640</v>
      </c>
      <c r="H205" s="84">
        <v>3386</v>
      </c>
    </row>
    <row r="206" spans="1:8" s="179" customFormat="1" ht="14.25" customHeight="1" x14ac:dyDescent="0.25">
      <c r="A206" s="180" t="s">
        <v>5446</v>
      </c>
      <c r="B206" s="180" t="s">
        <v>5447</v>
      </c>
      <c r="C206" s="180" t="s">
        <v>5448</v>
      </c>
      <c r="D206" s="180" t="s">
        <v>934</v>
      </c>
      <c r="E206" s="181">
        <v>29.23</v>
      </c>
      <c r="F206" s="180" t="s">
        <v>933</v>
      </c>
      <c r="G206" s="180" t="s">
        <v>640</v>
      </c>
      <c r="H206" s="84">
        <v>3387</v>
      </c>
    </row>
    <row r="207" spans="1:8" s="179" customFormat="1" ht="14.25" customHeight="1" x14ac:dyDescent="0.25">
      <c r="A207" s="180" t="s">
        <v>5446</v>
      </c>
      <c r="B207" s="180" t="s">
        <v>5449</v>
      </c>
      <c r="C207" s="180" t="s">
        <v>5450</v>
      </c>
      <c r="D207" s="180" t="s">
        <v>3866</v>
      </c>
      <c r="E207" s="181">
        <v>90.61</v>
      </c>
      <c r="F207" s="180" t="s">
        <v>3867</v>
      </c>
      <c r="G207" s="180" t="s">
        <v>640</v>
      </c>
      <c r="H207" s="84">
        <v>3388</v>
      </c>
    </row>
    <row r="208" spans="1:8" s="179" customFormat="1" ht="14.25" customHeight="1" x14ac:dyDescent="0.25">
      <c r="A208" s="180" t="s">
        <v>5446</v>
      </c>
      <c r="B208" s="180" t="s">
        <v>5451</v>
      </c>
      <c r="C208" s="180" t="s">
        <v>5452</v>
      </c>
      <c r="D208" s="180" t="s">
        <v>1507</v>
      </c>
      <c r="E208" s="181">
        <v>1.34</v>
      </c>
      <c r="F208" s="180" t="s">
        <v>1506</v>
      </c>
      <c r="G208" s="180" t="s">
        <v>640</v>
      </c>
      <c r="H208" s="84">
        <v>3389</v>
      </c>
    </row>
    <row r="209" spans="1:8" s="179" customFormat="1" ht="14.25" customHeight="1" x14ac:dyDescent="0.25">
      <c r="A209" s="180" t="s">
        <v>5446</v>
      </c>
      <c r="B209" s="180" t="s">
        <v>5453</v>
      </c>
      <c r="C209" s="180" t="s">
        <v>5454</v>
      </c>
      <c r="D209" s="180" t="s">
        <v>1020</v>
      </c>
      <c r="E209" s="181">
        <v>8.4</v>
      </c>
      <c r="F209" s="180" t="s">
        <v>1019</v>
      </c>
      <c r="G209" s="180" t="s">
        <v>640</v>
      </c>
      <c r="H209" s="84">
        <v>3390</v>
      </c>
    </row>
    <row r="210" spans="1:8" s="179" customFormat="1" ht="14.25" customHeight="1" x14ac:dyDescent="0.25">
      <c r="A210" s="180" t="s">
        <v>5446</v>
      </c>
      <c r="B210" s="180" t="s">
        <v>5455</v>
      </c>
      <c r="C210" s="180" t="s">
        <v>5456</v>
      </c>
      <c r="D210" s="180" t="s">
        <v>989</v>
      </c>
      <c r="E210" s="181">
        <v>12.3</v>
      </c>
      <c r="F210" s="180" t="s">
        <v>988</v>
      </c>
      <c r="G210" s="180" t="s">
        <v>640</v>
      </c>
      <c r="H210" s="84">
        <v>3391</v>
      </c>
    </row>
    <row r="211" spans="1:8" s="179" customFormat="1" ht="14.25" customHeight="1" x14ac:dyDescent="0.25">
      <c r="A211" s="180" t="s">
        <v>5446</v>
      </c>
      <c r="B211" s="180" t="s">
        <v>5457</v>
      </c>
      <c r="C211" s="180" t="s">
        <v>5458</v>
      </c>
      <c r="D211" s="180" t="s">
        <v>982</v>
      </c>
      <c r="E211" s="181">
        <v>5.64</v>
      </c>
      <c r="F211" s="180" t="s">
        <v>981</v>
      </c>
      <c r="G211" s="180" t="s">
        <v>640</v>
      </c>
      <c r="H211" s="84">
        <v>3392</v>
      </c>
    </row>
    <row r="212" spans="1:8" s="179" customFormat="1" ht="14.25" customHeight="1" x14ac:dyDescent="0.25">
      <c r="A212" s="180" t="s">
        <v>5446</v>
      </c>
      <c r="B212" s="180" t="s">
        <v>5459</v>
      </c>
      <c r="C212" s="180" t="s">
        <v>5460</v>
      </c>
      <c r="D212" s="180" t="s">
        <v>5461</v>
      </c>
      <c r="E212" s="181">
        <v>11.6</v>
      </c>
      <c r="F212" s="180" t="s">
        <v>5462</v>
      </c>
      <c r="G212" s="180" t="s">
        <v>640</v>
      </c>
      <c r="H212" s="84">
        <v>3393</v>
      </c>
    </row>
    <row r="213" spans="1:8" s="179" customFormat="1" ht="14.25" customHeight="1" x14ac:dyDescent="0.25">
      <c r="A213" s="180" t="s">
        <v>5446</v>
      </c>
      <c r="B213" s="180" t="s">
        <v>5463</v>
      </c>
      <c r="C213" s="180" t="s">
        <v>5464</v>
      </c>
      <c r="D213" s="180" t="s">
        <v>4527</v>
      </c>
      <c r="E213" s="181">
        <v>1.89</v>
      </c>
      <c r="F213" s="180" t="s">
        <v>4528</v>
      </c>
      <c r="G213" s="180" t="s">
        <v>640</v>
      </c>
      <c r="H213" s="84">
        <v>3394</v>
      </c>
    </row>
    <row r="214" spans="1:8" s="179" customFormat="1" ht="14.25" customHeight="1" x14ac:dyDescent="0.25">
      <c r="A214" s="180" t="s">
        <v>5446</v>
      </c>
      <c r="B214" s="180" t="s">
        <v>5465</v>
      </c>
      <c r="C214" s="180" t="s">
        <v>5466</v>
      </c>
      <c r="D214" s="180" t="s">
        <v>4494</v>
      </c>
      <c r="E214" s="181">
        <v>4.1900000000000004</v>
      </c>
      <c r="F214" s="180" t="s">
        <v>4495</v>
      </c>
      <c r="G214" s="180" t="s">
        <v>640</v>
      </c>
      <c r="H214" s="84">
        <v>3395</v>
      </c>
    </row>
    <row r="215" spans="1:8" s="179" customFormat="1" ht="14.25" customHeight="1" x14ac:dyDescent="0.25">
      <c r="A215" s="180" t="s">
        <v>5446</v>
      </c>
      <c r="B215" s="180" t="s">
        <v>5467</v>
      </c>
      <c r="C215" s="180" t="s">
        <v>5468</v>
      </c>
      <c r="D215" s="180" t="s">
        <v>932</v>
      </c>
      <c r="E215" s="181">
        <v>2.82</v>
      </c>
      <c r="F215" s="180" t="s">
        <v>931</v>
      </c>
      <c r="G215" s="180" t="s">
        <v>640</v>
      </c>
      <c r="H215" s="84">
        <v>3396</v>
      </c>
    </row>
    <row r="216" spans="1:8" s="179" customFormat="1" ht="14.25" customHeight="1" x14ac:dyDescent="0.25">
      <c r="A216" s="180" t="s">
        <v>5469</v>
      </c>
      <c r="B216" s="180" t="s">
        <v>5470</v>
      </c>
      <c r="C216" s="180" t="s">
        <v>5471</v>
      </c>
      <c r="D216" s="180" t="s">
        <v>692</v>
      </c>
      <c r="E216" s="181">
        <v>6.63</v>
      </c>
      <c r="F216" s="180" t="s">
        <v>691</v>
      </c>
      <c r="G216" s="180" t="s">
        <v>640</v>
      </c>
      <c r="H216" s="84">
        <v>3397</v>
      </c>
    </row>
    <row r="217" spans="1:8" s="179" customFormat="1" ht="14.25" customHeight="1" x14ac:dyDescent="0.25">
      <c r="A217" s="180" t="s">
        <v>5469</v>
      </c>
      <c r="B217" s="180" t="s">
        <v>5472</v>
      </c>
      <c r="C217" s="180" t="s">
        <v>5473</v>
      </c>
      <c r="D217" s="180" t="s">
        <v>3945</v>
      </c>
      <c r="E217" s="181">
        <v>6.12</v>
      </c>
      <c r="F217" s="180" t="s">
        <v>3946</v>
      </c>
      <c r="G217" s="180" t="s">
        <v>640</v>
      </c>
      <c r="H217" s="84">
        <v>3398</v>
      </c>
    </row>
    <row r="218" spans="1:8" s="179" customFormat="1" ht="14.25" customHeight="1" x14ac:dyDescent="0.25">
      <c r="A218" s="180" t="s">
        <v>5469</v>
      </c>
      <c r="B218" s="180" t="s">
        <v>4212</v>
      </c>
      <c r="C218" s="180" t="s">
        <v>5474</v>
      </c>
      <c r="D218" s="180" t="s">
        <v>888</v>
      </c>
      <c r="E218" s="181">
        <v>5.2</v>
      </c>
      <c r="F218" s="180" t="s">
        <v>887</v>
      </c>
      <c r="G218" s="180" t="s">
        <v>640</v>
      </c>
      <c r="H218" s="84">
        <v>3399</v>
      </c>
    </row>
    <row r="219" spans="1:8" s="179" customFormat="1" ht="14.25" customHeight="1" x14ac:dyDescent="0.25">
      <c r="A219" s="180" t="s">
        <v>5469</v>
      </c>
      <c r="B219" s="180" t="s">
        <v>5475</v>
      </c>
      <c r="C219" s="180" t="s">
        <v>5476</v>
      </c>
      <c r="D219" s="180" t="s">
        <v>1083</v>
      </c>
      <c r="E219" s="181">
        <v>34.44</v>
      </c>
      <c r="F219" s="180" t="s">
        <v>1385</v>
      </c>
      <c r="G219" s="180" t="s">
        <v>640</v>
      </c>
      <c r="H219" s="84">
        <v>3400</v>
      </c>
    </row>
    <row r="220" spans="1:8" s="179" customFormat="1" ht="14.25" customHeight="1" x14ac:dyDescent="0.25">
      <c r="A220" s="180" t="s">
        <v>5469</v>
      </c>
      <c r="B220" s="180" t="s">
        <v>5477</v>
      </c>
      <c r="C220" s="180" t="s">
        <v>5478</v>
      </c>
      <c r="D220" s="180" t="s">
        <v>5479</v>
      </c>
      <c r="E220" s="181">
        <v>3.4</v>
      </c>
      <c r="F220" s="180" t="s">
        <v>5480</v>
      </c>
      <c r="G220" s="180" t="s">
        <v>640</v>
      </c>
      <c r="H220" s="84">
        <v>3401</v>
      </c>
    </row>
    <row r="221" spans="1:8" s="179" customFormat="1" ht="14.25" customHeight="1" x14ac:dyDescent="0.25">
      <c r="A221" s="180" t="s">
        <v>5469</v>
      </c>
      <c r="B221" s="180" t="s">
        <v>5481</v>
      </c>
      <c r="C221" s="180" t="s">
        <v>5482</v>
      </c>
      <c r="D221" s="180" t="s">
        <v>950</v>
      </c>
      <c r="E221" s="181">
        <v>1.86</v>
      </c>
      <c r="F221" s="180" t="s">
        <v>949</v>
      </c>
      <c r="G221" s="180" t="s">
        <v>640</v>
      </c>
      <c r="H221" s="84">
        <v>3402</v>
      </c>
    </row>
    <row r="222" spans="1:8" s="179" customFormat="1" ht="14.25" customHeight="1" x14ac:dyDescent="0.25">
      <c r="A222" s="180" t="s">
        <v>5469</v>
      </c>
      <c r="B222" s="180" t="s">
        <v>5483</v>
      </c>
      <c r="C222" s="180" t="s">
        <v>5484</v>
      </c>
      <c r="D222" s="180" t="s">
        <v>1024</v>
      </c>
      <c r="E222" s="181">
        <v>15.19</v>
      </c>
      <c r="F222" s="180" t="s">
        <v>1023</v>
      </c>
      <c r="G222" s="180" t="s">
        <v>640</v>
      </c>
      <c r="H222" s="84">
        <v>3423</v>
      </c>
    </row>
    <row r="223" spans="1:8" s="179" customFormat="1" ht="14.25" customHeight="1" x14ac:dyDescent="0.25">
      <c r="A223" s="180" t="s">
        <v>5469</v>
      </c>
      <c r="B223" s="180" t="s">
        <v>5485</v>
      </c>
      <c r="C223" s="180" t="s">
        <v>5486</v>
      </c>
      <c r="D223" s="180" t="s">
        <v>5487</v>
      </c>
      <c r="E223" s="181">
        <v>11.36</v>
      </c>
      <c r="F223" s="180" t="s">
        <v>5488</v>
      </c>
      <c r="G223" s="180" t="s">
        <v>640</v>
      </c>
      <c r="H223" s="84">
        <v>3424</v>
      </c>
    </row>
    <row r="224" spans="1:8" s="179" customFormat="1" ht="14.25" customHeight="1" x14ac:dyDescent="0.25">
      <c r="A224" s="180" t="s">
        <v>5489</v>
      </c>
      <c r="B224" s="180" t="s">
        <v>5490</v>
      </c>
      <c r="C224" s="180" t="s">
        <v>5491</v>
      </c>
      <c r="D224" s="180" t="s">
        <v>1193</v>
      </c>
      <c r="E224" s="181">
        <v>7.6</v>
      </c>
      <c r="F224" s="180" t="s">
        <v>1192</v>
      </c>
      <c r="G224" s="180" t="s">
        <v>640</v>
      </c>
      <c r="H224" s="84">
        <v>3454</v>
      </c>
    </row>
    <row r="225" spans="1:8" s="179" customFormat="1" ht="14.25" customHeight="1" x14ac:dyDescent="0.25">
      <c r="A225" s="180" t="s">
        <v>5489</v>
      </c>
      <c r="B225" s="180" t="s">
        <v>5492</v>
      </c>
      <c r="C225" s="180" t="s">
        <v>5493</v>
      </c>
      <c r="D225" s="180" t="s">
        <v>4019</v>
      </c>
      <c r="E225" s="181">
        <v>0.03</v>
      </c>
      <c r="F225" s="180" t="s">
        <v>4020</v>
      </c>
      <c r="G225" s="180" t="s">
        <v>640</v>
      </c>
      <c r="H225" s="84">
        <v>3456</v>
      </c>
    </row>
    <row r="226" spans="1:8" s="179" customFormat="1" ht="14.25" customHeight="1" x14ac:dyDescent="0.25">
      <c r="A226" s="180" t="s">
        <v>5489</v>
      </c>
      <c r="B226" s="180" t="s">
        <v>5494</v>
      </c>
      <c r="C226" s="180" t="s">
        <v>5495</v>
      </c>
      <c r="D226" s="180" t="s">
        <v>4023</v>
      </c>
      <c r="E226" s="181">
        <v>0.21</v>
      </c>
      <c r="F226" s="180" t="s">
        <v>4020</v>
      </c>
      <c r="G226" s="180" t="s">
        <v>640</v>
      </c>
      <c r="H226" s="84">
        <v>3455</v>
      </c>
    </row>
    <row r="227" spans="1:8" s="179" customFormat="1" ht="14.25" customHeight="1" x14ac:dyDescent="0.25">
      <c r="A227" s="180" t="s">
        <v>5489</v>
      </c>
      <c r="B227" s="180" t="s">
        <v>5496</v>
      </c>
      <c r="C227" s="180" t="s">
        <v>5497</v>
      </c>
      <c r="D227" s="180" t="s">
        <v>980</v>
      </c>
      <c r="E227" s="181">
        <v>28.14</v>
      </c>
      <c r="F227" s="180" t="s">
        <v>979</v>
      </c>
      <c r="G227" s="180" t="s">
        <v>640</v>
      </c>
      <c r="H227" s="84">
        <v>3457</v>
      </c>
    </row>
    <row r="228" spans="1:8" s="179" customFormat="1" ht="14.25" customHeight="1" x14ac:dyDescent="0.25">
      <c r="A228" s="180" t="s">
        <v>5489</v>
      </c>
      <c r="B228" s="180" t="s">
        <v>5498</v>
      </c>
      <c r="C228" s="180" t="s">
        <v>5499</v>
      </c>
      <c r="D228" s="180" t="s">
        <v>1162</v>
      </c>
      <c r="E228" s="181">
        <v>2.52</v>
      </c>
      <c r="F228" s="180" t="s">
        <v>1161</v>
      </c>
      <c r="G228" s="180" t="s">
        <v>640</v>
      </c>
      <c r="H228" s="84">
        <v>3458</v>
      </c>
    </row>
    <row r="229" spans="1:8" s="179" customFormat="1" ht="14.25" customHeight="1" x14ac:dyDescent="0.25">
      <c r="A229" s="180" t="s">
        <v>5489</v>
      </c>
      <c r="B229" s="180" t="s">
        <v>5500</v>
      </c>
      <c r="C229" s="180" t="s">
        <v>5501</v>
      </c>
      <c r="D229" s="180" t="s">
        <v>3484</v>
      </c>
      <c r="E229" s="181">
        <v>7.24</v>
      </c>
      <c r="F229" s="180" t="s">
        <v>3485</v>
      </c>
      <c r="G229" s="180" t="s">
        <v>640</v>
      </c>
      <c r="H229" s="84">
        <v>3459</v>
      </c>
    </row>
    <row r="230" spans="1:8" s="179" customFormat="1" ht="14.25" customHeight="1" x14ac:dyDescent="0.25">
      <c r="A230" s="180" t="s">
        <v>5489</v>
      </c>
      <c r="B230" s="180" t="s">
        <v>5502</v>
      </c>
      <c r="C230" s="180" t="s">
        <v>5503</v>
      </c>
      <c r="D230" s="180" t="s">
        <v>4206</v>
      </c>
      <c r="E230" s="181">
        <v>1.68</v>
      </c>
      <c r="F230" s="180" t="s">
        <v>4207</v>
      </c>
      <c r="G230" s="180" t="s">
        <v>640</v>
      </c>
      <c r="H230" s="84">
        <v>3460</v>
      </c>
    </row>
    <row r="231" spans="1:8" s="179" customFormat="1" ht="14.25" customHeight="1" x14ac:dyDescent="0.25">
      <c r="A231" s="180" t="s">
        <v>5489</v>
      </c>
      <c r="B231" s="180" t="s">
        <v>5504</v>
      </c>
      <c r="C231" s="180" t="s">
        <v>5505</v>
      </c>
      <c r="D231" s="180" t="s">
        <v>2868</v>
      </c>
      <c r="E231" s="181">
        <v>2.23</v>
      </c>
      <c r="F231" s="180" t="s">
        <v>2869</v>
      </c>
      <c r="G231" s="180" t="s">
        <v>640</v>
      </c>
      <c r="H231" s="84">
        <v>3461</v>
      </c>
    </row>
    <row r="232" spans="1:8" s="179" customFormat="1" ht="14.25" customHeight="1" x14ac:dyDescent="0.25">
      <c r="A232" s="180" t="s">
        <v>5489</v>
      </c>
      <c r="B232" s="180" t="s">
        <v>5506</v>
      </c>
      <c r="C232" s="180" t="s">
        <v>5507</v>
      </c>
      <c r="D232" s="180" t="s">
        <v>1501</v>
      </c>
      <c r="E232" s="181">
        <v>28.32</v>
      </c>
      <c r="F232" s="180" t="s">
        <v>1500</v>
      </c>
      <c r="G232" s="180" t="s">
        <v>640</v>
      </c>
      <c r="H232" s="84">
        <v>3462</v>
      </c>
    </row>
    <row r="233" spans="1:8" s="179" customFormat="1" ht="14.25" customHeight="1" x14ac:dyDescent="0.25">
      <c r="A233" s="180" t="s">
        <v>5489</v>
      </c>
      <c r="B233" s="180" t="s">
        <v>5508</v>
      </c>
      <c r="C233" s="180" t="s">
        <v>5509</v>
      </c>
      <c r="D233" s="180" t="s">
        <v>5510</v>
      </c>
      <c r="E233" s="181">
        <v>4.58</v>
      </c>
      <c r="F233" s="180" t="s">
        <v>5511</v>
      </c>
      <c r="G233" s="180" t="s">
        <v>640</v>
      </c>
      <c r="H233" s="84">
        <v>3463</v>
      </c>
    </row>
    <row r="234" spans="1:8" s="179" customFormat="1" ht="14.25" customHeight="1" x14ac:dyDescent="0.25">
      <c r="A234" s="180" t="s">
        <v>5489</v>
      </c>
      <c r="B234" s="180" t="s">
        <v>5512</v>
      </c>
      <c r="C234" s="180" t="s">
        <v>5513</v>
      </c>
      <c r="D234" s="180" t="s">
        <v>1018</v>
      </c>
      <c r="E234" s="181">
        <v>3.55</v>
      </c>
      <c r="F234" s="180" t="s">
        <v>1017</v>
      </c>
      <c r="G234" s="180" t="s">
        <v>640</v>
      </c>
      <c r="H234" s="84">
        <v>3464</v>
      </c>
    </row>
    <row r="235" spans="1:8" s="179" customFormat="1" ht="14.25" customHeight="1" x14ac:dyDescent="0.25">
      <c r="A235" s="180" t="s">
        <v>5489</v>
      </c>
      <c r="B235" s="180" t="s">
        <v>5514</v>
      </c>
      <c r="C235" s="180" t="s">
        <v>5515</v>
      </c>
      <c r="D235" s="180" t="s">
        <v>4423</v>
      </c>
      <c r="E235" s="181">
        <v>11.58</v>
      </c>
      <c r="F235" s="180" t="s">
        <v>4424</v>
      </c>
      <c r="G235" s="180" t="s">
        <v>640</v>
      </c>
      <c r="H235" s="84">
        <v>3465</v>
      </c>
    </row>
    <row r="236" spans="1:8" s="179" customFormat="1" ht="14.25" customHeight="1" x14ac:dyDescent="0.25">
      <c r="A236" s="180" t="s">
        <v>5489</v>
      </c>
      <c r="B236" s="180" t="s">
        <v>5516</v>
      </c>
      <c r="C236" s="180" t="s">
        <v>5517</v>
      </c>
      <c r="D236" s="180" t="s">
        <v>821</v>
      </c>
      <c r="E236" s="181">
        <v>7.41</v>
      </c>
      <c r="F236" s="180" t="s">
        <v>820</v>
      </c>
      <c r="G236" s="180" t="s">
        <v>640</v>
      </c>
      <c r="H236" s="84">
        <v>3466</v>
      </c>
    </row>
    <row r="237" spans="1:8" s="179" customFormat="1" ht="14.25" customHeight="1" x14ac:dyDescent="0.25">
      <c r="A237" s="180" t="s">
        <v>5489</v>
      </c>
      <c r="B237" s="180" t="s">
        <v>5518</v>
      </c>
      <c r="C237" s="180" t="s">
        <v>5519</v>
      </c>
      <c r="D237" s="180" t="s">
        <v>660</v>
      </c>
      <c r="E237" s="181">
        <v>5.19</v>
      </c>
      <c r="F237" s="180" t="s">
        <v>659</v>
      </c>
      <c r="G237" s="180" t="s">
        <v>640</v>
      </c>
      <c r="H237" s="84">
        <v>3467</v>
      </c>
    </row>
    <row r="238" spans="1:8" s="179" customFormat="1" ht="14.25" customHeight="1" x14ac:dyDescent="0.25">
      <c r="A238" s="180" t="s">
        <v>5489</v>
      </c>
      <c r="B238" s="180" t="s">
        <v>5520</v>
      </c>
      <c r="C238" s="180" t="s">
        <v>5521</v>
      </c>
      <c r="D238" s="180" t="s">
        <v>5522</v>
      </c>
      <c r="E238" s="181">
        <v>4.3600000000000003</v>
      </c>
      <c r="F238" s="180" t="s">
        <v>5523</v>
      </c>
      <c r="G238" s="180" t="s">
        <v>640</v>
      </c>
      <c r="H238" s="84">
        <v>3468</v>
      </c>
    </row>
    <row r="239" spans="1:8" s="179" customFormat="1" ht="14.25" customHeight="1" x14ac:dyDescent="0.25">
      <c r="A239" s="180" t="s">
        <v>5489</v>
      </c>
      <c r="B239" s="180" t="s">
        <v>5524</v>
      </c>
      <c r="C239" s="180" t="s">
        <v>5525</v>
      </c>
      <c r="D239" s="180" t="s">
        <v>1475</v>
      </c>
      <c r="E239" s="181">
        <v>1.68</v>
      </c>
      <c r="F239" s="180" t="s">
        <v>1474</v>
      </c>
      <c r="G239" s="180" t="s">
        <v>640</v>
      </c>
      <c r="H239" s="84">
        <v>3469</v>
      </c>
    </row>
    <row r="240" spans="1:8" s="179" customFormat="1" ht="14.25" customHeight="1" x14ac:dyDescent="0.25">
      <c r="A240" s="180" t="s">
        <v>5526</v>
      </c>
      <c r="B240" s="180" t="s">
        <v>5527</v>
      </c>
      <c r="C240" s="180" t="s">
        <v>5528</v>
      </c>
      <c r="D240" s="180" t="s">
        <v>1392</v>
      </c>
      <c r="E240" s="181">
        <v>4.84</v>
      </c>
      <c r="F240" s="180" t="s">
        <v>1391</v>
      </c>
      <c r="G240" s="180" t="s">
        <v>640</v>
      </c>
      <c r="H240" s="84">
        <v>3568</v>
      </c>
    </row>
    <row r="241" spans="1:8" s="179" customFormat="1" ht="14.25" customHeight="1" x14ac:dyDescent="0.25">
      <c r="A241" s="180" t="s">
        <v>5526</v>
      </c>
      <c r="B241" s="180" t="s">
        <v>5529</v>
      </c>
      <c r="C241" s="180" t="s">
        <v>5530</v>
      </c>
      <c r="D241" s="180" t="s">
        <v>5531</v>
      </c>
      <c r="E241" s="181">
        <v>5.04</v>
      </c>
      <c r="F241" s="180" t="s">
        <v>5532</v>
      </c>
      <c r="G241" s="180" t="s">
        <v>640</v>
      </c>
      <c r="H241" s="84">
        <v>3569</v>
      </c>
    </row>
    <row r="242" spans="1:8" s="179" customFormat="1" ht="14.25" customHeight="1" x14ac:dyDescent="0.25">
      <c r="A242" s="180" t="s">
        <v>5526</v>
      </c>
      <c r="B242" s="180" t="s">
        <v>5533</v>
      </c>
      <c r="C242" s="180" t="s">
        <v>5534</v>
      </c>
      <c r="D242" s="180" t="s">
        <v>1154</v>
      </c>
      <c r="E242" s="181">
        <v>19.329999999999998</v>
      </c>
      <c r="F242" s="180" t="s">
        <v>1153</v>
      </c>
      <c r="G242" s="180" t="s">
        <v>640</v>
      </c>
      <c r="H242" s="84">
        <v>3570</v>
      </c>
    </row>
    <row r="243" spans="1:8" s="179" customFormat="1" ht="14.25" customHeight="1" x14ac:dyDescent="0.25">
      <c r="A243" s="180" t="s">
        <v>5526</v>
      </c>
      <c r="B243" s="180" t="s">
        <v>5535</v>
      </c>
      <c r="C243" s="180" t="s">
        <v>5536</v>
      </c>
      <c r="D243" s="180" t="s">
        <v>753</v>
      </c>
      <c r="E243" s="181">
        <v>10.32</v>
      </c>
      <c r="F243" s="180" t="s">
        <v>752</v>
      </c>
      <c r="G243" s="180" t="s">
        <v>640</v>
      </c>
      <c r="H243" s="84">
        <v>3571</v>
      </c>
    </row>
    <row r="244" spans="1:8" s="179" customFormat="1" ht="14.25" customHeight="1" x14ac:dyDescent="0.25">
      <c r="A244" s="180" t="s">
        <v>5526</v>
      </c>
      <c r="B244" s="180" t="s">
        <v>5537</v>
      </c>
      <c r="C244" s="180" t="s">
        <v>5538</v>
      </c>
      <c r="D244" s="180" t="s">
        <v>871</v>
      </c>
      <c r="E244" s="181">
        <v>4.5199999999999996</v>
      </c>
      <c r="F244" s="180" t="s">
        <v>870</v>
      </c>
      <c r="G244" s="180" t="s">
        <v>640</v>
      </c>
      <c r="H244" s="84">
        <v>3572</v>
      </c>
    </row>
    <row r="245" spans="1:8" s="179" customFormat="1" ht="14.25" customHeight="1" x14ac:dyDescent="0.25">
      <c r="A245" s="180" t="s">
        <v>5526</v>
      </c>
      <c r="B245" s="180" t="s">
        <v>5539</v>
      </c>
      <c r="C245" s="180" t="s">
        <v>5540</v>
      </c>
      <c r="D245" s="180" t="s">
        <v>5541</v>
      </c>
      <c r="E245" s="181">
        <v>3.38</v>
      </c>
      <c r="F245" s="180" t="s">
        <v>5542</v>
      </c>
      <c r="G245" s="180" t="s">
        <v>640</v>
      </c>
      <c r="H245" s="84">
        <v>3573</v>
      </c>
    </row>
    <row r="246" spans="1:8" s="179" customFormat="1" ht="14.25" customHeight="1" x14ac:dyDescent="0.25">
      <c r="A246" s="180" t="s">
        <v>5526</v>
      </c>
      <c r="B246" s="180" t="s">
        <v>5543</v>
      </c>
      <c r="C246" s="180" t="s">
        <v>5544</v>
      </c>
      <c r="D246" s="180" t="s">
        <v>1291</v>
      </c>
      <c r="E246" s="181">
        <v>8.65</v>
      </c>
      <c r="F246" s="180" t="s">
        <v>1290</v>
      </c>
      <c r="G246" s="180" t="s">
        <v>640</v>
      </c>
      <c r="H246" s="84">
        <v>3574</v>
      </c>
    </row>
    <row r="247" spans="1:8" s="179" customFormat="1" ht="14.25" customHeight="1" x14ac:dyDescent="0.25">
      <c r="A247" s="180" t="s">
        <v>5526</v>
      </c>
      <c r="B247" s="180" t="s">
        <v>5545</v>
      </c>
      <c r="C247" s="180" t="s">
        <v>5546</v>
      </c>
      <c r="D247" s="180" t="s">
        <v>917</v>
      </c>
      <c r="E247" s="181">
        <v>7.58</v>
      </c>
      <c r="F247" s="180" t="s">
        <v>916</v>
      </c>
      <c r="G247" s="180" t="s">
        <v>640</v>
      </c>
      <c r="H247" s="84">
        <v>3575</v>
      </c>
    </row>
    <row r="248" spans="1:8" s="179" customFormat="1" ht="14.25" customHeight="1" x14ac:dyDescent="0.25">
      <c r="A248" s="180" t="s">
        <v>5526</v>
      </c>
      <c r="B248" s="180" t="s">
        <v>4452</v>
      </c>
      <c r="C248" s="180" t="s">
        <v>5547</v>
      </c>
      <c r="D248" s="180" t="s">
        <v>1363</v>
      </c>
      <c r="E248" s="181">
        <v>5.37</v>
      </c>
      <c r="F248" s="180" t="s">
        <v>1362</v>
      </c>
      <c r="G248" s="180" t="s">
        <v>640</v>
      </c>
      <c r="H248" s="84">
        <v>3576</v>
      </c>
    </row>
    <row r="249" spans="1:8" s="179" customFormat="1" ht="14.25" customHeight="1" x14ac:dyDescent="0.25">
      <c r="A249" s="180" t="s">
        <v>5526</v>
      </c>
      <c r="B249" s="180" t="s">
        <v>5548</v>
      </c>
      <c r="C249" s="180" t="s">
        <v>5549</v>
      </c>
      <c r="D249" s="180" t="s">
        <v>1473</v>
      </c>
      <c r="E249" s="181">
        <v>8.7200000000000006</v>
      </c>
      <c r="F249" s="180" t="s">
        <v>1472</v>
      </c>
      <c r="G249" s="180" t="s">
        <v>640</v>
      </c>
      <c r="H249" s="84">
        <v>3577</v>
      </c>
    </row>
    <row r="250" spans="1:8" s="179" customFormat="1" ht="14.25" customHeight="1" x14ac:dyDescent="0.25">
      <c r="A250" s="180" t="s">
        <v>5526</v>
      </c>
      <c r="B250" s="180" t="s">
        <v>5550</v>
      </c>
      <c r="C250" s="180" t="s">
        <v>5551</v>
      </c>
      <c r="D250" s="180" t="s">
        <v>879</v>
      </c>
      <c r="E250" s="181">
        <v>4.8</v>
      </c>
      <c r="F250" s="180" t="s">
        <v>878</v>
      </c>
      <c r="G250" s="180" t="s">
        <v>640</v>
      </c>
      <c r="H250" s="84">
        <v>3578</v>
      </c>
    </row>
    <row r="251" spans="1:8" s="179" customFormat="1" ht="14.25" customHeight="1" x14ac:dyDescent="0.25">
      <c r="A251" s="180" t="s">
        <v>5526</v>
      </c>
      <c r="B251" s="180" t="s">
        <v>5552</v>
      </c>
      <c r="C251" s="180" t="s">
        <v>5553</v>
      </c>
      <c r="D251" s="180" t="s">
        <v>5554</v>
      </c>
      <c r="E251" s="181">
        <v>3.92</v>
      </c>
      <c r="F251" s="180" t="s">
        <v>5555</v>
      </c>
      <c r="G251" s="180" t="s">
        <v>640</v>
      </c>
      <c r="H251" s="84">
        <v>3579</v>
      </c>
    </row>
    <row r="252" spans="1:8" s="179" customFormat="1" ht="14.25" customHeight="1" x14ac:dyDescent="0.25">
      <c r="A252" s="180" t="s">
        <v>5526</v>
      </c>
      <c r="B252" s="180" t="s">
        <v>5556</v>
      </c>
      <c r="C252" s="180" t="s">
        <v>5557</v>
      </c>
      <c r="D252" s="180" t="s">
        <v>898</v>
      </c>
      <c r="E252" s="181">
        <v>21.76</v>
      </c>
      <c r="F252" s="180" t="s">
        <v>897</v>
      </c>
      <c r="G252" s="180" t="s">
        <v>640</v>
      </c>
      <c r="H252" s="84">
        <v>3580</v>
      </c>
    </row>
    <row r="253" spans="1:8" s="179" customFormat="1" ht="14.25" customHeight="1" x14ac:dyDescent="0.25">
      <c r="A253" s="180" t="s">
        <v>5526</v>
      </c>
      <c r="B253" s="180" t="s">
        <v>5558</v>
      </c>
      <c r="C253" s="180" t="s">
        <v>5559</v>
      </c>
      <c r="D253" s="180" t="s">
        <v>4479</v>
      </c>
      <c r="E253" s="181">
        <v>4.22</v>
      </c>
      <c r="F253" s="180" t="s">
        <v>4480</v>
      </c>
      <c r="G253" s="180" t="s">
        <v>640</v>
      </c>
      <c r="H253" s="84">
        <v>3581</v>
      </c>
    </row>
    <row r="254" spans="1:8" s="179" customFormat="1" ht="14.25" customHeight="1" x14ac:dyDescent="0.25">
      <c r="A254" s="180" t="s">
        <v>5560</v>
      </c>
      <c r="B254" s="180" t="s">
        <v>5561</v>
      </c>
      <c r="C254" s="180" t="s">
        <v>5562</v>
      </c>
      <c r="D254" s="180" t="s">
        <v>3589</v>
      </c>
      <c r="E254" s="181">
        <v>2.63</v>
      </c>
      <c r="F254" s="180" t="s">
        <v>3590</v>
      </c>
      <c r="G254" s="180" t="s">
        <v>640</v>
      </c>
      <c r="H254" s="84">
        <v>3617</v>
      </c>
    </row>
    <row r="255" spans="1:8" s="179" customFormat="1" ht="14.25" customHeight="1" x14ac:dyDescent="0.25">
      <c r="A255" s="180" t="s">
        <v>5560</v>
      </c>
      <c r="B255" s="180" t="s">
        <v>5563</v>
      </c>
      <c r="C255" s="180" t="s">
        <v>5564</v>
      </c>
      <c r="D255" s="180" t="s">
        <v>5565</v>
      </c>
      <c r="E255" s="181">
        <v>2.4300000000000002</v>
      </c>
      <c r="F255" s="180" t="s">
        <v>5566</v>
      </c>
      <c r="G255" s="180" t="s">
        <v>640</v>
      </c>
      <c r="H255" s="84">
        <v>3618</v>
      </c>
    </row>
    <row r="256" spans="1:8" s="179" customFormat="1" ht="14.25" customHeight="1" x14ac:dyDescent="0.25">
      <c r="A256" s="180" t="s">
        <v>5560</v>
      </c>
      <c r="B256" s="180" t="s">
        <v>5567</v>
      </c>
      <c r="C256" s="180" t="s">
        <v>5568</v>
      </c>
      <c r="D256" s="180" t="s">
        <v>5569</v>
      </c>
      <c r="E256" s="181">
        <v>10.91</v>
      </c>
      <c r="F256" s="180" t="s">
        <v>5566</v>
      </c>
      <c r="G256" s="180" t="s">
        <v>640</v>
      </c>
      <c r="H256" s="84">
        <v>3619</v>
      </c>
    </row>
    <row r="257" spans="1:8" s="179" customFormat="1" ht="14.25" customHeight="1" x14ac:dyDescent="0.25">
      <c r="A257" s="180" t="s">
        <v>5560</v>
      </c>
      <c r="B257" s="180" t="s">
        <v>5570</v>
      </c>
      <c r="C257" s="180" t="s">
        <v>5571</v>
      </c>
      <c r="D257" s="180" t="s">
        <v>5572</v>
      </c>
      <c r="E257" s="181">
        <v>6.05</v>
      </c>
      <c r="F257" s="180" t="s">
        <v>5573</v>
      </c>
      <c r="G257" s="180" t="s">
        <v>640</v>
      </c>
      <c r="H257" s="84">
        <v>3620</v>
      </c>
    </row>
    <row r="258" spans="1:8" s="179" customFormat="1" ht="14.25" customHeight="1" x14ac:dyDescent="0.25">
      <c r="A258" s="180" t="s">
        <v>5560</v>
      </c>
      <c r="B258" s="180" t="s">
        <v>5574</v>
      </c>
      <c r="C258" s="180" t="s">
        <v>5575</v>
      </c>
      <c r="D258" s="180" t="s">
        <v>4339</v>
      </c>
      <c r="E258" s="181">
        <v>1.44</v>
      </c>
      <c r="F258" s="180" t="s">
        <v>4340</v>
      </c>
      <c r="G258" s="180" t="s">
        <v>640</v>
      </c>
      <c r="H258" s="84">
        <v>3621</v>
      </c>
    </row>
    <row r="259" spans="1:8" s="179" customFormat="1" ht="14.25" customHeight="1" x14ac:dyDescent="0.25">
      <c r="A259" s="180" t="s">
        <v>5560</v>
      </c>
      <c r="B259" s="180" t="s">
        <v>5576</v>
      </c>
      <c r="C259" s="180" t="s">
        <v>5577</v>
      </c>
      <c r="D259" s="180" t="s">
        <v>4371</v>
      </c>
      <c r="E259" s="181">
        <v>1.77</v>
      </c>
      <c r="F259" s="180" t="s">
        <v>4372</v>
      </c>
      <c r="G259" s="180" t="s">
        <v>640</v>
      </c>
      <c r="H259" s="84">
        <v>3622</v>
      </c>
    </row>
    <row r="260" spans="1:8" s="179" customFormat="1" ht="14.25" customHeight="1" x14ac:dyDescent="0.25">
      <c r="A260" s="180" t="s">
        <v>5560</v>
      </c>
      <c r="B260" s="180" t="s">
        <v>5578</v>
      </c>
      <c r="C260" s="180" t="s">
        <v>5579</v>
      </c>
      <c r="D260" s="180" t="s">
        <v>3621</v>
      </c>
      <c r="E260" s="181">
        <v>15.63</v>
      </c>
      <c r="F260" s="180" t="s">
        <v>3622</v>
      </c>
      <c r="G260" s="180" t="s">
        <v>640</v>
      </c>
      <c r="H260" s="84">
        <v>3623</v>
      </c>
    </row>
    <row r="261" spans="1:8" s="179" customFormat="1" ht="14.25" customHeight="1" x14ac:dyDescent="0.25">
      <c r="A261" s="180" t="s">
        <v>5560</v>
      </c>
      <c r="B261" s="180" t="s">
        <v>5580</v>
      </c>
      <c r="C261" s="180" t="s">
        <v>5581</v>
      </c>
      <c r="D261" s="180" t="s">
        <v>5582</v>
      </c>
      <c r="E261" s="181">
        <v>8.52</v>
      </c>
      <c r="F261" s="180" t="s">
        <v>5583</v>
      </c>
      <c r="G261" s="180" t="s">
        <v>640</v>
      </c>
      <c r="H261" s="84">
        <v>3624</v>
      </c>
    </row>
    <row r="262" spans="1:8" s="179" customFormat="1" ht="14.25" customHeight="1" x14ac:dyDescent="0.25">
      <c r="A262" s="180" t="s">
        <v>5560</v>
      </c>
      <c r="B262" s="180" t="s">
        <v>5584</v>
      </c>
      <c r="C262" s="180" t="s">
        <v>5585</v>
      </c>
      <c r="D262" s="180" t="s">
        <v>5586</v>
      </c>
      <c r="E262" s="181">
        <v>5.71</v>
      </c>
      <c r="F262" s="180" t="s">
        <v>5587</v>
      </c>
      <c r="G262" s="180" t="s">
        <v>640</v>
      </c>
      <c r="H262" s="84">
        <v>3625</v>
      </c>
    </row>
    <row r="263" spans="1:8" s="179" customFormat="1" ht="14.25" customHeight="1" x14ac:dyDescent="0.25">
      <c r="A263" s="180" t="s">
        <v>5560</v>
      </c>
      <c r="B263" s="180" t="s">
        <v>5588</v>
      </c>
      <c r="C263" s="180" t="s">
        <v>5589</v>
      </c>
      <c r="D263" s="180" t="s">
        <v>5590</v>
      </c>
      <c r="E263" s="181">
        <v>5.95</v>
      </c>
      <c r="F263" s="180" t="s">
        <v>5591</v>
      </c>
      <c r="G263" s="180" t="s">
        <v>640</v>
      </c>
      <c r="H263" s="84">
        <v>3626</v>
      </c>
    </row>
    <row r="264" spans="1:8" s="179" customFormat="1" ht="14.25" customHeight="1" x14ac:dyDescent="0.25">
      <c r="A264" s="180" t="s">
        <v>5560</v>
      </c>
      <c r="B264" s="180" t="s">
        <v>5592</v>
      </c>
      <c r="C264" s="180" t="s">
        <v>5593</v>
      </c>
      <c r="D264" s="180" t="s">
        <v>1005</v>
      </c>
      <c r="E264" s="181">
        <v>9.93</v>
      </c>
      <c r="F264" s="180" t="s">
        <v>1004</v>
      </c>
      <c r="G264" s="180" t="s">
        <v>640</v>
      </c>
      <c r="H264" s="84">
        <v>3627</v>
      </c>
    </row>
    <row r="265" spans="1:8" s="179" customFormat="1" ht="14.25" customHeight="1" x14ac:dyDescent="0.25">
      <c r="A265" s="180" t="s">
        <v>5560</v>
      </c>
      <c r="B265" s="180" t="s">
        <v>5594</v>
      </c>
      <c r="C265" s="180" t="s">
        <v>5595</v>
      </c>
      <c r="D265" s="180" t="s">
        <v>830</v>
      </c>
      <c r="E265" s="181">
        <v>4.53</v>
      </c>
      <c r="F265" s="180" t="s">
        <v>829</v>
      </c>
      <c r="G265" s="180" t="s">
        <v>640</v>
      </c>
      <c r="H265" s="84">
        <v>3628</v>
      </c>
    </row>
    <row r="266" spans="1:8" s="179" customFormat="1" ht="14.25" customHeight="1" x14ac:dyDescent="0.25">
      <c r="A266" s="180" t="s">
        <v>5560</v>
      </c>
      <c r="B266" s="180" t="s">
        <v>9031</v>
      </c>
      <c r="C266" s="180" t="s">
        <v>9030</v>
      </c>
      <c r="D266" s="180" t="s">
        <v>890</v>
      </c>
      <c r="E266" s="181">
        <v>6</v>
      </c>
      <c r="F266" s="180" t="s">
        <v>889</v>
      </c>
      <c r="G266" s="180" t="s">
        <v>640</v>
      </c>
      <c r="H266" s="84" t="s">
        <v>9029</v>
      </c>
    </row>
    <row r="267" spans="1:8" s="179" customFormat="1" ht="14.25" customHeight="1" x14ac:dyDescent="0.25">
      <c r="A267" s="180" t="s">
        <v>5596</v>
      </c>
      <c r="B267" s="180" t="s">
        <v>5597</v>
      </c>
      <c r="C267" s="180" t="s">
        <v>5598</v>
      </c>
      <c r="D267" s="180" t="s">
        <v>5599</v>
      </c>
      <c r="E267" s="181">
        <v>33.130000000000003</v>
      </c>
      <c r="F267" s="180" t="s">
        <v>5600</v>
      </c>
      <c r="G267" s="180" t="s">
        <v>640</v>
      </c>
      <c r="H267" s="84">
        <v>3652</v>
      </c>
    </row>
    <row r="268" spans="1:8" s="179" customFormat="1" ht="14.25" customHeight="1" x14ac:dyDescent="0.25">
      <c r="A268" s="180" t="s">
        <v>5596</v>
      </c>
      <c r="B268" s="180" t="s">
        <v>5601</v>
      </c>
      <c r="C268" s="180" t="s">
        <v>5602</v>
      </c>
      <c r="D268" s="180" t="s">
        <v>936</v>
      </c>
      <c r="E268" s="181">
        <v>7.02</v>
      </c>
      <c r="F268" s="180" t="s">
        <v>935</v>
      </c>
      <c r="G268" s="180" t="s">
        <v>640</v>
      </c>
      <c r="H268" s="84">
        <v>3653</v>
      </c>
    </row>
    <row r="269" spans="1:8" s="179" customFormat="1" ht="14.25" customHeight="1" x14ac:dyDescent="0.25">
      <c r="A269" s="180" t="s">
        <v>5596</v>
      </c>
      <c r="B269" s="180" t="s">
        <v>5603</v>
      </c>
      <c r="C269" s="180" t="s">
        <v>5604</v>
      </c>
      <c r="D269" s="180" t="s">
        <v>5605</v>
      </c>
      <c r="E269" s="181">
        <v>14.96</v>
      </c>
      <c r="F269" s="180" t="s">
        <v>5606</v>
      </c>
      <c r="G269" s="180" t="s">
        <v>640</v>
      </c>
      <c r="H269" s="84">
        <v>3654</v>
      </c>
    </row>
    <row r="270" spans="1:8" s="179" customFormat="1" ht="14.25" customHeight="1" x14ac:dyDescent="0.25">
      <c r="A270" s="180" t="s">
        <v>5596</v>
      </c>
      <c r="B270" s="180" t="s">
        <v>5607</v>
      </c>
      <c r="C270" s="180" t="s">
        <v>5608</v>
      </c>
      <c r="D270" s="180" t="s">
        <v>5609</v>
      </c>
      <c r="E270" s="181">
        <v>5.12</v>
      </c>
      <c r="F270" s="180" t="s">
        <v>5610</v>
      </c>
      <c r="G270" s="180" t="s">
        <v>640</v>
      </c>
      <c r="H270" s="84">
        <v>3655</v>
      </c>
    </row>
    <row r="271" spans="1:8" s="179" customFormat="1" ht="14.25" customHeight="1" x14ac:dyDescent="0.25">
      <c r="A271" s="180" t="s">
        <v>5596</v>
      </c>
      <c r="B271" s="180" t="s">
        <v>5611</v>
      </c>
      <c r="C271" s="180" t="s">
        <v>5612</v>
      </c>
      <c r="D271" s="180" t="s">
        <v>940</v>
      </c>
      <c r="E271" s="181">
        <v>17.350000000000001</v>
      </c>
      <c r="F271" s="180" t="s">
        <v>939</v>
      </c>
      <c r="G271" s="180" t="s">
        <v>640</v>
      </c>
      <c r="H271" s="84">
        <v>3656</v>
      </c>
    </row>
    <row r="272" spans="1:8" s="179" customFormat="1" ht="14.25" customHeight="1" x14ac:dyDescent="0.25">
      <c r="A272" s="180" t="s">
        <v>5596</v>
      </c>
      <c r="B272" s="180" t="s">
        <v>5613</v>
      </c>
      <c r="C272" s="180" t="s">
        <v>5614</v>
      </c>
      <c r="D272" s="180" t="s">
        <v>1141</v>
      </c>
      <c r="E272" s="181">
        <v>2.4300000000000002</v>
      </c>
      <c r="F272" s="180" t="s">
        <v>1140</v>
      </c>
      <c r="G272" s="180" t="s">
        <v>640</v>
      </c>
      <c r="H272" s="84">
        <v>3657</v>
      </c>
    </row>
    <row r="273" spans="1:8" s="179" customFormat="1" ht="14.25" customHeight="1" x14ac:dyDescent="0.25">
      <c r="A273" s="180" t="s">
        <v>5596</v>
      </c>
      <c r="B273" s="180" t="s">
        <v>5615</v>
      </c>
      <c r="C273" s="180" t="s">
        <v>5616</v>
      </c>
      <c r="D273" s="180" t="s">
        <v>5617</v>
      </c>
      <c r="E273" s="181">
        <v>4.08</v>
      </c>
      <c r="F273" s="180" t="s">
        <v>5618</v>
      </c>
      <c r="G273" s="180" t="s">
        <v>640</v>
      </c>
      <c r="H273" s="84">
        <v>3658</v>
      </c>
    </row>
    <row r="274" spans="1:8" s="179" customFormat="1" ht="14.25" customHeight="1" x14ac:dyDescent="0.25">
      <c r="A274" s="180" t="s">
        <v>5596</v>
      </c>
      <c r="B274" s="180" t="s">
        <v>5619</v>
      </c>
      <c r="C274" s="180" t="s">
        <v>5620</v>
      </c>
      <c r="D274" s="180" t="s">
        <v>4475</v>
      </c>
      <c r="E274" s="181">
        <v>2.21</v>
      </c>
      <c r="F274" s="180" t="s">
        <v>4476</v>
      </c>
      <c r="G274" s="180" t="s">
        <v>640</v>
      </c>
      <c r="H274" s="84">
        <v>3659</v>
      </c>
    </row>
    <row r="275" spans="1:8" s="179" customFormat="1" ht="14.25" customHeight="1" x14ac:dyDescent="0.25">
      <c r="A275" s="180" t="s">
        <v>5596</v>
      </c>
      <c r="B275" s="180" t="s">
        <v>5621</v>
      </c>
      <c r="C275" s="180" t="s">
        <v>5622</v>
      </c>
      <c r="D275" s="180" t="s">
        <v>4105</v>
      </c>
      <c r="E275" s="181">
        <v>1.74</v>
      </c>
      <c r="F275" s="180" t="s">
        <v>4106</v>
      </c>
      <c r="G275" s="180" t="s">
        <v>640</v>
      </c>
      <c r="H275" s="84">
        <v>3660</v>
      </c>
    </row>
    <row r="276" spans="1:8" s="179" customFormat="1" ht="14.25" customHeight="1" x14ac:dyDescent="0.25">
      <c r="A276" s="180" t="s">
        <v>5596</v>
      </c>
      <c r="B276" s="180" t="s">
        <v>5623</v>
      </c>
      <c r="C276" s="180" t="s">
        <v>5624</v>
      </c>
      <c r="D276" s="180" t="s">
        <v>3084</v>
      </c>
      <c r="E276" s="181">
        <v>0.27</v>
      </c>
      <c r="F276" s="180" t="s">
        <v>3085</v>
      </c>
      <c r="G276" s="180" t="s">
        <v>640</v>
      </c>
      <c r="H276" s="84">
        <v>3661</v>
      </c>
    </row>
    <row r="277" spans="1:8" s="179" customFormat="1" ht="14.25" customHeight="1" x14ac:dyDescent="0.25">
      <c r="A277" s="180" t="s">
        <v>5596</v>
      </c>
      <c r="B277" s="180" t="s">
        <v>5625</v>
      </c>
      <c r="C277" s="180" t="s">
        <v>5626</v>
      </c>
      <c r="D277" s="180" t="s">
        <v>737</v>
      </c>
      <c r="E277" s="181">
        <v>2.92</v>
      </c>
      <c r="F277" s="180" t="s">
        <v>736</v>
      </c>
      <c r="G277" s="180" t="s">
        <v>640</v>
      </c>
      <c r="H277" s="84">
        <v>3662</v>
      </c>
    </row>
    <row r="278" spans="1:8" s="179" customFormat="1" ht="14.25" customHeight="1" x14ac:dyDescent="0.25">
      <c r="A278" s="180"/>
      <c r="B278" s="180"/>
      <c r="C278" s="180"/>
      <c r="D278" s="143" t="s">
        <v>3578</v>
      </c>
      <c r="E278" s="141">
        <f>SUM(E177:E277)</f>
        <v>809.0899999999998</v>
      </c>
      <c r="F278" s="180"/>
      <c r="G278" s="180"/>
      <c r="H278" s="84"/>
    </row>
    <row r="279" spans="1:8" s="179" customFormat="1" ht="14.25" customHeight="1" x14ac:dyDescent="0.25">
      <c r="A279" s="180" t="s">
        <v>5627</v>
      </c>
      <c r="B279" s="180" t="s">
        <v>5628</v>
      </c>
      <c r="C279" s="180" t="s">
        <v>5629</v>
      </c>
      <c r="D279" s="180" t="s">
        <v>3720</v>
      </c>
      <c r="E279" s="181">
        <v>5.12</v>
      </c>
      <c r="F279" s="180" t="s">
        <v>3721</v>
      </c>
      <c r="G279" s="180" t="s">
        <v>640</v>
      </c>
      <c r="H279" s="84">
        <v>3694</v>
      </c>
    </row>
    <row r="280" spans="1:8" s="179" customFormat="1" ht="14.25" customHeight="1" x14ac:dyDescent="0.25">
      <c r="A280" s="180" t="s">
        <v>5627</v>
      </c>
      <c r="B280" s="180" t="s">
        <v>5630</v>
      </c>
      <c r="C280" s="180" t="s">
        <v>5631</v>
      </c>
      <c r="D280" s="180" t="s">
        <v>1329</v>
      </c>
      <c r="E280" s="181">
        <v>8.2899999999999991</v>
      </c>
      <c r="F280" s="180" t="s">
        <v>1328</v>
      </c>
      <c r="G280" s="180" t="s">
        <v>640</v>
      </c>
      <c r="H280" s="84">
        <v>3695</v>
      </c>
    </row>
    <row r="281" spans="1:8" s="179" customFormat="1" ht="14.25" customHeight="1" x14ac:dyDescent="0.25">
      <c r="A281" s="180" t="s">
        <v>5627</v>
      </c>
      <c r="B281" s="180" t="s">
        <v>5632</v>
      </c>
      <c r="C281" s="180" t="s">
        <v>5633</v>
      </c>
      <c r="D281" s="180" t="s">
        <v>4089</v>
      </c>
      <c r="E281" s="181">
        <v>6.72</v>
      </c>
      <c r="F281" s="180" t="s">
        <v>4090</v>
      </c>
      <c r="G281" s="180" t="s">
        <v>640</v>
      </c>
      <c r="H281" s="84">
        <v>3696</v>
      </c>
    </row>
    <row r="282" spans="1:8" s="179" customFormat="1" ht="14.25" customHeight="1" x14ac:dyDescent="0.25">
      <c r="A282" s="180" t="s">
        <v>5627</v>
      </c>
      <c r="B282" s="180" t="s">
        <v>5634</v>
      </c>
      <c r="C282" s="180" t="s">
        <v>5635</v>
      </c>
      <c r="D282" s="180" t="s">
        <v>5636</v>
      </c>
      <c r="E282" s="181">
        <v>7.38</v>
      </c>
      <c r="F282" s="180" t="s">
        <v>5637</v>
      </c>
      <c r="G282" s="180" t="s">
        <v>640</v>
      </c>
      <c r="H282" s="84">
        <v>3697</v>
      </c>
    </row>
    <row r="283" spans="1:8" s="179" customFormat="1" ht="14.25" customHeight="1" x14ac:dyDescent="0.25">
      <c r="A283" s="180" t="s">
        <v>5627</v>
      </c>
      <c r="B283" s="180" t="s">
        <v>5638</v>
      </c>
      <c r="C283" s="180" t="s">
        <v>5639</v>
      </c>
      <c r="D283" s="180" t="s">
        <v>972</v>
      </c>
      <c r="E283" s="181">
        <v>2.2999999999999998</v>
      </c>
      <c r="F283" s="180" t="s">
        <v>971</v>
      </c>
      <c r="G283" s="180" t="s">
        <v>640</v>
      </c>
      <c r="H283" s="84">
        <v>3698</v>
      </c>
    </row>
    <row r="284" spans="1:8" s="179" customFormat="1" ht="14.25" customHeight="1" x14ac:dyDescent="0.25">
      <c r="A284" s="180" t="s">
        <v>5627</v>
      </c>
      <c r="B284" s="180" t="s">
        <v>5640</v>
      </c>
      <c r="C284" s="180" t="s">
        <v>5641</v>
      </c>
      <c r="D284" s="180" t="s">
        <v>1040</v>
      </c>
      <c r="E284" s="181">
        <v>2.93</v>
      </c>
      <c r="F284" s="180" t="s">
        <v>1039</v>
      </c>
      <c r="G284" s="180" t="s">
        <v>640</v>
      </c>
      <c r="H284" s="84">
        <v>3699</v>
      </c>
    </row>
    <row r="285" spans="1:8" s="179" customFormat="1" ht="14.25" customHeight="1" x14ac:dyDescent="0.25">
      <c r="A285" s="180" t="s">
        <v>5627</v>
      </c>
      <c r="B285" s="180" t="s">
        <v>5642</v>
      </c>
      <c r="C285" s="180" t="s">
        <v>5643</v>
      </c>
      <c r="D285" s="180" t="s">
        <v>5644</v>
      </c>
      <c r="E285" s="181">
        <v>6.49</v>
      </c>
      <c r="F285" s="180" t="s">
        <v>5645</v>
      </c>
      <c r="G285" s="180" t="s">
        <v>640</v>
      </c>
      <c r="H285" s="84">
        <v>3700</v>
      </c>
    </row>
    <row r="286" spans="1:8" s="179" customFormat="1" ht="14.25" customHeight="1" x14ac:dyDescent="0.25">
      <c r="A286" s="180" t="s">
        <v>5627</v>
      </c>
      <c r="B286" s="180" t="s">
        <v>5646</v>
      </c>
      <c r="C286" s="180" t="s">
        <v>5647</v>
      </c>
      <c r="D286" s="180" t="s">
        <v>3211</v>
      </c>
      <c r="E286" s="181">
        <v>27.56</v>
      </c>
      <c r="F286" s="180" t="s">
        <v>3212</v>
      </c>
      <c r="G286" s="180" t="s">
        <v>640</v>
      </c>
      <c r="H286" s="84">
        <v>3701</v>
      </c>
    </row>
    <row r="287" spans="1:8" s="179" customFormat="1" ht="14.25" customHeight="1" x14ac:dyDescent="0.25">
      <c r="A287" s="180" t="s">
        <v>5627</v>
      </c>
      <c r="B287" s="180" t="s">
        <v>5648</v>
      </c>
      <c r="C287" s="180" t="s">
        <v>5649</v>
      </c>
      <c r="D287" s="180" t="s">
        <v>1437</v>
      </c>
      <c r="E287" s="181">
        <v>7.44</v>
      </c>
      <c r="F287" s="180" t="s">
        <v>1436</v>
      </c>
      <c r="G287" s="180" t="s">
        <v>640</v>
      </c>
      <c r="H287" s="84">
        <v>3702</v>
      </c>
    </row>
    <row r="288" spans="1:8" s="179" customFormat="1" ht="14.25" customHeight="1" x14ac:dyDescent="0.25">
      <c r="A288" s="180" t="s">
        <v>5627</v>
      </c>
      <c r="B288" s="180" t="s">
        <v>5650</v>
      </c>
      <c r="C288" s="180" t="s">
        <v>5651</v>
      </c>
      <c r="D288" s="180" t="s">
        <v>938</v>
      </c>
      <c r="E288" s="181">
        <v>2.4900000000000002</v>
      </c>
      <c r="F288" s="180" t="s">
        <v>937</v>
      </c>
      <c r="G288" s="180" t="s">
        <v>640</v>
      </c>
      <c r="H288" s="84">
        <v>3703</v>
      </c>
    </row>
    <row r="289" spans="1:8" s="179" customFormat="1" ht="14.25" customHeight="1" x14ac:dyDescent="0.25">
      <c r="A289" s="180" t="s">
        <v>5627</v>
      </c>
      <c r="B289" s="180" t="s">
        <v>5652</v>
      </c>
      <c r="C289" s="180" t="s">
        <v>5653</v>
      </c>
      <c r="D289" s="180" t="s">
        <v>672</v>
      </c>
      <c r="E289" s="181">
        <v>3.17</v>
      </c>
      <c r="F289" s="180" t="s">
        <v>671</v>
      </c>
      <c r="G289" s="180" t="s">
        <v>640</v>
      </c>
      <c r="H289" s="84">
        <v>3704</v>
      </c>
    </row>
    <row r="290" spans="1:8" s="179" customFormat="1" ht="14.25" customHeight="1" x14ac:dyDescent="0.25">
      <c r="A290" s="180" t="s">
        <v>5627</v>
      </c>
      <c r="B290" s="180" t="s">
        <v>5654</v>
      </c>
      <c r="C290" s="180" t="s">
        <v>5655</v>
      </c>
      <c r="D290" s="180" t="s">
        <v>772</v>
      </c>
      <c r="E290" s="181">
        <v>1.78</v>
      </c>
      <c r="F290" s="180" t="s">
        <v>771</v>
      </c>
      <c r="G290" s="180" t="s">
        <v>640</v>
      </c>
      <c r="H290" s="84">
        <v>3705</v>
      </c>
    </row>
    <row r="291" spans="1:8" s="179" customFormat="1" ht="14.25" customHeight="1" x14ac:dyDescent="0.25">
      <c r="A291" s="180" t="s">
        <v>5627</v>
      </c>
      <c r="B291" s="180" t="s">
        <v>5656</v>
      </c>
      <c r="C291" s="180" t="s">
        <v>5657</v>
      </c>
      <c r="D291" s="180" t="s">
        <v>5658</v>
      </c>
      <c r="E291" s="181">
        <v>8.08</v>
      </c>
      <c r="F291" s="180" t="s">
        <v>5659</v>
      </c>
      <c r="G291" s="180" t="s">
        <v>640</v>
      </c>
      <c r="H291" s="84">
        <v>3706</v>
      </c>
    </row>
    <row r="292" spans="1:8" s="179" customFormat="1" ht="14.25" customHeight="1" x14ac:dyDescent="0.25">
      <c r="A292" s="180" t="s">
        <v>5627</v>
      </c>
      <c r="B292" s="180" t="s">
        <v>5660</v>
      </c>
      <c r="C292" s="180" t="s">
        <v>5661</v>
      </c>
      <c r="D292" s="180" t="s">
        <v>3915</v>
      </c>
      <c r="E292" s="181">
        <v>3.73</v>
      </c>
      <c r="F292" s="180" t="s">
        <v>3916</v>
      </c>
      <c r="G292" s="180" t="s">
        <v>640</v>
      </c>
      <c r="H292" s="84">
        <v>3707</v>
      </c>
    </row>
    <row r="293" spans="1:8" s="179" customFormat="1" ht="14.25" customHeight="1" x14ac:dyDescent="0.25">
      <c r="A293" s="180" t="s">
        <v>5627</v>
      </c>
      <c r="B293" s="180" t="s">
        <v>5662</v>
      </c>
      <c r="C293" s="180" t="s">
        <v>5663</v>
      </c>
      <c r="D293" s="180" t="s">
        <v>5664</v>
      </c>
      <c r="E293" s="181">
        <v>1.68</v>
      </c>
      <c r="F293" s="180" t="s">
        <v>5665</v>
      </c>
      <c r="G293" s="180" t="s">
        <v>640</v>
      </c>
      <c r="H293" s="84">
        <v>3708</v>
      </c>
    </row>
    <row r="294" spans="1:8" s="179" customFormat="1" ht="14.25" customHeight="1" x14ac:dyDescent="0.25">
      <c r="A294" s="180" t="s">
        <v>5627</v>
      </c>
      <c r="B294" s="180" t="s">
        <v>5666</v>
      </c>
      <c r="C294" s="180" t="s">
        <v>5667</v>
      </c>
      <c r="D294" s="180" t="s">
        <v>3981</v>
      </c>
      <c r="E294" s="181">
        <v>2.46</v>
      </c>
      <c r="F294" s="180" t="s">
        <v>3982</v>
      </c>
      <c r="G294" s="180" t="s">
        <v>640</v>
      </c>
      <c r="H294" s="84">
        <v>3709</v>
      </c>
    </row>
    <row r="295" spans="1:8" s="179" customFormat="1" ht="14.25" customHeight="1" x14ac:dyDescent="0.25">
      <c r="A295" s="180" t="s">
        <v>5627</v>
      </c>
      <c r="B295" s="180" t="s">
        <v>5668</v>
      </c>
      <c r="C295" s="180" t="s">
        <v>5669</v>
      </c>
      <c r="D295" s="180" t="s">
        <v>1160</v>
      </c>
      <c r="E295" s="181">
        <v>22.39</v>
      </c>
      <c r="F295" s="180" t="s">
        <v>1159</v>
      </c>
      <c r="G295" s="180" t="s">
        <v>640</v>
      </c>
      <c r="H295" s="84">
        <v>3710</v>
      </c>
    </row>
    <row r="296" spans="1:8" s="179" customFormat="1" ht="14.25" customHeight="1" x14ac:dyDescent="0.25">
      <c r="A296" s="180" t="s">
        <v>5627</v>
      </c>
      <c r="B296" s="180" t="s">
        <v>5670</v>
      </c>
      <c r="C296" s="180" t="s">
        <v>5671</v>
      </c>
      <c r="D296" s="180" t="s">
        <v>1036</v>
      </c>
      <c r="E296" s="181">
        <v>3.8</v>
      </c>
      <c r="F296" s="180" t="s">
        <v>1035</v>
      </c>
      <c r="G296" s="180" t="s">
        <v>640</v>
      </c>
      <c r="H296" s="84">
        <v>3711</v>
      </c>
    </row>
    <row r="297" spans="1:8" s="179" customFormat="1" ht="14.25" customHeight="1" x14ac:dyDescent="0.25">
      <c r="A297" s="180" t="s">
        <v>5627</v>
      </c>
      <c r="B297" s="180" t="s">
        <v>5672</v>
      </c>
      <c r="C297" s="180" t="s">
        <v>5673</v>
      </c>
      <c r="D297" s="180" t="s">
        <v>5674</v>
      </c>
      <c r="E297" s="181">
        <v>3.82</v>
      </c>
      <c r="F297" s="180" t="s">
        <v>5675</v>
      </c>
      <c r="G297" s="180" t="s">
        <v>640</v>
      </c>
      <c r="H297" s="84">
        <v>3712</v>
      </c>
    </row>
    <row r="298" spans="1:8" s="179" customFormat="1" ht="14.25" customHeight="1" x14ac:dyDescent="0.25">
      <c r="A298" s="180" t="s">
        <v>5627</v>
      </c>
      <c r="B298" s="180" t="s">
        <v>5676</v>
      </c>
      <c r="C298" s="180" t="s">
        <v>5677</v>
      </c>
      <c r="D298" s="180" t="s">
        <v>2902</v>
      </c>
      <c r="E298" s="181">
        <v>1.78</v>
      </c>
      <c r="F298" s="180" t="s">
        <v>2903</v>
      </c>
      <c r="G298" s="180" t="s">
        <v>640</v>
      </c>
      <c r="H298" s="84">
        <v>3713</v>
      </c>
    </row>
    <row r="299" spans="1:8" s="179" customFormat="1" ht="14.25" customHeight="1" x14ac:dyDescent="0.25">
      <c r="A299" s="180" t="s">
        <v>5627</v>
      </c>
      <c r="B299" s="180" t="s">
        <v>5678</v>
      </c>
      <c r="C299" s="180" t="s">
        <v>5679</v>
      </c>
      <c r="D299" s="180" t="s">
        <v>4535</v>
      </c>
      <c r="E299" s="181">
        <v>2.59</v>
      </c>
      <c r="F299" s="180" t="s">
        <v>4536</v>
      </c>
      <c r="G299" s="180" t="s">
        <v>640</v>
      </c>
      <c r="H299" s="84">
        <v>3714</v>
      </c>
    </row>
    <row r="300" spans="1:8" s="179" customFormat="1" ht="14.25" customHeight="1" x14ac:dyDescent="0.25">
      <c r="A300" s="180" t="s">
        <v>5680</v>
      </c>
      <c r="B300" s="180" t="s">
        <v>5681</v>
      </c>
      <c r="C300" s="180" t="s">
        <v>5682</v>
      </c>
      <c r="D300" s="180" t="s">
        <v>5683</v>
      </c>
      <c r="E300" s="181">
        <v>5.91</v>
      </c>
      <c r="F300" s="180" t="s">
        <v>5684</v>
      </c>
      <c r="G300" s="180" t="s">
        <v>640</v>
      </c>
      <c r="H300" s="84">
        <v>3715</v>
      </c>
    </row>
    <row r="301" spans="1:8" s="179" customFormat="1" ht="14.25" customHeight="1" x14ac:dyDescent="0.25">
      <c r="A301" s="180" t="s">
        <v>5680</v>
      </c>
      <c r="B301" s="180" t="s">
        <v>5685</v>
      </c>
      <c r="C301" s="180" t="s">
        <v>5686</v>
      </c>
      <c r="D301" s="180" t="s">
        <v>725</v>
      </c>
      <c r="E301" s="181">
        <v>8.19</v>
      </c>
      <c r="F301" s="180" t="s">
        <v>724</v>
      </c>
      <c r="G301" s="180" t="s">
        <v>640</v>
      </c>
      <c r="H301" s="84">
        <v>3716</v>
      </c>
    </row>
    <row r="302" spans="1:8" s="179" customFormat="1" ht="14.25" customHeight="1" x14ac:dyDescent="0.25">
      <c r="A302" s="180" t="s">
        <v>5680</v>
      </c>
      <c r="B302" s="180" t="s">
        <v>5687</v>
      </c>
      <c r="C302" s="180" t="s">
        <v>5688</v>
      </c>
      <c r="D302" s="180" t="s">
        <v>3993</v>
      </c>
      <c r="E302" s="181">
        <v>1.8</v>
      </c>
      <c r="F302" s="180" t="s">
        <v>3994</v>
      </c>
      <c r="G302" s="180" t="s">
        <v>640</v>
      </c>
      <c r="H302" s="84">
        <v>3717</v>
      </c>
    </row>
    <row r="303" spans="1:8" s="179" customFormat="1" ht="14.25" customHeight="1" x14ac:dyDescent="0.25">
      <c r="A303" s="180" t="s">
        <v>5680</v>
      </c>
      <c r="B303" s="180" t="s">
        <v>5689</v>
      </c>
      <c r="C303" s="180" t="s">
        <v>5690</v>
      </c>
      <c r="D303" s="180" t="s">
        <v>4216</v>
      </c>
      <c r="E303" s="181">
        <v>3.53</v>
      </c>
      <c r="F303" s="180" t="s">
        <v>4217</v>
      </c>
      <c r="G303" s="180" t="s">
        <v>640</v>
      </c>
      <c r="H303" s="84">
        <v>3718</v>
      </c>
    </row>
    <row r="304" spans="1:8" s="179" customFormat="1" ht="14.25" customHeight="1" x14ac:dyDescent="0.25">
      <c r="A304" s="180" t="s">
        <v>5680</v>
      </c>
      <c r="B304" s="180" t="s">
        <v>5691</v>
      </c>
      <c r="C304" s="180" t="s">
        <v>5692</v>
      </c>
      <c r="D304" s="180" t="s">
        <v>942</v>
      </c>
      <c r="E304" s="181">
        <v>3.38</v>
      </c>
      <c r="F304" s="180" t="s">
        <v>941</v>
      </c>
      <c r="G304" s="180" t="s">
        <v>640</v>
      </c>
      <c r="H304" s="84">
        <v>3719</v>
      </c>
    </row>
    <row r="305" spans="1:8" s="179" customFormat="1" ht="14.25" customHeight="1" x14ac:dyDescent="0.25">
      <c r="A305" s="180" t="s">
        <v>5680</v>
      </c>
      <c r="B305" s="180" t="s">
        <v>5693</v>
      </c>
      <c r="C305" s="180" t="s">
        <v>5694</v>
      </c>
      <c r="D305" s="180" t="s">
        <v>1287</v>
      </c>
      <c r="E305" s="181">
        <v>6.49</v>
      </c>
      <c r="F305" s="180" t="s">
        <v>1286</v>
      </c>
      <c r="G305" s="180" t="s">
        <v>640</v>
      </c>
      <c r="H305" s="84">
        <v>3720</v>
      </c>
    </row>
    <row r="306" spans="1:8" s="179" customFormat="1" ht="14.25" customHeight="1" x14ac:dyDescent="0.25">
      <c r="A306" s="180" t="s">
        <v>5680</v>
      </c>
      <c r="B306" s="180" t="s">
        <v>5695</v>
      </c>
      <c r="C306" s="180" t="s">
        <v>5696</v>
      </c>
      <c r="D306" s="180" t="s">
        <v>1271</v>
      </c>
      <c r="E306" s="181">
        <v>7.23</v>
      </c>
      <c r="F306" s="180" t="s">
        <v>1270</v>
      </c>
      <c r="G306" s="180" t="s">
        <v>640</v>
      </c>
      <c r="H306" s="84">
        <v>3721</v>
      </c>
    </row>
    <row r="307" spans="1:8" s="179" customFormat="1" ht="14.25" customHeight="1" x14ac:dyDescent="0.25">
      <c r="A307" s="180" t="s">
        <v>5680</v>
      </c>
      <c r="B307" s="180" t="s">
        <v>5697</v>
      </c>
      <c r="C307" s="180" t="s">
        <v>5698</v>
      </c>
      <c r="D307" s="180" t="s">
        <v>903</v>
      </c>
      <c r="E307" s="181">
        <v>7.23</v>
      </c>
      <c r="F307" s="180" t="s">
        <v>902</v>
      </c>
      <c r="G307" s="180" t="s">
        <v>640</v>
      </c>
      <c r="H307" s="84">
        <v>3722</v>
      </c>
    </row>
    <row r="308" spans="1:8" s="179" customFormat="1" ht="14.25" customHeight="1" x14ac:dyDescent="0.25">
      <c r="A308" s="180" t="s">
        <v>5680</v>
      </c>
      <c r="B308" s="180" t="s">
        <v>5699</v>
      </c>
      <c r="C308" s="180" t="s">
        <v>5700</v>
      </c>
      <c r="D308" s="180" t="s">
        <v>4026</v>
      </c>
      <c r="E308" s="181">
        <v>4.88</v>
      </c>
      <c r="F308" s="180" t="s">
        <v>4027</v>
      </c>
      <c r="G308" s="180" t="s">
        <v>640</v>
      </c>
      <c r="H308" s="84">
        <v>3723</v>
      </c>
    </row>
    <row r="309" spans="1:8" s="179" customFormat="1" ht="14.25" customHeight="1" x14ac:dyDescent="0.25">
      <c r="A309" s="180" t="s">
        <v>5680</v>
      </c>
      <c r="B309" s="180" t="s">
        <v>5701</v>
      </c>
      <c r="C309" s="180" t="s">
        <v>5702</v>
      </c>
      <c r="D309" s="180" t="s">
        <v>1191</v>
      </c>
      <c r="E309" s="181">
        <v>3.36</v>
      </c>
      <c r="F309" s="180" t="s">
        <v>1190</v>
      </c>
      <c r="G309" s="180" t="s">
        <v>640</v>
      </c>
      <c r="H309" s="84">
        <v>3724</v>
      </c>
    </row>
    <row r="310" spans="1:8" s="179" customFormat="1" ht="14.25" customHeight="1" x14ac:dyDescent="0.25">
      <c r="A310" s="180" t="s">
        <v>5680</v>
      </c>
      <c r="B310" s="180" t="s">
        <v>5703</v>
      </c>
      <c r="C310" s="180" t="s">
        <v>5704</v>
      </c>
      <c r="D310" s="180" t="s">
        <v>5705</v>
      </c>
      <c r="E310" s="181">
        <v>13.86</v>
      </c>
      <c r="F310" s="180" t="s">
        <v>5706</v>
      </c>
      <c r="G310" s="180" t="s">
        <v>640</v>
      </c>
      <c r="H310" s="84">
        <v>3725</v>
      </c>
    </row>
    <row r="311" spans="1:8" s="179" customFormat="1" ht="14.25" customHeight="1" x14ac:dyDescent="0.25">
      <c r="A311" s="180" t="s">
        <v>5680</v>
      </c>
      <c r="B311" s="180" t="s">
        <v>5707</v>
      </c>
      <c r="C311" s="180" t="s">
        <v>5708</v>
      </c>
      <c r="D311" s="180" t="s">
        <v>1241</v>
      </c>
      <c r="E311" s="181">
        <v>1.77</v>
      </c>
      <c r="F311" s="180" t="s">
        <v>1240</v>
      </c>
      <c r="G311" s="180" t="s">
        <v>640</v>
      </c>
      <c r="H311" s="84">
        <v>3726</v>
      </c>
    </row>
    <row r="312" spans="1:8" s="179" customFormat="1" ht="14.25" customHeight="1" x14ac:dyDescent="0.25">
      <c r="A312" s="180" t="s">
        <v>5709</v>
      </c>
      <c r="B312" s="180" t="s">
        <v>5710</v>
      </c>
      <c r="C312" s="180" t="s">
        <v>5711</v>
      </c>
      <c r="D312" s="180" t="s">
        <v>819</v>
      </c>
      <c r="E312" s="181">
        <v>3.67</v>
      </c>
      <c r="F312" s="180" t="s">
        <v>818</v>
      </c>
      <c r="G312" s="180" t="s">
        <v>640</v>
      </c>
      <c r="H312" s="84">
        <v>3746</v>
      </c>
    </row>
    <row r="313" spans="1:8" s="179" customFormat="1" ht="14.25" customHeight="1" x14ac:dyDescent="0.25">
      <c r="A313" s="180" t="s">
        <v>5709</v>
      </c>
      <c r="B313" s="180" t="s">
        <v>4041</v>
      </c>
      <c r="C313" s="180" t="s">
        <v>5712</v>
      </c>
      <c r="D313" s="180" t="s">
        <v>834</v>
      </c>
      <c r="E313" s="181">
        <v>4.6900000000000004</v>
      </c>
      <c r="F313" s="180" t="s">
        <v>833</v>
      </c>
      <c r="G313" s="180" t="s">
        <v>640</v>
      </c>
      <c r="H313" s="84">
        <v>3747</v>
      </c>
    </row>
    <row r="314" spans="1:8" s="179" customFormat="1" ht="14.25" customHeight="1" x14ac:dyDescent="0.25">
      <c r="A314" s="180" t="s">
        <v>5713</v>
      </c>
      <c r="B314" s="180" t="s">
        <v>5714</v>
      </c>
      <c r="C314" s="180" t="s">
        <v>5715</v>
      </c>
      <c r="D314" s="180" t="s">
        <v>1168</v>
      </c>
      <c r="E314" s="181">
        <v>24.6</v>
      </c>
      <c r="F314" s="180" t="s">
        <v>1167</v>
      </c>
      <c r="G314" s="180" t="s">
        <v>640</v>
      </c>
      <c r="H314" s="84">
        <v>3776</v>
      </c>
    </row>
    <row r="315" spans="1:8" s="179" customFormat="1" ht="14.25" customHeight="1" x14ac:dyDescent="0.25">
      <c r="A315" s="180" t="s">
        <v>5713</v>
      </c>
      <c r="B315" s="180" t="s">
        <v>5716</v>
      </c>
      <c r="C315" s="180" t="s">
        <v>5717</v>
      </c>
      <c r="D315" s="180" t="s">
        <v>5718</v>
      </c>
      <c r="E315" s="181">
        <v>4.1399999999999997</v>
      </c>
      <c r="F315" s="180" t="s">
        <v>5719</v>
      </c>
      <c r="G315" s="180" t="s">
        <v>640</v>
      </c>
      <c r="H315" s="84">
        <v>3777</v>
      </c>
    </row>
    <row r="316" spans="1:8" s="179" customFormat="1" ht="14.25" customHeight="1" x14ac:dyDescent="0.25">
      <c r="A316" s="180" t="s">
        <v>5713</v>
      </c>
      <c r="B316" s="180" t="s">
        <v>5720</v>
      </c>
      <c r="C316" s="180" t="s">
        <v>5721</v>
      </c>
      <c r="D316" s="180" t="s">
        <v>5722</v>
      </c>
      <c r="E316" s="181">
        <v>4.7699999999999996</v>
      </c>
      <c r="F316" s="180" t="s">
        <v>5723</v>
      </c>
      <c r="G316" s="180" t="s">
        <v>640</v>
      </c>
      <c r="H316" s="84">
        <v>3778</v>
      </c>
    </row>
    <row r="317" spans="1:8" s="179" customFormat="1" ht="14.25" customHeight="1" x14ac:dyDescent="0.25">
      <c r="A317" s="180" t="s">
        <v>5713</v>
      </c>
      <c r="B317" s="180" t="s">
        <v>5724</v>
      </c>
      <c r="C317" s="180" t="s">
        <v>5725</v>
      </c>
      <c r="D317" s="180" t="s">
        <v>987</v>
      </c>
      <c r="E317" s="181">
        <v>4.46</v>
      </c>
      <c r="F317" s="180" t="s">
        <v>986</v>
      </c>
      <c r="G317" s="180" t="s">
        <v>640</v>
      </c>
      <c r="H317" s="84">
        <v>3779</v>
      </c>
    </row>
    <row r="318" spans="1:8" s="179" customFormat="1" ht="14.25" customHeight="1" x14ac:dyDescent="0.25">
      <c r="A318" s="180" t="s">
        <v>5713</v>
      </c>
      <c r="B318" s="180" t="s">
        <v>5726</v>
      </c>
      <c r="C318" s="180" t="s">
        <v>5727</v>
      </c>
      <c r="D318" s="180" t="s">
        <v>5728</v>
      </c>
      <c r="E318" s="181">
        <v>5.04</v>
      </c>
      <c r="F318" s="180" t="s">
        <v>5729</v>
      </c>
      <c r="G318" s="180" t="s">
        <v>640</v>
      </c>
      <c r="H318" s="84">
        <v>3780</v>
      </c>
    </row>
    <row r="319" spans="1:8" s="179" customFormat="1" ht="14.25" customHeight="1" x14ac:dyDescent="0.25">
      <c r="A319" s="180" t="s">
        <v>5713</v>
      </c>
      <c r="B319" s="180" t="s">
        <v>5730</v>
      </c>
      <c r="C319" s="180" t="s">
        <v>5731</v>
      </c>
      <c r="D319" s="180" t="s">
        <v>1009</v>
      </c>
      <c r="E319" s="181">
        <v>10.61</v>
      </c>
      <c r="F319" s="180" t="s">
        <v>1008</v>
      </c>
      <c r="G319" s="180" t="s">
        <v>640</v>
      </c>
      <c r="H319" s="84">
        <v>3781</v>
      </c>
    </row>
    <row r="320" spans="1:8" s="179" customFormat="1" ht="14.25" customHeight="1" x14ac:dyDescent="0.25">
      <c r="A320" s="180" t="s">
        <v>5713</v>
      </c>
      <c r="B320" s="180" t="s">
        <v>5732</v>
      </c>
      <c r="C320" s="180" t="s">
        <v>5733</v>
      </c>
      <c r="D320" s="180" t="s">
        <v>954</v>
      </c>
      <c r="E320" s="181">
        <v>2.13</v>
      </c>
      <c r="F320" s="180" t="s">
        <v>953</v>
      </c>
      <c r="G320" s="180" t="s">
        <v>640</v>
      </c>
      <c r="H320" s="84">
        <v>3782</v>
      </c>
    </row>
    <row r="321" spans="1:8" s="179" customFormat="1" ht="14.25" customHeight="1" x14ac:dyDescent="0.25">
      <c r="A321" s="180" t="s">
        <v>5713</v>
      </c>
      <c r="B321" s="180" t="s">
        <v>5734</v>
      </c>
      <c r="C321" s="180" t="s">
        <v>5735</v>
      </c>
      <c r="D321" s="180" t="s">
        <v>1367</v>
      </c>
      <c r="E321" s="181">
        <v>1.81</v>
      </c>
      <c r="F321" s="180" t="s">
        <v>1366</v>
      </c>
      <c r="G321" s="180" t="s">
        <v>640</v>
      </c>
      <c r="H321" s="84">
        <v>3783</v>
      </c>
    </row>
    <row r="322" spans="1:8" s="179" customFormat="1" ht="14.25" customHeight="1" x14ac:dyDescent="0.25">
      <c r="A322" s="180" t="s">
        <v>5713</v>
      </c>
      <c r="B322" s="180" t="s">
        <v>5736</v>
      </c>
      <c r="C322" s="180" t="s">
        <v>5737</v>
      </c>
      <c r="D322" s="180" t="s">
        <v>1514</v>
      </c>
      <c r="E322" s="181">
        <v>0.37</v>
      </c>
      <c r="F322" s="180" t="s">
        <v>1513</v>
      </c>
      <c r="G322" s="180" t="s">
        <v>640</v>
      </c>
      <c r="H322" s="84">
        <v>3784</v>
      </c>
    </row>
    <row r="323" spans="1:8" s="179" customFormat="1" ht="14.25" customHeight="1" x14ac:dyDescent="0.25">
      <c r="A323" s="180" t="s">
        <v>5713</v>
      </c>
      <c r="B323" s="180" t="s">
        <v>5738</v>
      </c>
      <c r="C323" s="180" t="s">
        <v>5739</v>
      </c>
      <c r="D323" s="180" t="s">
        <v>1038</v>
      </c>
      <c r="E323" s="181">
        <v>11.28</v>
      </c>
      <c r="F323" s="180" t="s">
        <v>1037</v>
      </c>
      <c r="G323" s="180" t="s">
        <v>640</v>
      </c>
      <c r="H323" s="84">
        <v>3785</v>
      </c>
    </row>
    <row r="324" spans="1:8" s="179" customFormat="1" ht="14.25" customHeight="1" x14ac:dyDescent="0.25">
      <c r="A324" s="180" t="s">
        <v>5713</v>
      </c>
      <c r="B324" s="180" t="s">
        <v>5740</v>
      </c>
      <c r="C324" s="180" t="s">
        <v>5741</v>
      </c>
      <c r="D324" s="180" t="s">
        <v>926</v>
      </c>
      <c r="E324" s="181">
        <v>1.69</v>
      </c>
      <c r="F324" s="180" t="s">
        <v>925</v>
      </c>
      <c r="G324" s="180" t="s">
        <v>640</v>
      </c>
      <c r="H324" s="84">
        <v>3786</v>
      </c>
    </row>
    <row r="325" spans="1:8" s="179" customFormat="1" ht="14.25" customHeight="1" x14ac:dyDescent="0.25">
      <c r="A325" s="180" t="s">
        <v>5713</v>
      </c>
      <c r="B325" s="180" t="s">
        <v>5742</v>
      </c>
      <c r="C325" s="180" t="s">
        <v>5743</v>
      </c>
      <c r="D325" s="180" t="s">
        <v>5744</v>
      </c>
      <c r="E325" s="181">
        <v>56</v>
      </c>
      <c r="F325" s="180" t="s">
        <v>5745</v>
      </c>
      <c r="G325" s="180" t="s">
        <v>640</v>
      </c>
      <c r="H325" s="84">
        <v>3787</v>
      </c>
    </row>
    <row r="326" spans="1:8" s="179" customFormat="1" ht="14.25" customHeight="1" x14ac:dyDescent="0.25">
      <c r="A326" s="180" t="s">
        <v>5713</v>
      </c>
      <c r="B326" s="180" t="s">
        <v>5746</v>
      </c>
      <c r="C326" s="180" t="s">
        <v>5747</v>
      </c>
      <c r="D326" s="180" t="s">
        <v>1415</v>
      </c>
      <c r="E326" s="181">
        <v>4.1900000000000004</v>
      </c>
      <c r="F326" s="180" t="s">
        <v>1414</v>
      </c>
      <c r="G326" s="180" t="s">
        <v>640</v>
      </c>
      <c r="H326" s="84">
        <v>3788</v>
      </c>
    </row>
    <row r="327" spans="1:8" s="179" customFormat="1" ht="14.25" customHeight="1" x14ac:dyDescent="0.25">
      <c r="A327" s="180" t="s">
        <v>5713</v>
      </c>
      <c r="B327" s="180" t="s">
        <v>5748</v>
      </c>
      <c r="C327" s="180" t="s">
        <v>5749</v>
      </c>
      <c r="D327" s="180" t="s">
        <v>1182</v>
      </c>
      <c r="E327" s="181">
        <v>16.760000000000002</v>
      </c>
      <c r="F327" s="180" t="s">
        <v>1181</v>
      </c>
      <c r="G327" s="180" t="s">
        <v>640</v>
      </c>
      <c r="H327" s="84">
        <v>3789</v>
      </c>
    </row>
    <row r="328" spans="1:8" s="179" customFormat="1" ht="14.25" customHeight="1" x14ac:dyDescent="0.25">
      <c r="A328" s="180" t="s">
        <v>5713</v>
      </c>
      <c r="B328" s="180" t="s">
        <v>5750</v>
      </c>
      <c r="C328" s="180" t="s">
        <v>5751</v>
      </c>
      <c r="D328" s="180" t="s">
        <v>5752</v>
      </c>
      <c r="E328" s="181">
        <v>15.92</v>
      </c>
      <c r="F328" s="180" t="s">
        <v>5753</v>
      </c>
      <c r="G328" s="180" t="s">
        <v>640</v>
      </c>
      <c r="H328" s="84">
        <v>3790</v>
      </c>
    </row>
    <row r="329" spans="1:8" s="179" customFormat="1" ht="14.25" customHeight="1" x14ac:dyDescent="0.25">
      <c r="A329" s="180" t="s">
        <v>5713</v>
      </c>
      <c r="B329" s="180" t="s">
        <v>5754</v>
      </c>
      <c r="C329" s="180" t="s">
        <v>5755</v>
      </c>
      <c r="D329" s="180" t="s">
        <v>1357</v>
      </c>
      <c r="E329" s="181">
        <v>1.68</v>
      </c>
      <c r="F329" s="180" t="s">
        <v>1356</v>
      </c>
      <c r="G329" s="180" t="s">
        <v>640</v>
      </c>
      <c r="H329" s="84">
        <v>3806</v>
      </c>
    </row>
    <row r="330" spans="1:8" s="179" customFormat="1" ht="14.25" customHeight="1" x14ac:dyDescent="0.25">
      <c r="A330" s="180" t="s">
        <v>5756</v>
      </c>
      <c r="B330" s="180" t="s">
        <v>5757</v>
      </c>
      <c r="C330" s="180" t="s">
        <v>5758</v>
      </c>
      <c r="D330" s="180" t="s">
        <v>1452</v>
      </c>
      <c r="E330" s="181">
        <v>4.2699999999999996</v>
      </c>
      <c r="F330" s="180" t="s">
        <v>1451</v>
      </c>
      <c r="G330" s="180" t="s">
        <v>640</v>
      </c>
      <c r="H330" s="84">
        <v>3828</v>
      </c>
    </row>
    <row r="331" spans="1:8" s="179" customFormat="1" ht="14.25" customHeight="1" x14ac:dyDescent="0.25">
      <c r="A331" s="180" t="s">
        <v>5756</v>
      </c>
      <c r="B331" s="180" t="s">
        <v>5759</v>
      </c>
      <c r="C331" s="180" t="s">
        <v>5760</v>
      </c>
      <c r="D331" s="180" t="s">
        <v>4856</v>
      </c>
      <c r="E331" s="181">
        <v>1.71</v>
      </c>
      <c r="F331" s="180" t="s">
        <v>4857</v>
      </c>
      <c r="G331" s="180" t="s">
        <v>640</v>
      </c>
      <c r="H331" s="84">
        <v>3829</v>
      </c>
    </row>
    <row r="332" spans="1:8" s="179" customFormat="1" ht="14.25" customHeight="1" x14ac:dyDescent="0.25">
      <c r="A332" s="180" t="s">
        <v>5756</v>
      </c>
      <c r="B332" s="180" t="s">
        <v>5761</v>
      </c>
      <c r="C332" s="180" t="s">
        <v>5762</v>
      </c>
      <c r="D332" s="180" t="s">
        <v>5763</v>
      </c>
      <c r="E332" s="181">
        <v>0.78</v>
      </c>
      <c r="F332" s="180" t="s">
        <v>5764</v>
      </c>
      <c r="G332" s="180" t="s">
        <v>640</v>
      </c>
      <c r="H332" s="84">
        <v>3830</v>
      </c>
    </row>
    <row r="333" spans="1:8" s="179" customFormat="1" ht="14.25" customHeight="1" x14ac:dyDescent="0.25">
      <c r="A333" s="180" t="s">
        <v>5756</v>
      </c>
      <c r="B333" s="180" t="s">
        <v>5765</v>
      </c>
      <c r="C333" s="180" t="s">
        <v>5766</v>
      </c>
      <c r="D333" s="180" t="s">
        <v>1485</v>
      </c>
      <c r="E333" s="181">
        <v>7.2</v>
      </c>
      <c r="F333" s="180" t="s">
        <v>1484</v>
      </c>
      <c r="G333" s="180" t="s">
        <v>640</v>
      </c>
      <c r="H333" s="84">
        <v>3831</v>
      </c>
    </row>
    <row r="334" spans="1:8" s="179" customFormat="1" ht="14.25" customHeight="1" x14ac:dyDescent="0.25">
      <c r="A334" s="180" t="s">
        <v>5756</v>
      </c>
      <c r="B334" s="180" t="s">
        <v>5767</v>
      </c>
      <c r="C334" s="180" t="s">
        <v>5768</v>
      </c>
      <c r="D334" s="180" t="s">
        <v>1269</v>
      </c>
      <c r="E334" s="181">
        <v>15.36</v>
      </c>
      <c r="F334" s="180" t="s">
        <v>1268</v>
      </c>
      <c r="G334" s="180" t="s">
        <v>640</v>
      </c>
      <c r="H334" s="84">
        <v>3832</v>
      </c>
    </row>
    <row r="335" spans="1:8" s="179" customFormat="1" ht="14.25" customHeight="1" x14ac:dyDescent="0.25">
      <c r="A335" s="180" t="s">
        <v>5756</v>
      </c>
      <c r="B335" s="180" t="s">
        <v>5769</v>
      </c>
      <c r="C335" s="180" t="s">
        <v>5770</v>
      </c>
      <c r="D335" s="180" t="s">
        <v>770</v>
      </c>
      <c r="E335" s="181">
        <v>3.76</v>
      </c>
      <c r="F335" s="180" t="s">
        <v>769</v>
      </c>
      <c r="G335" s="180" t="s">
        <v>640</v>
      </c>
      <c r="H335" s="84">
        <v>3833</v>
      </c>
    </row>
    <row r="336" spans="1:8" s="179" customFormat="1" ht="14.25" customHeight="1" x14ac:dyDescent="0.25">
      <c r="A336" s="180" t="s">
        <v>5756</v>
      </c>
      <c r="B336" s="180" t="s">
        <v>5771</v>
      </c>
      <c r="C336" s="180" t="s">
        <v>5772</v>
      </c>
      <c r="D336" s="180" t="s">
        <v>1195</v>
      </c>
      <c r="E336" s="181">
        <v>2.36</v>
      </c>
      <c r="F336" s="180" t="s">
        <v>1194</v>
      </c>
      <c r="G336" s="180" t="s">
        <v>640</v>
      </c>
      <c r="H336" s="84">
        <v>3834</v>
      </c>
    </row>
    <row r="337" spans="1:8" s="179" customFormat="1" ht="14.25" customHeight="1" x14ac:dyDescent="0.25">
      <c r="A337" s="180" t="s">
        <v>5756</v>
      </c>
      <c r="B337" s="180" t="s">
        <v>5773</v>
      </c>
      <c r="C337" s="180" t="s">
        <v>5774</v>
      </c>
      <c r="D337" s="180" t="s">
        <v>1454</v>
      </c>
      <c r="E337" s="181">
        <v>10.53</v>
      </c>
      <c r="F337" s="180" t="s">
        <v>1453</v>
      </c>
      <c r="G337" s="180" t="s">
        <v>640</v>
      </c>
      <c r="H337" s="84">
        <v>3835</v>
      </c>
    </row>
    <row r="338" spans="1:8" s="179" customFormat="1" ht="14.25" customHeight="1" x14ac:dyDescent="0.25">
      <c r="A338" s="180" t="s">
        <v>5756</v>
      </c>
      <c r="B338" s="180" t="s">
        <v>5775</v>
      </c>
      <c r="C338" s="180" t="s">
        <v>5776</v>
      </c>
      <c r="D338" s="180" t="s">
        <v>962</v>
      </c>
      <c r="E338" s="181">
        <v>2.46</v>
      </c>
      <c r="F338" s="180" t="s">
        <v>961</v>
      </c>
      <c r="G338" s="180" t="s">
        <v>640</v>
      </c>
      <c r="H338" s="84">
        <v>3836</v>
      </c>
    </row>
    <row r="339" spans="1:8" s="179" customFormat="1" ht="14.25" customHeight="1" x14ac:dyDescent="0.25">
      <c r="A339" s="180" t="s">
        <v>5756</v>
      </c>
      <c r="B339" s="180" t="s">
        <v>5777</v>
      </c>
      <c r="C339" s="180" t="s">
        <v>5778</v>
      </c>
      <c r="D339" s="180" t="s">
        <v>978</v>
      </c>
      <c r="E339" s="181">
        <v>1.81</v>
      </c>
      <c r="F339" s="180" t="s">
        <v>977</v>
      </c>
      <c r="G339" s="180" t="s">
        <v>640</v>
      </c>
      <c r="H339" s="84">
        <v>3837</v>
      </c>
    </row>
    <row r="340" spans="1:8" s="179" customFormat="1" ht="14.25" customHeight="1" x14ac:dyDescent="0.25">
      <c r="A340" s="180" t="s">
        <v>5756</v>
      </c>
      <c r="B340" s="180" t="s">
        <v>5779</v>
      </c>
      <c r="C340" s="180" t="s">
        <v>5780</v>
      </c>
      <c r="D340" s="180" t="s">
        <v>1511</v>
      </c>
      <c r="E340" s="181">
        <v>3.16</v>
      </c>
      <c r="F340" s="180" t="s">
        <v>1510</v>
      </c>
      <c r="G340" s="180" t="s">
        <v>640</v>
      </c>
      <c r="H340" s="84">
        <v>3838</v>
      </c>
    </row>
    <row r="341" spans="1:8" s="179" customFormat="1" ht="14.25" customHeight="1" x14ac:dyDescent="0.25">
      <c r="A341" s="180" t="s">
        <v>5756</v>
      </c>
      <c r="B341" s="180" t="s">
        <v>5781</v>
      </c>
      <c r="C341" s="180" t="s">
        <v>5782</v>
      </c>
      <c r="D341" s="180" t="s">
        <v>646</v>
      </c>
      <c r="E341" s="181">
        <v>5.49</v>
      </c>
      <c r="F341" s="180" t="s">
        <v>645</v>
      </c>
      <c r="G341" s="180" t="s">
        <v>640</v>
      </c>
      <c r="H341" s="84">
        <v>3839</v>
      </c>
    </row>
    <row r="342" spans="1:8" s="179" customFormat="1" ht="14.25" customHeight="1" x14ac:dyDescent="0.25">
      <c r="A342" s="180" t="s">
        <v>5756</v>
      </c>
      <c r="B342" s="180" t="s">
        <v>5783</v>
      </c>
      <c r="C342" s="180" t="s">
        <v>5784</v>
      </c>
      <c r="D342" s="180" t="s">
        <v>1273</v>
      </c>
      <c r="E342" s="181">
        <v>6.36</v>
      </c>
      <c r="F342" s="180" t="s">
        <v>1272</v>
      </c>
      <c r="G342" s="180" t="s">
        <v>640</v>
      </c>
      <c r="H342" s="84">
        <v>3840</v>
      </c>
    </row>
    <row r="343" spans="1:8" s="179" customFormat="1" ht="14.25" customHeight="1" x14ac:dyDescent="0.25">
      <c r="A343" s="180" t="s">
        <v>5756</v>
      </c>
      <c r="B343" s="180" t="s">
        <v>5785</v>
      </c>
      <c r="C343" s="180" t="s">
        <v>5786</v>
      </c>
      <c r="D343" s="180" t="s">
        <v>5787</v>
      </c>
      <c r="E343" s="181">
        <v>5.09</v>
      </c>
      <c r="F343" s="180" t="s">
        <v>5788</v>
      </c>
      <c r="G343" s="180" t="s">
        <v>640</v>
      </c>
      <c r="H343" s="84">
        <v>3841</v>
      </c>
    </row>
    <row r="344" spans="1:8" s="179" customFormat="1" ht="14.25" customHeight="1" x14ac:dyDescent="0.25">
      <c r="A344" s="180" t="s">
        <v>5756</v>
      </c>
      <c r="B344" s="180" t="s">
        <v>5789</v>
      </c>
      <c r="C344" s="180" t="s">
        <v>5790</v>
      </c>
      <c r="D344" s="180" t="s">
        <v>735</v>
      </c>
      <c r="E344" s="181">
        <v>7.11</v>
      </c>
      <c r="F344" s="180" t="s">
        <v>734</v>
      </c>
      <c r="G344" s="180" t="s">
        <v>640</v>
      </c>
      <c r="H344" s="84">
        <v>3842</v>
      </c>
    </row>
    <row r="345" spans="1:8" s="179" customFormat="1" ht="14.25" customHeight="1" x14ac:dyDescent="0.25">
      <c r="A345" s="180" t="s">
        <v>5756</v>
      </c>
      <c r="B345" s="180" t="s">
        <v>5791</v>
      </c>
      <c r="C345" s="180" t="s">
        <v>5792</v>
      </c>
      <c r="D345" s="180" t="s">
        <v>4594</v>
      </c>
      <c r="E345" s="181">
        <v>0.78</v>
      </c>
      <c r="F345" s="180" t="s">
        <v>4595</v>
      </c>
      <c r="G345" s="180" t="s">
        <v>640</v>
      </c>
      <c r="H345" s="84">
        <v>3843</v>
      </c>
    </row>
    <row r="346" spans="1:8" s="179" customFormat="1" ht="14.25" customHeight="1" x14ac:dyDescent="0.25">
      <c r="A346" s="180" t="s">
        <v>5756</v>
      </c>
      <c r="B346" s="180" t="s">
        <v>5793</v>
      </c>
      <c r="C346" s="180" t="s">
        <v>5794</v>
      </c>
      <c r="D346" s="180" t="s">
        <v>5795</v>
      </c>
      <c r="E346" s="181">
        <v>25.9</v>
      </c>
      <c r="F346" s="180" t="s">
        <v>5796</v>
      </c>
      <c r="G346" s="180" t="s">
        <v>640</v>
      </c>
      <c r="H346" s="84">
        <v>3844</v>
      </c>
    </row>
    <row r="347" spans="1:8" s="179" customFormat="1" ht="14.25" customHeight="1" x14ac:dyDescent="0.25">
      <c r="A347" s="180" t="s">
        <v>5756</v>
      </c>
      <c r="B347" s="180" t="s">
        <v>5797</v>
      </c>
      <c r="C347" s="180" t="s">
        <v>5798</v>
      </c>
      <c r="D347" s="180" t="s">
        <v>5799</v>
      </c>
      <c r="E347" s="181">
        <v>4.09</v>
      </c>
      <c r="F347" s="180" t="s">
        <v>5800</v>
      </c>
      <c r="G347" s="180" t="s">
        <v>640</v>
      </c>
      <c r="H347" s="84">
        <v>3845</v>
      </c>
    </row>
    <row r="348" spans="1:8" s="179" customFormat="1" ht="14.25" customHeight="1" x14ac:dyDescent="0.25">
      <c r="A348" s="180" t="s">
        <v>5756</v>
      </c>
      <c r="B348" s="180" t="s">
        <v>5801</v>
      </c>
      <c r="C348" s="180" t="s">
        <v>5802</v>
      </c>
      <c r="D348" s="180" t="s">
        <v>4379</v>
      </c>
      <c r="E348" s="181">
        <v>2.13</v>
      </c>
      <c r="F348" s="180" t="s">
        <v>4380</v>
      </c>
      <c r="G348" s="180" t="s">
        <v>640</v>
      </c>
      <c r="H348" s="84">
        <v>3846</v>
      </c>
    </row>
    <row r="349" spans="1:8" s="179" customFormat="1" ht="14.25" customHeight="1" x14ac:dyDescent="0.25">
      <c r="A349" s="180" t="s">
        <v>5803</v>
      </c>
      <c r="B349" s="180" t="s">
        <v>5804</v>
      </c>
      <c r="C349" s="180" t="s">
        <v>5805</v>
      </c>
      <c r="D349" s="180" t="s">
        <v>4719</v>
      </c>
      <c r="E349" s="181">
        <v>3.02</v>
      </c>
      <c r="F349" s="180" t="s">
        <v>4720</v>
      </c>
      <c r="G349" s="180" t="s">
        <v>640</v>
      </c>
      <c r="H349" s="84">
        <v>3852</v>
      </c>
    </row>
    <row r="350" spans="1:8" s="179" customFormat="1" ht="14.25" customHeight="1" x14ac:dyDescent="0.25">
      <c r="A350" s="180" t="s">
        <v>5803</v>
      </c>
      <c r="B350" s="180" t="s">
        <v>5806</v>
      </c>
      <c r="C350" s="180" t="s">
        <v>5807</v>
      </c>
      <c r="D350" s="180" t="s">
        <v>844</v>
      </c>
      <c r="E350" s="181">
        <v>4.37</v>
      </c>
      <c r="F350" s="180" t="s">
        <v>843</v>
      </c>
      <c r="G350" s="180" t="s">
        <v>640</v>
      </c>
      <c r="H350" s="84">
        <v>3853</v>
      </c>
    </row>
    <row r="351" spans="1:8" s="179" customFormat="1" ht="14.25" customHeight="1" x14ac:dyDescent="0.25">
      <c r="A351" s="180" t="s">
        <v>5803</v>
      </c>
      <c r="B351" s="180" t="s">
        <v>5808</v>
      </c>
      <c r="C351" s="180" t="s">
        <v>5809</v>
      </c>
      <c r="D351" s="180" t="s">
        <v>855</v>
      </c>
      <c r="E351" s="181">
        <v>10.37</v>
      </c>
      <c r="F351" s="180" t="s">
        <v>854</v>
      </c>
      <c r="G351" s="180" t="s">
        <v>640</v>
      </c>
      <c r="H351" s="84">
        <v>3854</v>
      </c>
    </row>
    <row r="352" spans="1:8" s="179" customFormat="1" ht="14.25" customHeight="1" x14ac:dyDescent="0.25">
      <c r="A352" s="180" t="s">
        <v>5803</v>
      </c>
      <c r="B352" s="180" t="s">
        <v>5810</v>
      </c>
      <c r="C352" s="180" t="s">
        <v>5811</v>
      </c>
      <c r="D352" s="180" t="s">
        <v>1297</v>
      </c>
      <c r="E352" s="181">
        <v>11.41</v>
      </c>
      <c r="F352" s="180" t="s">
        <v>1296</v>
      </c>
      <c r="G352" s="180" t="s">
        <v>640</v>
      </c>
      <c r="H352" s="84" t="s">
        <v>5812</v>
      </c>
    </row>
    <row r="353" spans="1:8" s="179" customFormat="1" ht="14.25" customHeight="1" x14ac:dyDescent="0.25">
      <c r="A353" s="180" t="s">
        <v>5803</v>
      </c>
      <c r="B353" s="180" t="s">
        <v>5813</v>
      </c>
      <c r="C353" s="180" t="s">
        <v>5814</v>
      </c>
      <c r="D353" s="180" t="s">
        <v>4054</v>
      </c>
      <c r="E353" s="181">
        <v>1.94</v>
      </c>
      <c r="F353" s="180" t="s">
        <v>4055</v>
      </c>
      <c r="G353" s="180" t="s">
        <v>640</v>
      </c>
      <c r="H353" s="84">
        <v>3855</v>
      </c>
    </row>
    <row r="354" spans="1:8" s="179" customFormat="1" ht="14.25" customHeight="1" x14ac:dyDescent="0.25">
      <c r="A354" s="180" t="s">
        <v>5803</v>
      </c>
      <c r="B354" s="180" t="s">
        <v>5815</v>
      </c>
      <c r="C354" s="180" t="s">
        <v>5816</v>
      </c>
      <c r="D354" s="180" t="s">
        <v>796</v>
      </c>
      <c r="E354" s="181">
        <v>4.13</v>
      </c>
      <c r="F354" s="180" t="s">
        <v>795</v>
      </c>
      <c r="G354" s="180" t="s">
        <v>640</v>
      </c>
      <c r="H354" s="84">
        <v>3856</v>
      </c>
    </row>
    <row r="355" spans="1:8" s="179" customFormat="1" ht="14.25" customHeight="1" x14ac:dyDescent="0.25">
      <c r="A355" s="180" t="s">
        <v>5803</v>
      </c>
      <c r="B355" s="180" t="s">
        <v>5817</v>
      </c>
      <c r="C355" s="180" t="s">
        <v>5818</v>
      </c>
      <c r="D355" s="180" t="s">
        <v>5819</v>
      </c>
      <c r="E355" s="181">
        <v>24.56</v>
      </c>
      <c r="F355" s="180" t="s">
        <v>5820</v>
      </c>
      <c r="G355" s="180" t="s">
        <v>640</v>
      </c>
      <c r="H355" s="84">
        <v>3857</v>
      </c>
    </row>
    <row r="356" spans="1:8" s="179" customFormat="1" ht="14.25" customHeight="1" x14ac:dyDescent="0.25">
      <c r="A356" s="180" t="s">
        <v>5803</v>
      </c>
      <c r="B356" s="180" t="s">
        <v>5821</v>
      </c>
      <c r="C356" s="180" t="s">
        <v>5822</v>
      </c>
      <c r="D356" s="180" t="s">
        <v>5823</v>
      </c>
      <c r="E356" s="181">
        <v>12.72</v>
      </c>
      <c r="F356" s="180" t="s">
        <v>5824</v>
      </c>
      <c r="G356" s="180" t="s">
        <v>640</v>
      </c>
      <c r="H356" s="84">
        <v>3858</v>
      </c>
    </row>
    <row r="357" spans="1:8" s="179" customFormat="1" ht="14.25" customHeight="1" x14ac:dyDescent="0.25">
      <c r="A357" s="180" t="s">
        <v>5803</v>
      </c>
      <c r="B357" s="180" t="s">
        <v>5825</v>
      </c>
      <c r="C357" s="180" t="s">
        <v>5826</v>
      </c>
      <c r="D357" s="180" t="s">
        <v>5827</v>
      </c>
      <c r="E357" s="181">
        <v>70.38</v>
      </c>
      <c r="F357" s="180" t="s">
        <v>5828</v>
      </c>
      <c r="G357" s="180" t="s">
        <v>640</v>
      </c>
      <c r="H357" s="84">
        <v>3859</v>
      </c>
    </row>
    <row r="358" spans="1:8" s="179" customFormat="1" ht="14.25" customHeight="1" x14ac:dyDescent="0.25">
      <c r="A358" s="180" t="s">
        <v>5803</v>
      </c>
      <c r="B358" s="180" t="s">
        <v>5829</v>
      </c>
      <c r="C358" s="180" t="s">
        <v>5830</v>
      </c>
      <c r="D358" s="180" t="s">
        <v>5831</v>
      </c>
      <c r="E358" s="181">
        <v>3.4</v>
      </c>
      <c r="F358" s="180" t="s">
        <v>5832</v>
      </c>
      <c r="G358" s="180" t="s">
        <v>640</v>
      </c>
      <c r="H358" s="84">
        <v>3860</v>
      </c>
    </row>
    <row r="359" spans="1:8" s="179" customFormat="1" ht="14.25" customHeight="1" x14ac:dyDescent="0.25">
      <c r="A359" s="180" t="s">
        <v>5803</v>
      </c>
      <c r="B359" s="180" t="s">
        <v>5833</v>
      </c>
      <c r="C359" s="180" t="s">
        <v>5834</v>
      </c>
      <c r="D359" s="180" t="s">
        <v>1580</v>
      </c>
      <c r="E359" s="181">
        <v>13.23</v>
      </c>
      <c r="F359" s="180" t="s">
        <v>1581</v>
      </c>
      <c r="G359" s="180" t="s">
        <v>640</v>
      </c>
      <c r="H359" s="84">
        <v>3861</v>
      </c>
    </row>
    <row r="360" spans="1:8" s="179" customFormat="1" ht="14.25" customHeight="1" x14ac:dyDescent="0.25">
      <c r="A360" s="180" t="s">
        <v>5803</v>
      </c>
      <c r="B360" s="180" t="s">
        <v>5835</v>
      </c>
      <c r="C360" s="180" t="s">
        <v>5836</v>
      </c>
      <c r="D360" s="180" t="s">
        <v>806</v>
      </c>
      <c r="E360" s="181">
        <v>1.68</v>
      </c>
      <c r="F360" s="180" t="s">
        <v>805</v>
      </c>
      <c r="G360" s="180" t="s">
        <v>640</v>
      </c>
      <c r="H360" s="84">
        <v>3862</v>
      </c>
    </row>
    <row r="361" spans="1:8" s="179" customFormat="1" ht="14.25" customHeight="1" x14ac:dyDescent="0.25">
      <c r="A361" s="180" t="s">
        <v>5803</v>
      </c>
      <c r="B361" s="180" t="s">
        <v>5837</v>
      </c>
      <c r="C361" s="180" t="s">
        <v>5838</v>
      </c>
      <c r="D361" s="180" t="s">
        <v>1046</v>
      </c>
      <c r="E361" s="181">
        <v>4.1900000000000004</v>
      </c>
      <c r="F361" s="180" t="s">
        <v>1045</v>
      </c>
      <c r="G361" s="180" t="s">
        <v>640</v>
      </c>
      <c r="H361" s="84">
        <v>3863</v>
      </c>
    </row>
    <row r="362" spans="1:8" s="179" customFormat="1" ht="14.25" customHeight="1" x14ac:dyDescent="0.25">
      <c r="A362" s="180" t="s">
        <v>5803</v>
      </c>
      <c r="B362" s="180" t="s">
        <v>5839</v>
      </c>
      <c r="C362" s="180" t="s">
        <v>5840</v>
      </c>
      <c r="D362" s="180" t="s">
        <v>3877</v>
      </c>
      <c r="E362" s="181">
        <v>4.07</v>
      </c>
      <c r="F362" s="180" t="s">
        <v>3878</v>
      </c>
      <c r="G362" s="180" t="s">
        <v>640</v>
      </c>
      <c r="H362" s="25">
        <v>3864</v>
      </c>
    </row>
    <row r="363" spans="1:8" s="179" customFormat="1" ht="14.25" customHeight="1" x14ac:dyDescent="0.25">
      <c r="A363" s="180" t="s">
        <v>5803</v>
      </c>
      <c r="B363" s="180" t="s">
        <v>5841</v>
      </c>
      <c r="C363" s="180" t="s">
        <v>5842</v>
      </c>
      <c r="D363" s="180" t="s">
        <v>907</v>
      </c>
      <c r="E363" s="181">
        <v>4.42</v>
      </c>
      <c r="F363" s="180" t="s">
        <v>906</v>
      </c>
      <c r="G363" s="180" t="s">
        <v>640</v>
      </c>
      <c r="H363" s="84">
        <v>3865</v>
      </c>
    </row>
    <row r="364" spans="1:8" s="179" customFormat="1" ht="14.25" customHeight="1" x14ac:dyDescent="0.25">
      <c r="A364" s="180" t="s">
        <v>5803</v>
      </c>
      <c r="B364" s="180" t="s">
        <v>5843</v>
      </c>
      <c r="C364" s="180" t="s">
        <v>5844</v>
      </c>
      <c r="D364" s="180" t="s">
        <v>1361</v>
      </c>
      <c r="E364" s="181">
        <v>12.3</v>
      </c>
      <c r="F364" s="180" t="s">
        <v>1360</v>
      </c>
      <c r="G364" s="180" t="s">
        <v>640</v>
      </c>
      <c r="H364" s="84">
        <v>3866</v>
      </c>
    </row>
    <row r="365" spans="1:8" s="179" customFormat="1" ht="14.25" customHeight="1" x14ac:dyDescent="0.25">
      <c r="A365" s="180" t="s">
        <v>5803</v>
      </c>
      <c r="B365" s="180" t="s">
        <v>5845</v>
      </c>
      <c r="C365" s="180" t="s">
        <v>5846</v>
      </c>
      <c r="D365" s="180" t="s">
        <v>5847</v>
      </c>
      <c r="E365" s="181">
        <v>16.87</v>
      </c>
      <c r="F365" s="180" t="s">
        <v>5848</v>
      </c>
      <c r="G365" s="180" t="s">
        <v>640</v>
      </c>
      <c r="H365" s="84">
        <v>3867</v>
      </c>
    </row>
    <row r="366" spans="1:8" s="179" customFormat="1" ht="14.25" customHeight="1" x14ac:dyDescent="0.25">
      <c r="A366" s="180" t="s">
        <v>5803</v>
      </c>
      <c r="B366" s="180" t="s">
        <v>5849</v>
      </c>
      <c r="C366" s="180" t="s">
        <v>5850</v>
      </c>
      <c r="D366" s="180" t="s">
        <v>883</v>
      </c>
      <c r="E366" s="181">
        <v>5.58</v>
      </c>
      <c r="F366" s="180" t="s">
        <v>882</v>
      </c>
      <c r="G366" s="180" t="s">
        <v>640</v>
      </c>
      <c r="H366" s="84">
        <v>3868</v>
      </c>
    </row>
    <row r="367" spans="1:8" s="179" customFormat="1" ht="14.25" customHeight="1" x14ac:dyDescent="0.25">
      <c r="A367" s="180" t="s">
        <v>5803</v>
      </c>
      <c r="B367" s="180" t="s">
        <v>5851</v>
      </c>
      <c r="C367" s="180" t="s">
        <v>5852</v>
      </c>
      <c r="D367" s="180" t="s">
        <v>1458</v>
      </c>
      <c r="E367" s="181">
        <v>4.5199999999999996</v>
      </c>
      <c r="F367" s="180" t="s">
        <v>1457</v>
      </c>
      <c r="G367" s="180" t="s">
        <v>640</v>
      </c>
      <c r="H367" s="84">
        <v>3869</v>
      </c>
    </row>
    <row r="368" spans="1:8" s="179" customFormat="1" ht="14.25" customHeight="1" x14ac:dyDescent="0.25">
      <c r="A368" s="180" t="s">
        <v>5803</v>
      </c>
      <c r="B368" s="180" t="s">
        <v>5853</v>
      </c>
      <c r="C368" s="180" t="s">
        <v>5854</v>
      </c>
      <c r="D368" s="180" t="s">
        <v>4349</v>
      </c>
      <c r="E368" s="181">
        <v>2.46</v>
      </c>
      <c r="F368" s="180" t="s">
        <v>4350</v>
      </c>
      <c r="G368" s="180" t="s">
        <v>640</v>
      </c>
      <c r="H368" s="84">
        <v>3870</v>
      </c>
    </row>
    <row r="369" spans="1:8" s="179" customFormat="1" ht="14.25" customHeight="1" x14ac:dyDescent="0.25">
      <c r="A369" s="180" t="s">
        <v>5855</v>
      </c>
      <c r="B369" s="180" t="s">
        <v>5856</v>
      </c>
      <c r="C369" s="180" t="s">
        <v>5857</v>
      </c>
      <c r="D369" s="180" t="s">
        <v>3060</v>
      </c>
      <c r="E369" s="181">
        <v>2.63</v>
      </c>
      <c r="F369" s="180" t="s">
        <v>3061</v>
      </c>
      <c r="G369" s="180" t="s">
        <v>640</v>
      </c>
      <c r="H369" s="84">
        <v>3920</v>
      </c>
    </row>
    <row r="370" spans="1:8" s="179" customFormat="1" ht="14.25" customHeight="1" x14ac:dyDescent="0.25">
      <c r="A370" s="180" t="s">
        <v>5855</v>
      </c>
      <c r="B370" s="180" t="s">
        <v>5858</v>
      </c>
      <c r="C370" s="180" t="s">
        <v>5859</v>
      </c>
      <c r="D370" s="180" t="s">
        <v>1052</v>
      </c>
      <c r="E370" s="181">
        <v>2.09</v>
      </c>
      <c r="F370" s="180" t="s">
        <v>1051</v>
      </c>
      <c r="G370" s="180" t="s">
        <v>640</v>
      </c>
      <c r="H370" s="84">
        <v>3921</v>
      </c>
    </row>
    <row r="371" spans="1:8" s="179" customFormat="1" ht="14.25" customHeight="1" x14ac:dyDescent="0.25">
      <c r="A371" s="180" t="s">
        <v>5855</v>
      </c>
      <c r="B371" s="180" t="s">
        <v>5860</v>
      </c>
      <c r="C371" s="180" t="s">
        <v>5861</v>
      </c>
      <c r="D371" s="180" t="s">
        <v>857</v>
      </c>
      <c r="E371" s="181">
        <v>1.68</v>
      </c>
      <c r="F371" s="180" t="s">
        <v>856</v>
      </c>
      <c r="G371" s="180" t="s">
        <v>640</v>
      </c>
      <c r="H371" s="84">
        <v>3922</v>
      </c>
    </row>
    <row r="372" spans="1:8" s="179" customFormat="1" ht="14.25" customHeight="1" x14ac:dyDescent="0.25">
      <c r="A372" s="180" t="s">
        <v>5855</v>
      </c>
      <c r="B372" s="180" t="s">
        <v>5862</v>
      </c>
      <c r="C372" s="180" t="s">
        <v>5863</v>
      </c>
      <c r="D372" s="180" t="s">
        <v>787</v>
      </c>
      <c r="E372" s="181">
        <v>10.07</v>
      </c>
      <c r="F372" s="180" t="s">
        <v>785</v>
      </c>
      <c r="G372" s="180" t="s">
        <v>640</v>
      </c>
      <c r="H372" s="84">
        <v>3923</v>
      </c>
    </row>
    <row r="373" spans="1:8" s="179" customFormat="1" ht="14.25" customHeight="1" x14ac:dyDescent="0.25">
      <c r="A373" s="180" t="s">
        <v>5855</v>
      </c>
      <c r="B373" s="180" t="s">
        <v>5864</v>
      </c>
      <c r="C373" s="180" t="s">
        <v>5865</v>
      </c>
      <c r="D373" s="180" t="s">
        <v>786</v>
      </c>
      <c r="E373" s="181">
        <v>2.86</v>
      </c>
      <c r="F373" s="180" t="s">
        <v>785</v>
      </c>
      <c r="G373" s="180" t="s">
        <v>640</v>
      </c>
      <c r="H373" s="84">
        <v>3924</v>
      </c>
    </row>
    <row r="374" spans="1:8" s="179" customFormat="1" ht="14.25" customHeight="1" x14ac:dyDescent="0.25">
      <c r="A374" s="180" t="s">
        <v>5855</v>
      </c>
      <c r="B374" s="180" t="s">
        <v>5866</v>
      </c>
      <c r="C374" s="180" t="s">
        <v>5867</v>
      </c>
      <c r="D374" s="180" t="s">
        <v>894</v>
      </c>
      <c r="E374" s="181">
        <v>9.17</v>
      </c>
      <c r="F374" s="180" t="s">
        <v>893</v>
      </c>
      <c r="G374" s="180" t="s">
        <v>640</v>
      </c>
      <c r="H374" s="84">
        <v>3925</v>
      </c>
    </row>
    <row r="375" spans="1:8" s="179" customFormat="1" ht="14.25" customHeight="1" x14ac:dyDescent="0.25">
      <c r="A375" s="180" t="s">
        <v>5855</v>
      </c>
      <c r="B375" s="180" t="s">
        <v>5868</v>
      </c>
      <c r="C375" s="180" t="s">
        <v>5869</v>
      </c>
      <c r="D375" s="180" t="s">
        <v>1483</v>
      </c>
      <c r="E375" s="181">
        <v>1.94</v>
      </c>
      <c r="F375" s="180" t="s">
        <v>1482</v>
      </c>
      <c r="G375" s="180" t="s">
        <v>640</v>
      </c>
      <c r="H375" s="84">
        <v>3926</v>
      </c>
    </row>
    <row r="376" spans="1:8" s="179" customFormat="1" ht="14.25" customHeight="1" x14ac:dyDescent="0.25">
      <c r="A376" s="180" t="s">
        <v>5855</v>
      </c>
      <c r="B376" s="180" t="s">
        <v>5870</v>
      </c>
      <c r="C376" s="180" t="s">
        <v>5871</v>
      </c>
      <c r="D376" s="180" t="s">
        <v>757</v>
      </c>
      <c r="E376" s="181">
        <v>17.350000000000001</v>
      </c>
      <c r="F376" s="180" t="s">
        <v>756</v>
      </c>
      <c r="G376" s="180" t="s">
        <v>640</v>
      </c>
      <c r="H376" s="84">
        <v>3927</v>
      </c>
    </row>
    <row r="377" spans="1:8" s="179" customFormat="1" ht="14.25" customHeight="1" x14ac:dyDescent="0.25">
      <c r="A377" s="180" t="s">
        <v>5855</v>
      </c>
      <c r="B377" s="180" t="s">
        <v>5414</v>
      </c>
      <c r="C377" s="180" t="s">
        <v>5872</v>
      </c>
      <c r="D377" s="180" t="s">
        <v>825</v>
      </c>
      <c r="E377" s="181">
        <v>5.29</v>
      </c>
      <c r="F377" s="180" t="s">
        <v>824</v>
      </c>
      <c r="G377" s="180" t="s">
        <v>640</v>
      </c>
      <c r="H377" s="84">
        <v>3928</v>
      </c>
    </row>
    <row r="378" spans="1:8" s="179" customFormat="1" ht="14.25" customHeight="1" x14ac:dyDescent="0.25">
      <c r="A378" s="180" t="s">
        <v>5855</v>
      </c>
      <c r="B378" s="180" t="s">
        <v>5873</v>
      </c>
      <c r="C378" s="180" t="s">
        <v>5874</v>
      </c>
      <c r="D378" s="180" t="s">
        <v>5875</v>
      </c>
      <c r="E378" s="181">
        <v>0.24</v>
      </c>
      <c r="F378" s="180" t="s">
        <v>5876</v>
      </c>
      <c r="G378" s="180" t="s">
        <v>640</v>
      </c>
      <c r="H378" s="84">
        <v>3929</v>
      </c>
    </row>
    <row r="379" spans="1:8" s="179" customFormat="1" ht="14.25" customHeight="1" x14ac:dyDescent="0.25">
      <c r="A379" s="180" t="s">
        <v>5855</v>
      </c>
      <c r="B379" s="180" t="s">
        <v>4491</v>
      </c>
      <c r="C379" s="180" t="s">
        <v>5877</v>
      </c>
      <c r="D379" s="180" t="s">
        <v>922</v>
      </c>
      <c r="E379" s="181">
        <v>8.3800000000000008</v>
      </c>
      <c r="F379" s="180" t="s">
        <v>921</v>
      </c>
      <c r="G379" s="180" t="s">
        <v>640</v>
      </c>
      <c r="H379" s="84">
        <v>3930</v>
      </c>
    </row>
    <row r="380" spans="1:8" s="179" customFormat="1" ht="14.25" customHeight="1" x14ac:dyDescent="0.25">
      <c r="A380" s="180" t="s">
        <v>5855</v>
      </c>
      <c r="B380" s="180" t="s">
        <v>5878</v>
      </c>
      <c r="C380" s="180" t="s">
        <v>5879</v>
      </c>
      <c r="D380" s="180" t="s">
        <v>5880</v>
      </c>
      <c r="E380" s="181">
        <v>22.51</v>
      </c>
      <c r="F380" s="180" t="s">
        <v>5881</v>
      </c>
      <c r="G380" s="180" t="s">
        <v>640</v>
      </c>
      <c r="H380" s="84">
        <v>3931</v>
      </c>
    </row>
    <row r="381" spans="1:8" s="179" customFormat="1" ht="14.25" customHeight="1" x14ac:dyDescent="0.25">
      <c r="A381" s="180"/>
      <c r="B381" s="180"/>
      <c r="C381" s="180"/>
      <c r="D381" s="143" t="s">
        <v>3579</v>
      </c>
      <c r="E381" s="141">
        <f>SUM(E279:E380)</f>
        <v>783.61999999999989</v>
      </c>
      <c r="F381" s="180"/>
      <c r="G381" s="180"/>
      <c r="H381" s="84"/>
    </row>
    <row r="382" spans="1:8" s="179" customFormat="1" ht="14.25" customHeight="1" x14ac:dyDescent="0.25">
      <c r="A382" s="180" t="s">
        <v>5882</v>
      </c>
      <c r="B382" s="180" t="s">
        <v>5883</v>
      </c>
      <c r="C382" s="180" t="s">
        <v>5884</v>
      </c>
      <c r="D382" s="180" t="s">
        <v>808</v>
      </c>
      <c r="E382" s="181">
        <v>1.71</v>
      </c>
      <c r="F382" s="180" t="s">
        <v>807</v>
      </c>
      <c r="G382" s="180" t="s">
        <v>640</v>
      </c>
      <c r="H382" s="84">
        <v>3947</v>
      </c>
    </row>
    <row r="383" spans="1:8" s="179" customFormat="1" ht="14.25" customHeight="1" x14ac:dyDescent="0.25">
      <c r="A383" s="180" t="s">
        <v>5882</v>
      </c>
      <c r="B383" s="180" t="s">
        <v>5885</v>
      </c>
      <c r="C383" s="180" t="s">
        <v>5886</v>
      </c>
      <c r="D383" s="180" t="s">
        <v>4454</v>
      </c>
      <c r="E383" s="181">
        <v>1.68</v>
      </c>
      <c r="F383" s="180" t="s">
        <v>4455</v>
      </c>
      <c r="G383" s="180" t="s">
        <v>640</v>
      </c>
      <c r="H383" s="84">
        <v>3948</v>
      </c>
    </row>
    <row r="384" spans="1:8" s="179" customFormat="1" ht="14.25" customHeight="1" x14ac:dyDescent="0.25">
      <c r="A384" s="180" t="s">
        <v>5882</v>
      </c>
      <c r="B384" s="180" t="s">
        <v>5887</v>
      </c>
      <c r="C384" s="180" t="s">
        <v>5888</v>
      </c>
      <c r="D384" s="180" t="s">
        <v>1176</v>
      </c>
      <c r="E384" s="181">
        <v>2.2200000000000002</v>
      </c>
      <c r="F384" s="180" t="s">
        <v>1175</v>
      </c>
      <c r="G384" s="180" t="s">
        <v>640</v>
      </c>
      <c r="H384" s="84">
        <v>3949</v>
      </c>
    </row>
    <row r="385" spans="1:8" s="179" customFormat="1" ht="14.25" customHeight="1" x14ac:dyDescent="0.25">
      <c r="A385" s="180" t="s">
        <v>5882</v>
      </c>
      <c r="B385" s="180" t="s">
        <v>5889</v>
      </c>
      <c r="C385" s="180" t="s">
        <v>5890</v>
      </c>
      <c r="D385" s="180" t="s">
        <v>5891</v>
      </c>
      <c r="E385" s="181">
        <v>8.3800000000000008</v>
      </c>
      <c r="F385" s="180" t="s">
        <v>5892</v>
      </c>
      <c r="G385" s="180" t="s">
        <v>640</v>
      </c>
      <c r="H385" s="84">
        <v>3950</v>
      </c>
    </row>
    <row r="386" spans="1:8" s="179" customFormat="1" ht="14.25" customHeight="1" x14ac:dyDescent="0.25">
      <c r="A386" s="180" t="s">
        <v>5882</v>
      </c>
      <c r="B386" s="180" t="s">
        <v>5893</v>
      </c>
      <c r="C386" s="180" t="s">
        <v>5894</v>
      </c>
      <c r="D386" s="180" t="s">
        <v>5895</v>
      </c>
      <c r="E386" s="181">
        <v>36.56</v>
      </c>
      <c r="F386" s="180" t="s">
        <v>5896</v>
      </c>
      <c r="G386" s="180" t="s">
        <v>640</v>
      </c>
      <c r="H386" s="84">
        <v>3951</v>
      </c>
    </row>
    <row r="387" spans="1:8" s="179" customFormat="1" ht="14.25" customHeight="1" x14ac:dyDescent="0.25">
      <c r="A387" s="180" t="s">
        <v>5882</v>
      </c>
      <c r="B387" s="180" t="s">
        <v>5897</v>
      </c>
      <c r="C387" s="180" t="s">
        <v>5898</v>
      </c>
      <c r="D387" s="180" t="s">
        <v>4608</v>
      </c>
      <c r="E387" s="181">
        <v>1.68</v>
      </c>
      <c r="F387" s="180" t="s">
        <v>4609</v>
      </c>
      <c r="G387" s="180" t="s">
        <v>640</v>
      </c>
      <c r="H387" s="84">
        <v>3952</v>
      </c>
    </row>
    <row r="388" spans="1:8" s="179" customFormat="1" ht="14.25" customHeight="1" x14ac:dyDescent="0.25">
      <c r="A388" s="180" t="s">
        <v>5882</v>
      </c>
      <c r="B388" s="180" t="s">
        <v>5899</v>
      </c>
      <c r="C388" s="180" t="s">
        <v>5900</v>
      </c>
      <c r="D388" s="180" t="s">
        <v>1249</v>
      </c>
      <c r="E388" s="181">
        <v>36.1</v>
      </c>
      <c r="F388" s="180" t="s">
        <v>1248</v>
      </c>
      <c r="G388" s="180" t="s">
        <v>640</v>
      </c>
      <c r="H388" s="84">
        <v>3953</v>
      </c>
    </row>
    <row r="389" spans="1:8" s="179" customFormat="1" ht="14.25" customHeight="1" x14ac:dyDescent="0.25">
      <c r="A389" s="180" t="s">
        <v>5882</v>
      </c>
      <c r="B389" s="180" t="s">
        <v>5901</v>
      </c>
      <c r="C389" s="180" t="s">
        <v>5902</v>
      </c>
      <c r="D389" s="180" t="s">
        <v>5903</v>
      </c>
      <c r="E389" s="181">
        <v>6.15</v>
      </c>
      <c r="F389" s="180" t="s">
        <v>5904</v>
      </c>
      <c r="G389" s="180" t="s">
        <v>640</v>
      </c>
      <c r="H389" s="84">
        <v>3954</v>
      </c>
    </row>
    <row r="390" spans="1:8" s="179" customFormat="1" ht="14.25" customHeight="1" x14ac:dyDescent="0.25">
      <c r="A390" s="180" t="s">
        <v>5882</v>
      </c>
      <c r="B390" s="180" t="s">
        <v>5905</v>
      </c>
      <c r="C390" s="180" t="s">
        <v>5906</v>
      </c>
      <c r="D390" s="180" t="s">
        <v>5907</v>
      </c>
      <c r="E390" s="181">
        <v>8.01</v>
      </c>
      <c r="F390" s="180" t="s">
        <v>5908</v>
      </c>
      <c r="G390" s="180" t="s">
        <v>640</v>
      </c>
      <c r="H390" s="84">
        <v>3955</v>
      </c>
    </row>
    <row r="391" spans="1:8" s="179" customFormat="1" ht="14.25" customHeight="1" x14ac:dyDescent="0.25">
      <c r="A391" s="180" t="s">
        <v>5882</v>
      </c>
      <c r="B391" s="180" t="s">
        <v>5909</v>
      </c>
      <c r="C391" s="180" t="s">
        <v>5910</v>
      </c>
      <c r="D391" s="180" t="s">
        <v>5911</v>
      </c>
      <c r="E391" s="181">
        <v>54.67</v>
      </c>
      <c r="F391" s="180" t="s">
        <v>5912</v>
      </c>
      <c r="G391" s="180" t="s">
        <v>640</v>
      </c>
      <c r="H391" s="84">
        <v>3956</v>
      </c>
    </row>
    <row r="392" spans="1:8" s="179" customFormat="1" ht="14.25" customHeight="1" x14ac:dyDescent="0.25">
      <c r="A392" s="180" t="s">
        <v>5882</v>
      </c>
      <c r="B392" s="180" t="s">
        <v>5913</v>
      </c>
      <c r="C392" s="180" t="s">
        <v>5914</v>
      </c>
      <c r="D392" s="180" t="s">
        <v>4194</v>
      </c>
      <c r="E392" s="181">
        <v>2.0499999999999998</v>
      </c>
      <c r="F392" s="180" t="s">
        <v>4195</v>
      </c>
      <c r="G392" s="180" t="s">
        <v>640</v>
      </c>
      <c r="H392" s="84">
        <v>3957</v>
      </c>
    </row>
    <row r="393" spans="1:8" s="179" customFormat="1" ht="14.25" customHeight="1" x14ac:dyDescent="0.25">
      <c r="A393" s="180" t="s">
        <v>5882</v>
      </c>
      <c r="B393" s="180" t="s">
        <v>5915</v>
      </c>
      <c r="C393" s="180" t="s">
        <v>5916</v>
      </c>
      <c r="D393" s="180" t="s">
        <v>5917</v>
      </c>
      <c r="E393" s="181">
        <v>1.35</v>
      </c>
      <c r="F393" s="180" t="s">
        <v>5918</v>
      </c>
      <c r="G393" s="180" t="s">
        <v>640</v>
      </c>
      <c r="H393" s="84">
        <v>3958</v>
      </c>
    </row>
    <row r="394" spans="1:8" s="179" customFormat="1" ht="14.25" customHeight="1" x14ac:dyDescent="0.25">
      <c r="A394" s="180" t="s">
        <v>5882</v>
      </c>
      <c r="B394" s="180" t="s">
        <v>3174</v>
      </c>
      <c r="C394" s="180" t="s">
        <v>5919</v>
      </c>
      <c r="D394" s="180" t="s">
        <v>3825</v>
      </c>
      <c r="E394" s="181">
        <v>2.96</v>
      </c>
      <c r="F394" s="180" t="s">
        <v>3826</v>
      </c>
      <c r="G394" s="180" t="s">
        <v>640</v>
      </c>
      <c r="H394" s="84" t="s">
        <v>5920</v>
      </c>
    </row>
    <row r="395" spans="1:8" s="179" customFormat="1" ht="14.25" customHeight="1" x14ac:dyDescent="0.25">
      <c r="A395" s="180" t="s">
        <v>5921</v>
      </c>
      <c r="B395" s="180" t="s">
        <v>5922</v>
      </c>
      <c r="C395" s="180" t="s">
        <v>5923</v>
      </c>
      <c r="D395" s="180" t="s">
        <v>5924</v>
      </c>
      <c r="E395" s="181">
        <v>5.54</v>
      </c>
      <c r="F395" s="180" t="s">
        <v>5925</v>
      </c>
      <c r="G395" s="180" t="s">
        <v>640</v>
      </c>
      <c r="H395" s="84">
        <v>3959</v>
      </c>
    </row>
    <row r="396" spans="1:8" s="179" customFormat="1" ht="14.25" customHeight="1" x14ac:dyDescent="0.25">
      <c r="A396" s="180" t="s">
        <v>5921</v>
      </c>
      <c r="B396" s="180" t="s">
        <v>5926</v>
      </c>
      <c r="C396" s="180" t="s">
        <v>5927</v>
      </c>
      <c r="D396" s="180" t="s">
        <v>5928</v>
      </c>
      <c r="E396" s="181">
        <v>5.34</v>
      </c>
      <c r="F396" s="180" t="s">
        <v>5929</v>
      </c>
      <c r="G396" s="180" t="s">
        <v>640</v>
      </c>
      <c r="H396" s="84">
        <v>3960</v>
      </c>
    </row>
    <row r="397" spans="1:8" s="179" customFormat="1" ht="14.25" customHeight="1" x14ac:dyDescent="0.25">
      <c r="A397" s="180" t="s">
        <v>5921</v>
      </c>
      <c r="B397" s="180" t="s">
        <v>5930</v>
      </c>
      <c r="C397" s="180" t="s">
        <v>5931</v>
      </c>
      <c r="D397" s="180" t="s">
        <v>3919</v>
      </c>
      <c r="E397" s="181">
        <v>3.35</v>
      </c>
      <c r="F397" s="180" t="s">
        <v>3920</v>
      </c>
      <c r="G397" s="180" t="s">
        <v>640</v>
      </c>
      <c r="H397" s="84">
        <v>3961</v>
      </c>
    </row>
    <row r="398" spans="1:8" s="179" customFormat="1" ht="14.25" customHeight="1" x14ac:dyDescent="0.25">
      <c r="A398" s="180" t="s">
        <v>5921</v>
      </c>
      <c r="B398" s="180" t="s">
        <v>5932</v>
      </c>
      <c r="C398" s="180" t="s">
        <v>5933</v>
      </c>
      <c r="D398" s="180" t="s">
        <v>712</v>
      </c>
      <c r="E398" s="181">
        <v>2.1800000000000002</v>
      </c>
      <c r="F398" s="180" t="s">
        <v>711</v>
      </c>
      <c r="G398" s="180" t="s">
        <v>640</v>
      </c>
      <c r="H398" s="84">
        <v>3962</v>
      </c>
    </row>
    <row r="399" spans="1:8" s="179" customFormat="1" ht="14.25" customHeight="1" x14ac:dyDescent="0.25">
      <c r="A399" s="180" t="s">
        <v>5921</v>
      </c>
      <c r="B399" s="180" t="s">
        <v>5934</v>
      </c>
      <c r="C399" s="180" t="s">
        <v>5935</v>
      </c>
      <c r="D399" s="180" t="s">
        <v>5936</v>
      </c>
      <c r="E399" s="181">
        <v>7.35</v>
      </c>
      <c r="F399" s="180" t="s">
        <v>5937</v>
      </c>
      <c r="G399" s="180" t="s">
        <v>640</v>
      </c>
      <c r="H399" s="84">
        <v>3963</v>
      </c>
    </row>
    <row r="400" spans="1:8" s="179" customFormat="1" ht="14.25" customHeight="1" x14ac:dyDescent="0.25">
      <c r="A400" s="180" t="s">
        <v>5921</v>
      </c>
      <c r="B400" s="180" t="s">
        <v>5938</v>
      </c>
      <c r="C400" s="180" t="s">
        <v>5939</v>
      </c>
      <c r="D400" s="180" t="s">
        <v>5940</v>
      </c>
      <c r="E400" s="181">
        <v>12.66</v>
      </c>
      <c r="F400" s="180" t="s">
        <v>5941</v>
      </c>
      <c r="G400" s="180" t="s">
        <v>640</v>
      </c>
      <c r="H400" s="84">
        <v>3964</v>
      </c>
    </row>
    <row r="401" spans="1:8" s="179" customFormat="1" ht="14.25" customHeight="1" x14ac:dyDescent="0.25">
      <c r="A401" s="180" t="s">
        <v>5921</v>
      </c>
      <c r="B401" s="180" t="s">
        <v>5942</v>
      </c>
      <c r="C401" s="180" t="s">
        <v>5943</v>
      </c>
      <c r="D401" s="180" t="s">
        <v>1444</v>
      </c>
      <c r="E401" s="181">
        <v>7.72</v>
      </c>
      <c r="F401" s="180" t="s">
        <v>1443</v>
      </c>
      <c r="G401" s="180" t="s">
        <v>640</v>
      </c>
      <c r="H401" s="84">
        <v>3965</v>
      </c>
    </row>
    <row r="402" spans="1:8" s="179" customFormat="1" ht="14.25" customHeight="1" x14ac:dyDescent="0.25">
      <c r="A402" s="180" t="s">
        <v>5921</v>
      </c>
      <c r="B402" s="180" t="s">
        <v>5944</v>
      </c>
      <c r="C402" s="180" t="s">
        <v>5945</v>
      </c>
      <c r="D402" s="180" t="s">
        <v>5946</v>
      </c>
      <c r="E402" s="181">
        <v>19.91</v>
      </c>
      <c r="F402" s="180" t="s">
        <v>5947</v>
      </c>
      <c r="G402" s="180" t="s">
        <v>640</v>
      </c>
      <c r="H402" s="84">
        <v>3966</v>
      </c>
    </row>
    <row r="403" spans="1:8" s="179" customFormat="1" ht="14.25" customHeight="1" x14ac:dyDescent="0.25">
      <c r="A403" s="180" t="s">
        <v>5948</v>
      </c>
      <c r="B403" s="180" t="s">
        <v>5949</v>
      </c>
      <c r="C403" s="180" t="s">
        <v>5950</v>
      </c>
      <c r="D403" s="180" t="s">
        <v>5951</v>
      </c>
      <c r="E403" s="181">
        <v>16.28</v>
      </c>
      <c r="F403" s="180" t="s">
        <v>5952</v>
      </c>
      <c r="G403" s="180" t="s">
        <v>640</v>
      </c>
      <c r="H403" s="84">
        <v>3967</v>
      </c>
    </row>
    <row r="404" spans="1:8" s="179" customFormat="1" ht="14.25" customHeight="1" x14ac:dyDescent="0.25">
      <c r="A404" s="180" t="s">
        <v>5953</v>
      </c>
      <c r="B404" s="180" t="s">
        <v>5954</v>
      </c>
      <c r="C404" s="180" t="s">
        <v>5955</v>
      </c>
      <c r="D404" s="180" t="s">
        <v>5956</v>
      </c>
      <c r="E404" s="181">
        <v>30.92</v>
      </c>
      <c r="F404" s="180" t="s">
        <v>5957</v>
      </c>
      <c r="G404" s="180" t="s">
        <v>640</v>
      </c>
      <c r="H404" s="84">
        <v>4007</v>
      </c>
    </row>
    <row r="405" spans="1:8" s="179" customFormat="1" ht="14.25" customHeight="1" x14ac:dyDescent="0.25">
      <c r="A405" s="180" t="s">
        <v>5953</v>
      </c>
      <c r="B405" s="180" t="s">
        <v>5958</v>
      </c>
      <c r="C405" s="180" t="s">
        <v>5959</v>
      </c>
      <c r="D405" s="180" t="s">
        <v>5960</v>
      </c>
      <c r="E405" s="181">
        <v>8.83</v>
      </c>
      <c r="F405" s="180" t="s">
        <v>5961</v>
      </c>
      <c r="G405" s="180" t="s">
        <v>640</v>
      </c>
      <c r="H405" s="84">
        <v>4008</v>
      </c>
    </row>
    <row r="406" spans="1:8" s="179" customFormat="1" ht="14.25" customHeight="1" x14ac:dyDescent="0.25">
      <c r="A406" s="180" t="s">
        <v>5953</v>
      </c>
      <c r="B406" s="180" t="s">
        <v>5962</v>
      </c>
      <c r="C406" s="180" t="s">
        <v>5963</v>
      </c>
      <c r="D406" s="180" t="s">
        <v>5964</v>
      </c>
      <c r="E406" s="181">
        <v>6.47</v>
      </c>
      <c r="F406" s="180" t="s">
        <v>5965</v>
      </c>
      <c r="G406" s="180" t="s">
        <v>640</v>
      </c>
      <c r="H406" s="84">
        <v>4009</v>
      </c>
    </row>
    <row r="407" spans="1:8" s="179" customFormat="1" ht="14.25" customHeight="1" x14ac:dyDescent="0.25">
      <c r="A407" s="180" t="s">
        <v>5953</v>
      </c>
      <c r="B407" s="180" t="s">
        <v>5966</v>
      </c>
      <c r="C407" s="180" t="s">
        <v>5967</v>
      </c>
      <c r="D407" s="180" t="s">
        <v>5968</v>
      </c>
      <c r="E407" s="181">
        <v>36.880000000000003</v>
      </c>
      <c r="F407" s="180" t="s">
        <v>5969</v>
      </c>
      <c r="G407" s="180" t="s">
        <v>640</v>
      </c>
      <c r="H407" s="84">
        <v>4010</v>
      </c>
    </row>
    <row r="408" spans="1:8" s="179" customFormat="1" ht="14.25" customHeight="1" x14ac:dyDescent="0.25">
      <c r="A408" s="180" t="s">
        <v>5953</v>
      </c>
      <c r="B408" s="180" t="s">
        <v>5970</v>
      </c>
      <c r="C408" s="180" t="s">
        <v>5971</v>
      </c>
      <c r="D408" s="180" t="s">
        <v>5972</v>
      </c>
      <c r="E408" s="181">
        <v>5.28</v>
      </c>
      <c r="F408" s="180" t="s">
        <v>5973</v>
      </c>
      <c r="G408" s="180" t="s">
        <v>640</v>
      </c>
      <c r="H408" s="84">
        <v>4011</v>
      </c>
    </row>
    <row r="409" spans="1:8" s="179" customFormat="1" ht="14.25" customHeight="1" x14ac:dyDescent="0.25">
      <c r="A409" s="180" t="s">
        <v>5974</v>
      </c>
      <c r="B409" s="180" t="s">
        <v>5975</v>
      </c>
      <c r="C409" s="180" t="s">
        <v>5976</v>
      </c>
      <c r="D409" s="180" t="s">
        <v>5977</v>
      </c>
      <c r="E409" s="181">
        <v>15.65</v>
      </c>
      <c r="F409" s="180" t="s">
        <v>5978</v>
      </c>
      <c r="G409" s="180" t="s">
        <v>640</v>
      </c>
      <c r="H409" s="84">
        <v>4031</v>
      </c>
    </row>
    <row r="410" spans="1:8" s="179" customFormat="1" ht="14.25" customHeight="1" x14ac:dyDescent="0.25">
      <c r="A410" s="180" t="s">
        <v>5974</v>
      </c>
      <c r="B410" s="180" t="s">
        <v>5979</v>
      </c>
      <c r="C410" s="180" t="s">
        <v>5980</v>
      </c>
      <c r="D410" s="180" t="s">
        <v>5981</v>
      </c>
      <c r="E410" s="181">
        <v>16.04</v>
      </c>
      <c r="F410" s="180" t="s">
        <v>5982</v>
      </c>
      <c r="G410" s="180" t="s">
        <v>640</v>
      </c>
      <c r="H410" s="84">
        <v>4032</v>
      </c>
    </row>
    <row r="411" spans="1:8" s="179" customFormat="1" ht="14.25" customHeight="1" x14ac:dyDescent="0.25">
      <c r="A411" s="180" t="s">
        <v>5974</v>
      </c>
      <c r="B411" s="180" t="s">
        <v>5983</v>
      </c>
      <c r="C411" s="180" t="s">
        <v>5984</v>
      </c>
      <c r="D411" s="180" t="s">
        <v>5985</v>
      </c>
      <c r="E411" s="181">
        <v>5.52</v>
      </c>
      <c r="F411" s="180" t="s">
        <v>5982</v>
      </c>
      <c r="G411" s="180" t="s">
        <v>640</v>
      </c>
      <c r="H411" s="84">
        <v>4033</v>
      </c>
    </row>
    <row r="412" spans="1:8" s="179" customFormat="1" ht="14.25" customHeight="1" x14ac:dyDescent="0.25">
      <c r="A412" s="180" t="s">
        <v>5986</v>
      </c>
      <c r="B412" s="180" t="s">
        <v>5987</v>
      </c>
      <c r="C412" s="180" t="s">
        <v>5988</v>
      </c>
      <c r="D412" s="180" t="s">
        <v>5989</v>
      </c>
      <c r="E412" s="181">
        <v>8.2200000000000006</v>
      </c>
      <c r="F412" s="180" t="s">
        <v>5990</v>
      </c>
      <c r="G412" s="180" t="s">
        <v>640</v>
      </c>
      <c r="H412" s="84">
        <v>4047</v>
      </c>
    </row>
    <row r="413" spans="1:8" s="179" customFormat="1" ht="14.25" customHeight="1" x14ac:dyDescent="0.25">
      <c r="A413" s="180" t="s">
        <v>5986</v>
      </c>
      <c r="B413" s="180" t="s">
        <v>5991</v>
      </c>
      <c r="C413" s="180" t="s">
        <v>5992</v>
      </c>
      <c r="D413" s="180" t="s">
        <v>5993</v>
      </c>
      <c r="E413" s="181">
        <v>35.54</v>
      </c>
      <c r="F413" s="180" t="s">
        <v>5994</v>
      </c>
      <c r="G413" s="180" t="s">
        <v>640</v>
      </c>
      <c r="H413" s="84">
        <v>4048</v>
      </c>
    </row>
    <row r="414" spans="1:8" s="179" customFormat="1" ht="14.25" customHeight="1" x14ac:dyDescent="0.25">
      <c r="A414" s="180" t="s">
        <v>5995</v>
      </c>
      <c r="B414" s="180" t="s">
        <v>5996</v>
      </c>
      <c r="C414" s="180" t="s">
        <v>5997</v>
      </c>
      <c r="D414" s="180" t="s">
        <v>1478</v>
      </c>
      <c r="E414" s="181">
        <v>5.04</v>
      </c>
      <c r="F414" s="180" t="s">
        <v>1477</v>
      </c>
      <c r="G414" s="180" t="s">
        <v>640</v>
      </c>
      <c r="H414" s="84">
        <v>4102</v>
      </c>
    </row>
    <row r="415" spans="1:8" s="179" customFormat="1" ht="14.25" customHeight="1" x14ac:dyDescent="0.25">
      <c r="A415" s="180" t="s">
        <v>5995</v>
      </c>
      <c r="B415" s="180" t="s">
        <v>5998</v>
      </c>
      <c r="C415" s="180" t="s">
        <v>5999</v>
      </c>
      <c r="D415" s="180" t="s">
        <v>6000</v>
      </c>
      <c r="E415" s="181">
        <v>5.51</v>
      </c>
      <c r="F415" s="180" t="s">
        <v>6001</v>
      </c>
      <c r="G415" s="180" t="s">
        <v>640</v>
      </c>
      <c r="H415" s="84">
        <v>4103</v>
      </c>
    </row>
    <row r="416" spans="1:8" s="179" customFormat="1" ht="14.25" customHeight="1" x14ac:dyDescent="0.25">
      <c r="A416" s="180" t="s">
        <v>5995</v>
      </c>
      <c r="B416" s="180" t="s">
        <v>6002</v>
      </c>
      <c r="C416" s="180" t="s">
        <v>6003</v>
      </c>
      <c r="D416" s="180" t="s">
        <v>942</v>
      </c>
      <c r="E416" s="181">
        <v>1.68</v>
      </c>
      <c r="F416" s="180" t="s">
        <v>941</v>
      </c>
      <c r="G416" s="180" t="s">
        <v>640</v>
      </c>
      <c r="H416" s="84">
        <v>4104</v>
      </c>
    </row>
    <row r="417" spans="1:8" s="179" customFormat="1" ht="14.25" customHeight="1" x14ac:dyDescent="0.25">
      <c r="A417" s="180" t="s">
        <v>5995</v>
      </c>
      <c r="B417" s="180" t="s">
        <v>6004</v>
      </c>
      <c r="C417" s="180" t="s">
        <v>6005</v>
      </c>
      <c r="D417" s="180" t="s">
        <v>991</v>
      </c>
      <c r="E417" s="181">
        <v>4.01</v>
      </c>
      <c r="F417" s="180" t="s">
        <v>990</v>
      </c>
      <c r="G417" s="180" t="s">
        <v>640</v>
      </c>
      <c r="H417" s="84">
        <v>4105</v>
      </c>
    </row>
    <row r="418" spans="1:8" s="179" customFormat="1" ht="14.25" customHeight="1" x14ac:dyDescent="0.25">
      <c r="A418" s="180" t="s">
        <v>5995</v>
      </c>
      <c r="B418" s="180" t="s">
        <v>6006</v>
      </c>
      <c r="C418" s="180" t="s">
        <v>6007</v>
      </c>
      <c r="D418" s="180" t="s">
        <v>812</v>
      </c>
      <c r="E418" s="181">
        <v>6.43</v>
      </c>
      <c r="F418" s="180" t="s">
        <v>811</v>
      </c>
      <c r="G418" s="180" t="s">
        <v>640</v>
      </c>
      <c r="H418" s="84">
        <v>4106</v>
      </c>
    </row>
    <row r="419" spans="1:8" s="179" customFormat="1" ht="14.25" customHeight="1" x14ac:dyDescent="0.25">
      <c r="A419" s="180" t="s">
        <v>5995</v>
      </c>
      <c r="B419" s="180" t="s">
        <v>6008</v>
      </c>
      <c r="C419" s="180" t="s">
        <v>6009</v>
      </c>
      <c r="D419" s="180" t="s">
        <v>6010</v>
      </c>
      <c r="E419" s="181">
        <v>9.3699999999999992</v>
      </c>
      <c r="F419" s="180" t="s">
        <v>6011</v>
      </c>
      <c r="G419" s="180" t="s">
        <v>640</v>
      </c>
      <c r="H419" s="84">
        <v>4107</v>
      </c>
    </row>
    <row r="420" spans="1:8" s="179" customFormat="1" ht="14.25" customHeight="1" x14ac:dyDescent="0.25">
      <c r="A420" s="180" t="s">
        <v>5995</v>
      </c>
      <c r="B420" s="180" t="s">
        <v>6012</v>
      </c>
      <c r="C420" s="180" t="s">
        <v>6013</v>
      </c>
      <c r="D420" s="180" t="s">
        <v>836</v>
      </c>
      <c r="E420" s="181">
        <v>16.39</v>
      </c>
      <c r="F420" s="180" t="s">
        <v>835</v>
      </c>
      <c r="G420" s="180" t="s">
        <v>640</v>
      </c>
      <c r="H420" s="84">
        <v>4108</v>
      </c>
    </row>
    <row r="421" spans="1:8" s="179" customFormat="1" ht="14.25" customHeight="1" x14ac:dyDescent="0.25">
      <c r="A421" s="180" t="s">
        <v>5995</v>
      </c>
      <c r="B421" s="180" t="s">
        <v>5654</v>
      </c>
      <c r="C421" s="180" t="s">
        <v>6014</v>
      </c>
      <c r="D421" s="180" t="s">
        <v>846</v>
      </c>
      <c r="E421" s="181">
        <v>8.3800000000000008</v>
      </c>
      <c r="F421" s="180" t="s">
        <v>845</v>
      </c>
      <c r="G421" s="180" t="s">
        <v>640</v>
      </c>
      <c r="H421" s="84">
        <v>4109</v>
      </c>
    </row>
    <row r="422" spans="1:8" s="179" customFormat="1" ht="14.25" customHeight="1" x14ac:dyDescent="0.25">
      <c r="A422" s="180" t="s">
        <v>5995</v>
      </c>
      <c r="B422" s="180" t="s">
        <v>6015</v>
      </c>
      <c r="C422" s="180" t="s">
        <v>6016</v>
      </c>
      <c r="D422" s="180" t="s">
        <v>778</v>
      </c>
      <c r="E422" s="181">
        <v>19.75</v>
      </c>
      <c r="F422" s="180" t="s">
        <v>777</v>
      </c>
      <c r="G422" s="180" t="s">
        <v>640</v>
      </c>
      <c r="H422" s="84">
        <v>4110</v>
      </c>
    </row>
    <row r="423" spans="1:8" s="179" customFormat="1" ht="14.25" customHeight="1" x14ac:dyDescent="0.25">
      <c r="A423" s="180" t="s">
        <v>5995</v>
      </c>
      <c r="B423" s="180" t="s">
        <v>6017</v>
      </c>
      <c r="C423" s="180" t="s">
        <v>6018</v>
      </c>
      <c r="D423" s="180" t="s">
        <v>650</v>
      </c>
      <c r="E423" s="181">
        <v>9.9499999999999993</v>
      </c>
      <c r="F423" s="180" t="s">
        <v>649</v>
      </c>
      <c r="G423" s="180" t="s">
        <v>640</v>
      </c>
      <c r="H423" s="84">
        <v>4111</v>
      </c>
    </row>
    <row r="424" spans="1:8" s="179" customFormat="1" ht="14.25" customHeight="1" x14ac:dyDescent="0.25">
      <c r="A424" s="180" t="s">
        <v>5995</v>
      </c>
      <c r="B424" s="180" t="s">
        <v>6019</v>
      </c>
      <c r="C424" s="180" t="s">
        <v>6020</v>
      </c>
      <c r="D424" s="180" t="s">
        <v>875</v>
      </c>
      <c r="E424" s="181">
        <v>3.36</v>
      </c>
      <c r="F424" s="180" t="s">
        <v>874</v>
      </c>
      <c r="G424" s="180" t="s">
        <v>640</v>
      </c>
      <c r="H424" s="84">
        <v>4112</v>
      </c>
    </row>
    <row r="425" spans="1:8" s="179" customFormat="1" ht="14.25" customHeight="1" x14ac:dyDescent="0.25">
      <c r="A425" s="180" t="s">
        <v>5995</v>
      </c>
      <c r="B425" s="180" t="s">
        <v>6021</v>
      </c>
      <c r="C425" s="180" t="s">
        <v>6022</v>
      </c>
      <c r="D425" s="180" t="s">
        <v>1384</v>
      </c>
      <c r="E425" s="181">
        <v>11.19</v>
      </c>
      <c r="F425" s="180" t="s">
        <v>1383</v>
      </c>
      <c r="G425" s="180" t="s">
        <v>640</v>
      </c>
      <c r="H425" s="84">
        <v>4113</v>
      </c>
    </row>
    <row r="426" spans="1:8" s="179" customFormat="1" ht="14.25" customHeight="1" x14ac:dyDescent="0.25">
      <c r="A426" s="180" t="s">
        <v>5995</v>
      </c>
      <c r="B426" s="180" t="s">
        <v>6023</v>
      </c>
      <c r="C426" s="180" t="s">
        <v>6024</v>
      </c>
      <c r="D426" s="180" t="s">
        <v>706</v>
      </c>
      <c r="E426" s="181">
        <v>8.3800000000000008</v>
      </c>
      <c r="F426" s="180" t="s">
        <v>705</v>
      </c>
      <c r="G426" s="180" t="s">
        <v>640</v>
      </c>
      <c r="H426" s="84">
        <v>4114</v>
      </c>
    </row>
    <row r="427" spans="1:8" s="179" customFormat="1" ht="14.25" customHeight="1" x14ac:dyDescent="0.25">
      <c r="A427" s="180" t="s">
        <v>5995</v>
      </c>
      <c r="B427" s="180" t="s">
        <v>6025</v>
      </c>
      <c r="C427" s="180" t="s">
        <v>6026</v>
      </c>
      <c r="D427" s="180" t="s">
        <v>6027</v>
      </c>
      <c r="E427" s="181">
        <v>5.44</v>
      </c>
      <c r="F427" s="180" t="s">
        <v>6028</v>
      </c>
      <c r="G427" s="180" t="s">
        <v>640</v>
      </c>
      <c r="H427" s="84">
        <v>4115</v>
      </c>
    </row>
    <row r="428" spans="1:8" s="179" customFormat="1" ht="14.25" customHeight="1" x14ac:dyDescent="0.25">
      <c r="A428" s="180" t="s">
        <v>5995</v>
      </c>
      <c r="B428" s="180" t="s">
        <v>6029</v>
      </c>
      <c r="C428" s="180" t="s">
        <v>6030</v>
      </c>
      <c r="D428" s="180" t="s">
        <v>6031</v>
      </c>
      <c r="E428" s="181">
        <v>7.36</v>
      </c>
      <c r="F428" s="180" t="s">
        <v>6032</v>
      </c>
      <c r="G428" s="180" t="s">
        <v>640</v>
      </c>
      <c r="H428" s="84">
        <v>4116</v>
      </c>
    </row>
    <row r="429" spans="1:8" s="179" customFormat="1" ht="14.25" customHeight="1" x14ac:dyDescent="0.25">
      <c r="A429" s="180" t="s">
        <v>5995</v>
      </c>
      <c r="B429" s="180" t="s">
        <v>6033</v>
      </c>
      <c r="C429" s="180" t="s">
        <v>6034</v>
      </c>
      <c r="D429" s="180" t="s">
        <v>1162</v>
      </c>
      <c r="E429" s="181">
        <v>1.79</v>
      </c>
      <c r="F429" s="180" t="s">
        <v>1161</v>
      </c>
      <c r="G429" s="180" t="s">
        <v>640</v>
      </c>
      <c r="H429" s="84">
        <v>4117</v>
      </c>
    </row>
    <row r="430" spans="1:8" s="179" customFormat="1" ht="14.25" customHeight="1" x14ac:dyDescent="0.25">
      <c r="A430" s="180" t="s">
        <v>5995</v>
      </c>
      <c r="B430" s="180" t="s">
        <v>1380</v>
      </c>
      <c r="C430" s="180" t="s">
        <v>6035</v>
      </c>
      <c r="D430" s="180" t="s">
        <v>1345</v>
      </c>
      <c r="E430" s="181">
        <v>4.93</v>
      </c>
      <c r="F430" s="180" t="s">
        <v>1344</v>
      </c>
      <c r="G430" s="180" t="s">
        <v>640</v>
      </c>
      <c r="H430" s="84">
        <v>4118</v>
      </c>
    </row>
    <row r="431" spans="1:8" s="179" customFormat="1" ht="14.25" customHeight="1" x14ac:dyDescent="0.25">
      <c r="A431" s="180" t="s">
        <v>5995</v>
      </c>
      <c r="B431" s="180" t="s">
        <v>6036</v>
      </c>
      <c r="C431" s="180" t="s">
        <v>6037</v>
      </c>
      <c r="D431" s="180" t="s">
        <v>1003</v>
      </c>
      <c r="E431" s="181">
        <v>18.28</v>
      </c>
      <c r="F431" s="180" t="s">
        <v>1002</v>
      </c>
      <c r="G431" s="180" t="s">
        <v>640</v>
      </c>
      <c r="H431" s="84">
        <v>4119</v>
      </c>
    </row>
    <row r="432" spans="1:8" s="179" customFormat="1" ht="14.25" customHeight="1" x14ac:dyDescent="0.25">
      <c r="A432" s="180"/>
      <c r="B432" s="180"/>
      <c r="C432" s="180"/>
      <c r="D432" s="143" t="s">
        <v>3740</v>
      </c>
      <c r="E432" s="141">
        <f>SUM(E382:E431)</f>
        <v>560.44000000000005</v>
      </c>
      <c r="F432" s="180"/>
      <c r="G432" s="180"/>
      <c r="H432" s="84"/>
    </row>
    <row r="433" spans="1:8" ht="15.75" x14ac:dyDescent="0.25">
      <c r="A433" s="99"/>
      <c r="B433" s="99"/>
      <c r="C433" s="99"/>
      <c r="D433" s="143"/>
      <c r="E433" s="141"/>
      <c r="F433" s="99"/>
      <c r="G433" s="99"/>
      <c r="H433" s="84"/>
    </row>
    <row r="434" spans="1:8" ht="15.75" x14ac:dyDescent="0.25">
      <c r="A434" s="99"/>
      <c r="B434" s="99"/>
      <c r="C434" s="99"/>
      <c r="D434" s="99"/>
      <c r="E434" s="101"/>
      <c r="F434" s="99"/>
      <c r="G434" s="99"/>
      <c r="H434" s="84"/>
    </row>
    <row r="435" spans="1:8" ht="15.75" x14ac:dyDescent="0.25">
      <c r="A435" s="99"/>
      <c r="B435" s="99"/>
      <c r="C435" s="99"/>
      <c r="D435" s="99"/>
      <c r="E435" s="101"/>
      <c r="F435" s="99"/>
      <c r="G435" s="99"/>
      <c r="H435" s="84"/>
    </row>
    <row r="436" spans="1:8" ht="15.75" x14ac:dyDescent="0.25">
      <c r="A436" s="99"/>
      <c r="B436" s="99"/>
      <c r="C436" s="99"/>
      <c r="D436" s="99"/>
      <c r="E436" s="101"/>
      <c r="F436" s="99"/>
      <c r="G436" s="99"/>
      <c r="H436" s="84"/>
    </row>
    <row r="437" spans="1:8" ht="15.75" x14ac:dyDescent="0.25">
      <c r="A437" s="99"/>
      <c r="B437" s="99"/>
      <c r="C437" s="99"/>
      <c r="D437" s="99"/>
      <c r="E437" s="101"/>
      <c r="F437" s="99"/>
      <c r="G437" s="99"/>
      <c r="H437" s="84"/>
    </row>
    <row r="438" spans="1:8" ht="15.75" x14ac:dyDescent="0.25">
      <c r="A438" s="99"/>
      <c r="B438" s="99"/>
      <c r="C438" s="99"/>
      <c r="D438" s="99"/>
      <c r="E438" s="101"/>
      <c r="F438" s="99"/>
      <c r="G438" s="99"/>
      <c r="H438" s="84"/>
    </row>
    <row r="439" spans="1:8" ht="15.75" x14ac:dyDescent="0.25">
      <c r="A439" s="99"/>
      <c r="B439" s="99"/>
      <c r="C439" s="99"/>
      <c r="D439" s="99"/>
      <c r="E439" s="101"/>
      <c r="F439" s="99"/>
      <c r="G439" s="99"/>
      <c r="H439" s="84"/>
    </row>
    <row r="440" spans="1:8" ht="15.75" x14ac:dyDescent="0.25">
      <c r="A440" s="99"/>
      <c r="B440" s="99"/>
      <c r="C440" s="99"/>
      <c r="D440" s="99"/>
      <c r="E440" s="101"/>
      <c r="F440" s="99"/>
      <c r="G440" s="99"/>
      <c r="H440" s="84"/>
    </row>
    <row r="441" spans="1:8" ht="15.75" x14ac:dyDescent="0.25">
      <c r="A441" s="99"/>
      <c r="B441" s="99"/>
      <c r="C441" s="99"/>
      <c r="D441" s="99"/>
      <c r="E441" s="101"/>
      <c r="F441" s="99"/>
      <c r="G441" s="99"/>
      <c r="H441" s="84"/>
    </row>
    <row r="442" spans="1:8" ht="15.75" x14ac:dyDescent="0.25">
      <c r="A442" s="99"/>
      <c r="B442" s="99"/>
      <c r="C442" s="99"/>
      <c r="D442" s="99"/>
      <c r="E442" s="101"/>
      <c r="F442" s="99"/>
      <c r="G442" s="99"/>
      <c r="H442" s="84"/>
    </row>
    <row r="443" spans="1:8" ht="15.75" x14ac:dyDescent="0.25">
      <c r="A443" s="99"/>
      <c r="B443" s="99"/>
      <c r="C443" s="99"/>
      <c r="D443" s="99"/>
      <c r="E443" s="101"/>
      <c r="F443" s="99"/>
      <c r="G443" s="99"/>
      <c r="H443" s="84"/>
    </row>
    <row r="444" spans="1:8" ht="15.75" x14ac:dyDescent="0.25">
      <c r="A444" s="99"/>
      <c r="B444" s="99"/>
      <c r="C444" s="99"/>
      <c r="D444" s="99"/>
      <c r="E444" s="101"/>
      <c r="F444" s="99"/>
      <c r="G444" s="99"/>
      <c r="H444" s="84"/>
    </row>
    <row r="445" spans="1:8" ht="15.75" x14ac:dyDescent="0.25">
      <c r="A445" s="99"/>
      <c r="B445" s="99"/>
      <c r="C445" s="99"/>
      <c r="D445" s="99"/>
      <c r="E445" s="101"/>
      <c r="F445" s="99"/>
      <c r="G445" s="99"/>
      <c r="H445" s="84"/>
    </row>
    <row r="446" spans="1:8" ht="15.75" x14ac:dyDescent="0.25">
      <c r="A446" s="99"/>
      <c r="B446" s="99"/>
      <c r="C446" s="99"/>
      <c r="D446" s="99"/>
      <c r="E446" s="101"/>
      <c r="F446" s="99"/>
      <c r="G446" s="99"/>
      <c r="H446" s="84"/>
    </row>
    <row r="447" spans="1:8" ht="15.75" x14ac:dyDescent="0.25">
      <c r="A447" s="99"/>
      <c r="B447" s="99"/>
      <c r="C447" s="99"/>
      <c r="D447" s="99"/>
      <c r="E447" s="101"/>
      <c r="F447" s="99"/>
      <c r="G447" s="99"/>
      <c r="H447" s="84"/>
    </row>
    <row r="448" spans="1:8" ht="15.75" x14ac:dyDescent="0.25">
      <c r="A448" s="99"/>
      <c r="B448" s="99"/>
      <c r="C448" s="99"/>
      <c r="D448" s="99"/>
      <c r="E448" s="101"/>
      <c r="F448" s="99"/>
      <c r="G448" s="99"/>
      <c r="H448" s="84"/>
    </row>
    <row r="449" spans="1:8" ht="15.75" x14ac:dyDescent="0.25">
      <c r="A449" s="99"/>
      <c r="B449" s="99"/>
      <c r="C449" s="99"/>
      <c r="D449" s="99"/>
      <c r="E449" s="101"/>
      <c r="F449" s="99"/>
      <c r="G449" s="99"/>
      <c r="H449" s="84"/>
    </row>
    <row r="450" spans="1:8" ht="15.75" x14ac:dyDescent="0.25">
      <c r="A450" s="99"/>
      <c r="B450" s="99"/>
      <c r="C450" s="99"/>
      <c r="D450" s="99"/>
      <c r="E450" s="101"/>
      <c r="F450" s="99"/>
      <c r="G450" s="99"/>
      <c r="H450" s="84"/>
    </row>
    <row r="451" spans="1:8" ht="15.75" x14ac:dyDescent="0.25">
      <c r="A451" s="99"/>
      <c r="B451" s="99"/>
      <c r="C451" s="99"/>
      <c r="D451" s="99"/>
      <c r="E451" s="101"/>
      <c r="F451" s="99"/>
      <c r="G451" s="99"/>
      <c r="H451" s="84"/>
    </row>
    <row r="452" spans="1:8" ht="15.75" x14ac:dyDescent="0.25">
      <c r="A452" s="99"/>
      <c r="B452" s="99"/>
      <c r="C452" s="99"/>
      <c r="D452" s="99"/>
      <c r="E452" s="101"/>
      <c r="F452" s="99"/>
      <c r="G452" s="99"/>
      <c r="H452" s="84"/>
    </row>
    <row r="453" spans="1:8" ht="15.75" x14ac:dyDescent="0.25">
      <c r="A453" s="99"/>
      <c r="B453" s="99"/>
      <c r="C453" s="99"/>
      <c r="D453" s="99"/>
      <c r="E453" s="101"/>
      <c r="F453" s="99"/>
      <c r="G453" s="99"/>
      <c r="H453" s="84"/>
    </row>
    <row r="454" spans="1:8" ht="15.75" x14ac:dyDescent="0.25">
      <c r="A454" s="99"/>
      <c r="B454" s="99"/>
      <c r="C454" s="99"/>
      <c r="D454" s="99"/>
      <c r="E454" s="101"/>
      <c r="F454" s="99"/>
      <c r="G454" s="99"/>
      <c r="H454" s="84"/>
    </row>
    <row r="455" spans="1:8" ht="15.75" x14ac:dyDescent="0.25">
      <c r="A455" s="99"/>
      <c r="B455" s="99"/>
      <c r="C455" s="99"/>
      <c r="D455" s="99"/>
      <c r="E455" s="101"/>
      <c r="F455" s="99"/>
      <c r="G455" s="99"/>
      <c r="H455" s="84"/>
    </row>
    <row r="456" spans="1:8" ht="15.75" x14ac:dyDescent="0.25">
      <c r="A456" s="99"/>
      <c r="B456" s="99"/>
      <c r="C456" s="99"/>
      <c r="D456" s="99"/>
      <c r="E456" s="101"/>
      <c r="F456" s="99"/>
      <c r="G456" s="99"/>
      <c r="H456" s="84"/>
    </row>
    <row r="457" spans="1:8" ht="15.75" x14ac:dyDescent="0.25">
      <c r="A457" s="99"/>
      <c r="B457" s="99"/>
      <c r="C457" s="99"/>
      <c r="D457" s="99"/>
      <c r="E457" s="101"/>
      <c r="F457" s="99"/>
      <c r="G457" s="99"/>
      <c r="H457" s="84"/>
    </row>
    <row r="458" spans="1:8" ht="15.75" x14ac:dyDescent="0.25">
      <c r="A458" s="99"/>
      <c r="B458" s="99"/>
      <c r="C458" s="99"/>
      <c r="D458" s="99"/>
      <c r="E458" s="101"/>
      <c r="F458" s="99"/>
      <c r="G458" s="99"/>
      <c r="H458" s="84"/>
    </row>
    <row r="459" spans="1:8" ht="15.75" x14ac:dyDescent="0.25">
      <c r="A459" s="99"/>
      <c r="B459" s="99"/>
      <c r="C459" s="99"/>
      <c r="D459" s="99"/>
      <c r="E459" s="101"/>
      <c r="F459" s="99"/>
      <c r="G459" s="99"/>
      <c r="H459" s="84"/>
    </row>
    <row r="460" spans="1:8" ht="15.75" x14ac:dyDescent="0.25">
      <c r="A460" s="99"/>
      <c r="B460" s="99"/>
      <c r="C460" s="99"/>
      <c r="D460" s="99"/>
      <c r="E460" s="101"/>
      <c r="F460" s="99"/>
      <c r="G460" s="99"/>
      <c r="H460" s="84"/>
    </row>
    <row r="461" spans="1:8" ht="15.75" x14ac:dyDescent="0.25">
      <c r="A461" s="99"/>
      <c r="B461" s="99"/>
      <c r="C461" s="99"/>
      <c r="D461" s="99"/>
      <c r="E461" s="101"/>
      <c r="F461" s="99"/>
      <c r="G461" s="99"/>
      <c r="H461" s="84"/>
    </row>
    <row r="462" spans="1:8" ht="15.75" x14ac:dyDescent="0.25">
      <c r="A462" s="99"/>
      <c r="B462" s="99"/>
      <c r="C462" s="99"/>
      <c r="D462" s="99"/>
      <c r="E462" s="101"/>
      <c r="F462" s="99"/>
      <c r="G462" s="99"/>
      <c r="H462" s="84"/>
    </row>
    <row r="463" spans="1:8" ht="15.75" x14ac:dyDescent="0.25">
      <c r="A463" s="99"/>
      <c r="B463" s="99"/>
      <c r="C463" s="99"/>
      <c r="D463" s="99"/>
      <c r="E463" s="101"/>
      <c r="F463" s="99"/>
      <c r="G463" s="99"/>
      <c r="H463" s="84"/>
    </row>
    <row r="464" spans="1:8" ht="15.75" x14ac:dyDescent="0.25">
      <c r="A464" s="99"/>
      <c r="B464" s="99"/>
      <c r="C464" s="99"/>
      <c r="D464" s="99"/>
      <c r="E464" s="101"/>
      <c r="F464" s="99"/>
      <c r="G464" s="99"/>
      <c r="H464" s="84"/>
    </row>
    <row r="465" spans="1:8" ht="15.75" x14ac:dyDescent="0.25">
      <c r="A465" s="99"/>
      <c r="B465" s="99"/>
      <c r="C465" s="99"/>
      <c r="D465" s="99"/>
      <c r="E465" s="101"/>
      <c r="F465" s="99"/>
      <c r="G465" s="99"/>
      <c r="H465" s="84"/>
    </row>
    <row r="466" spans="1:8" ht="15.75" x14ac:dyDescent="0.25">
      <c r="A466" s="99"/>
      <c r="B466" s="99"/>
      <c r="C466" s="99"/>
      <c r="D466" s="99"/>
      <c r="E466" s="101"/>
      <c r="F466" s="99"/>
      <c r="G466" s="99"/>
      <c r="H466" s="84"/>
    </row>
    <row r="467" spans="1:8" ht="15.75" x14ac:dyDescent="0.25">
      <c r="A467" s="99"/>
      <c r="B467" s="99"/>
      <c r="C467" s="99"/>
      <c r="D467" s="99"/>
      <c r="E467" s="101"/>
      <c r="F467" s="99"/>
      <c r="G467" s="99"/>
      <c r="H467" s="84"/>
    </row>
    <row r="468" spans="1:8" ht="15.75" x14ac:dyDescent="0.25">
      <c r="A468" s="99"/>
      <c r="B468" s="99"/>
      <c r="C468" s="99"/>
      <c r="D468" s="99"/>
      <c r="E468" s="101"/>
      <c r="F468" s="99"/>
      <c r="G468" s="99"/>
      <c r="H468" s="84"/>
    </row>
    <row r="469" spans="1:8" ht="15.75" x14ac:dyDescent="0.25">
      <c r="A469" s="99"/>
      <c r="B469" s="99"/>
      <c r="C469" s="99"/>
      <c r="D469" s="99"/>
      <c r="E469" s="101"/>
      <c r="F469" s="99"/>
      <c r="G469" s="99"/>
      <c r="H469" s="84"/>
    </row>
    <row r="470" spans="1:8" ht="15.75" x14ac:dyDescent="0.25">
      <c r="A470" s="99"/>
      <c r="B470" s="99"/>
      <c r="C470" s="99"/>
      <c r="D470" s="99"/>
      <c r="E470" s="101"/>
      <c r="F470" s="99"/>
      <c r="G470" s="99"/>
      <c r="H470" s="84"/>
    </row>
    <row r="471" spans="1:8" ht="15.75" x14ac:dyDescent="0.25">
      <c r="A471" s="99"/>
      <c r="B471" s="99"/>
      <c r="C471" s="99"/>
      <c r="D471" s="99"/>
      <c r="E471" s="101"/>
      <c r="F471" s="99"/>
      <c r="G471" s="99"/>
      <c r="H471" s="84"/>
    </row>
    <row r="472" spans="1:8" ht="15.75" x14ac:dyDescent="0.25">
      <c r="A472" s="99"/>
      <c r="B472" s="99"/>
      <c r="C472" s="99"/>
      <c r="D472" s="99"/>
      <c r="E472" s="101"/>
      <c r="F472" s="99"/>
      <c r="G472" s="99"/>
      <c r="H472" s="84"/>
    </row>
    <row r="473" spans="1:8" ht="15.75" x14ac:dyDescent="0.25">
      <c r="A473" s="99"/>
      <c r="B473" s="99"/>
      <c r="C473" s="99"/>
      <c r="D473" s="99"/>
      <c r="E473" s="101"/>
      <c r="F473" s="99"/>
      <c r="G473" s="99"/>
      <c r="H473" s="84"/>
    </row>
    <row r="474" spans="1:8" ht="15.75" x14ac:dyDescent="0.25">
      <c r="A474" s="99"/>
      <c r="B474" s="99"/>
      <c r="C474" s="99"/>
      <c r="D474" s="99"/>
      <c r="E474" s="101"/>
      <c r="F474" s="99"/>
      <c r="G474" s="99"/>
      <c r="H474" s="84"/>
    </row>
    <row r="475" spans="1:8" ht="15.75" x14ac:dyDescent="0.25">
      <c r="A475" s="99"/>
      <c r="B475" s="99"/>
      <c r="C475" s="99"/>
      <c r="D475" s="99"/>
      <c r="E475" s="101"/>
      <c r="F475" s="99"/>
      <c r="G475" s="99"/>
      <c r="H475" s="84"/>
    </row>
    <row r="476" spans="1:8" ht="15.75" x14ac:dyDescent="0.25">
      <c r="A476" s="99"/>
      <c r="B476" s="99"/>
      <c r="C476" s="99"/>
      <c r="D476" s="99"/>
      <c r="E476" s="101"/>
      <c r="F476" s="99"/>
      <c r="G476" s="99"/>
      <c r="H476" s="84"/>
    </row>
    <row r="477" spans="1:8" ht="15.75" x14ac:dyDescent="0.25">
      <c r="A477" s="99"/>
      <c r="B477" s="99"/>
      <c r="C477" s="99"/>
      <c r="D477" s="99"/>
      <c r="E477" s="101"/>
      <c r="F477" s="99"/>
      <c r="G477" s="99"/>
      <c r="H477" s="84"/>
    </row>
    <row r="478" spans="1:8" ht="15.75" x14ac:dyDescent="0.25">
      <c r="A478" s="99"/>
      <c r="B478" s="99"/>
      <c r="C478" s="99"/>
      <c r="D478" s="99"/>
      <c r="E478" s="101"/>
      <c r="F478" s="99"/>
      <c r="G478" s="99"/>
      <c r="H478" s="84"/>
    </row>
    <row r="479" spans="1:8" ht="15.75" x14ac:dyDescent="0.25">
      <c r="A479" s="99"/>
      <c r="B479" s="99"/>
      <c r="C479" s="99"/>
      <c r="D479" s="99"/>
      <c r="E479" s="101"/>
      <c r="F479" s="99"/>
      <c r="G479" s="99"/>
      <c r="H479" s="84"/>
    </row>
    <row r="480" spans="1:8" ht="15.75" x14ac:dyDescent="0.25">
      <c r="A480" s="99"/>
      <c r="B480" s="99"/>
      <c r="C480" s="99"/>
      <c r="D480" s="99"/>
      <c r="E480" s="101"/>
      <c r="F480" s="99"/>
      <c r="G480" s="99"/>
      <c r="H480" s="84"/>
    </row>
    <row r="481" spans="1:8" ht="15.75" x14ac:dyDescent="0.25">
      <c r="A481" s="99"/>
      <c r="B481" s="99"/>
      <c r="C481" s="99"/>
      <c r="D481" s="99"/>
      <c r="E481" s="101"/>
      <c r="F481" s="99"/>
      <c r="G481" s="99"/>
      <c r="H481" s="84"/>
    </row>
    <row r="482" spans="1:8" ht="15.75" x14ac:dyDescent="0.25">
      <c r="A482" s="99"/>
      <c r="B482" s="99"/>
      <c r="C482" s="99"/>
      <c r="D482" s="99"/>
      <c r="E482" s="101"/>
      <c r="F482" s="99"/>
      <c r="G482" s="99"/>
      <c r="H482" s="84"/>
    </row>
    <row r="483" spans="1:8" ht="15.75" x14ac:dyDescent="0.25">
      <c r="A483" s="99"/>
      <c r="B483" s="99"/>
      <c r="C483" s="99"/>
      <c r="D483" s="99"/>
      <c r="E483" s="101"/>
      <c r="F483" s="99"/>
      <c r="G483" s="99"/>
      <c r="H483" s="25"/>
    </row>
    <row r="484" spans="1:8" ht="15.75" x14ac:dyDescent="0.25">
      <c r="A484" s="99"/>
      <c r="B484" s="99"/>
      <c r="C484" s="99"/>
      <c r="D484" s="99"/>
      <c r="E484" s="101"/>
      <c r="F484" s="99"/>
      <c r="G484" s="99"/>
      <c r="H484" s="84"/>
    </row>
    <row r="485" spans="1:8" ht="15.75" x14ac:dyDescent="0.25">
      <c r="A485" s="99"/>
      <c r="B485" s="99"/>
      <c r="C485" s="99"/>
      <c r="D485" s="99"/>
      <c r="E485" s="101"/>
      <c r="F485" s="99"/>
      <c r="G485" s="99"/>
      <c r="H485" s="84"/>
    </row>
    <row r="486" spans="1:8" ht="15.75" x14ac:dyDescent="0.25">
      <c r="A486" s="99"/>
      <c r="B486" s="99"/>
      <c r="C486" s="99"/>
      <c r="D486" s="99"/>
      <c r="E486" s="101"/>
      <c r="F486" s="99"/>
      <c r="G486" s="99"/>
      <c r="H486" s="84"/>
    </row>
    <row r="487" spans="1:8" ht="15.75" x14ac:dyDescent="0.25">
      <c r="A487" s="99"/>
      <c r="B487" s="99"/>
      <c r="C487" s="99"/>
      <c r="D487" s="99"/>
      <c r="E487" s="101"/>
      <c r="F487" s="99"/>
      <c r="G487" s="99"/>
      <c r="H487" s="84"/>
    </row>
    <row r="488" spans="1:8" ht="15.75" x14ac:dyDescent="0.25">
      <c r="A488" s="99"/>
      <c r="B488" s="99"/>
      <c r="C488" s="99"/>
      <c r="D488" s="99"/>
      <c r="E488" s="101"/>
      <c r="F488" s="99"/>
      <c r="G488" s="99"/>
      <c r="H488" s="84"/>
    </row>
    <row r="489" spans="1:8" ht="15.75" x14ac:dyDescent="0.25">
      <c r="A489" s="99"/>
      <c r="B489" s="99"/>
      <c r="C489" s="99"/>
      <c r="D489" s="99"/>
      <c r="E489" s="101"/>
      <c r="F489" s="99"/>
      <c r="G489" s="99"/>
      <c r="H489" s="84"/>
    </row>
    <row r="490" spans="1:8" ht="15.75" x14ac:dyDescent="0.25">
      <c r="A490" s="99"/>
      <c r="B490" s="99"/>
      <c r="C490" s="99"/>
      <c r="D490" s="99"/>
      <c r="E490" s="101"/>
      <c r="F490" s="99"/>
      <c r="G490" s="99"/>
      <c r="H490" s="84"/>
    </row>
    <row r="491" spans="1:8" ht="15.75" x14ac:dyDescent="0.25">
      <c r="A491" s="99"/>
      <c r="B491" s="99"/>
      <c r="C491" s="99"/>
      <c r="D491" s="99"/>
      <c r="E491" s="101"/>
      <c r="F491" s="99"/>
      <c r="G491" s="99"/>
      <c r="H491" s="84"/>
    </row>
    <row r="492" spans="1:8" ht="15.75" x14ac:dyDescent="0.25">
      <c r="A492" s="99"/>
      <c r="B492" s="99"/>
      <c r="C492" s="99"/>
      <c r="D492" s="99"/>
      <c r="E492" s="101"/>
      <c r="F492" s="99"/>
      <c r="G492" s="99"/>
      <c r="H492" s="84"/>
    </row>
    <row r="493" spans="1:8" ht="15.75" x14ac:dyDescent="0.25">
      <c r="A493" s="99"/>
      <c r="B493" s="99"/>
      <c r="C493" s="99"/>
      <c r="D493" s="99"/>
      <c r="E493" s="101"/>
      <c r="F493" s="99"/>
      <c r="G493" s="99"/>
      <c r="H493" s="84"/>
    </row>
    <row r="494" spans="1:8" ht="15.75" x14ac:dyDescent="0.25">
      <c r="A494" s="99"/>
      <c r="B494" s="99"/>
      <c r="C494" s="99"/>
      <c r="D494" s="99"/>
      <c r="E494" s="101"/>
      <c r="F494" s="99"/>
      <c r="G494" s="99"/>
      <c r="H494" s="84"/>
    </row>
    <row r="495" spans="1:8" ht="15.75" x14ac:dyDescent="0.25">
      <c r="A495" s="99"/>
      <c r="B495" s="99"/>
      <c r="C495" s="99"/>
      <c r="D495" s="99"/>
      <c r="E495" s="101"/>
      <c r="F495" s="99"/>
      <c r="G495" s="99"/>
      <c r="H495" s="84"/>
    </row>
    <row r="496" spans="1:8" ht="15.75" x14ac:dyDescent="0.25">
      <c r="A496" s="99"/>
      <c r="B496" s="99"/>
      <c r="C496" s="99"/>
      <c r="D496" s="99"/>
      <c r="E496" s="101"/>
      <c r="F496" s="99"/>
      <c r="G496" s="99"/>
      <c r="H496" s="84"/>
    </row>
    <row r="497" spans="1:8" ht="15.75" x14ac:dyDescent="0.25">
      <c r="A497" s="99"/>
      <c r="B497" s="99"/>
      <c r="C497" s="99"/>
      <c r="D497" s="99"/>
      <c r="E497" s="101"/>
      <c r="F497" s="99"/>
      <c r="G497" s="99"/>
      <c r="H497" s="84"/>
    </row>
    <row r="498" spans="1:8" ht="15.75" x14ac:dyDescent="0.25">
      <c r="A498" s="99"/>
      <c r="B498" s="99"/>
      <c r="C498" s="99"/>
      <c r="D498" s="99"/>
      <c r="E498" s="101"/>
      <c r="F498" s="99"/>
      <c r="G498" s="99"/>
      <c r="H498" s="84"/>
    </row>
    <row r="499" spans="1:8" ht="15.75" x14ac:dyDescent="0.25">
      <c r="A499" s="99"/>
      <c r="B499" s="99"/>
      <c r="C499" s="99"/>
      <c r="D499" s="99"/>
      <c r="E499" s="101"/>
      <c r="F499" s="99"/>
      <c r="G499" s="99"/>
      <c r="H499" s="84"/>
    </row>
    <row r="500" spans="1:8" ht="15.75" x14ac:dyDescent="0.25">
      <c r="A500" s="99"/>
      <c r="B500" s="99"/>
      <c r="C500" s="99"/>
      <c r="D500" s="99"/>
      <c r="E500" s="101"/>
      <c r="F500" s="99"/>
      <c r="G500" s="99"/>
      <c r="H500" s="84"/>
    </row>
    <row r="501" spans="1:8" ht="15.75" x14ac:dyDescent="0.25">
      <c r="A501" s="99"/>
      <c r="B501" s="99"/>
      <c r="C501" s="99"/>
      <c r="D501" s="99"/>
      <c r="E501" s="101"/>
      <c r="F501" s="99"/>
      <c r="G501" s="99"/>
      <c r="H501" s="84"/>
    </row>
    <row r="502" spans="1:8" ht="15.75" x14ac:dyDescent="0.25">
      <c r="A502" s="99"/>
      <c r="B502" s="99"/>
      <c r="C502" s="99"/>
      <c r="D502" s="99"/>
      <c r="E502" s="101"/>
      <c r="F502" s="99"/>
      <c r="G502" s="99"/>
      <c r="H502" s="84"/>
    </row>
    <row r="503" spans="1:8" ht="15.75" x14ac:dyDescent="0.25">
      <c r="A503" s="99"/>
      <c r="B503" s="99"/>
      <c r="C503" s="99"/>
      <c r="D503" s="99"/>
      <c r="E503" s="101"/>
      <c r="F503" s="99"/>
      <c r="G503" s="99"/>
      <c r="H503" s="84"/>
    </row>
    <row r="504" spans="1:8" ht="15.75" x14ac:dyDescent="0.25">
      <c r="A504" s="99"/>
      <c r="B504" s="99"/>
      <c r="C504" s="99"/>
      <c r="D504" s="99"/>
      <c r="E504" s="101"/>
      <c r="F504" s="99"/>
      <c r="G504" s="99"/>
      <c r="H504" s="84"/>
    </row>
    <row r="505" spans="1:8" ht="15.75" x14ac:dyDescent="0.25">
      <c r="A505" s="99"/>
      <c r="B505" s="99"/>
      <c r="C505" s="99"/>
      <c r="D505" s="99"/>
      <c r="E505" s="101"/>
      <c r="F505" s="99"/>
      <c r="G505" s="99"/>
      <c r="H505" s="84"/>
    </row>
    <row r="506" spans="1:8" ht="15.75" x14ac:dyDescent="0.25">
      <c r="A506" s="99"/>
      <c r="B506" s="99"/>
      <c r="C506" s="99"/>
      <c r="D506" s="99"/>
      <c r="E506" s="101"/>
      <c r="F506" s="99"/>
      <c r="G506" s="99"/>
      <c r="H506" s="84"/>
    </row>
    <row r="507" spans="1:8" ht="15.75" x14ac:dyDescent="0.25">
      <c r="A507" s="99"/>
      <c r="B507" s="99"/>
      <c r="C507" s="99"/>
      <c r="D507" s="99"/>
      <c r="E507" s="101"/>
      <c r="F507" s="99"/>
      <c r="G507" s="99"/>
      <c r="H507" s="84"/>
    </row>
    <row r="508" spans="1:8" ht="15.75" x14ac:dyDescent="0.25">
      <c r="A508" s="99"/>
      <c r="B508" s="99"/>
      <c r="C508" s="99"/>
      <c r="D508" s="99"/>
      <c r="E508" s="101"/>
      <c r="F508" s="99"/>
      <c r="G508" s="99"/>
      <c r="H508" s="84"/>
    </row>
    <row r="509" spans="1:8" ht="15.75" x14ac:dyDescent="0.25">
      <c r="A509" s="99"/>
      <c r="B509" s="99"/>
      <c r="C509" s="99"/>
      <c r="D509" s="99"/>
      <c r="E509" s="101"/>
      <c r="F509" s="99"/>
      <c r="G509" s="99"/>
      <c r="H509" s="84"/>
    </row>
    <row r="510" spans="1:8" ht="15.75" x14ac:dyDescent="0.25">
      <c r="A510" s="99"/>
      <c r="B510" s="99"/>
      <c r="C510" s="99"/>
      <c r="D510" s="99"/>
      <c r="E510" s="101"/>
      <c r="F510" s="99"/>
      <c r="G510" s="99"/>
      <c r="H510" s="84"/>
    </row>
    <row r="511" spans="1:8" ht="15.75" x14ac:dyDescent="0.25">
      <c r="A511" s="99"/>
      <c r="B511" s="99"/>
      <c r="C511" s="99"/>
      <c r="D511" s="99"/>
      <c r="E511" s="101"/>
      <c r="F511" s="99"/>
      <c r="G511" s="99"/>
      <c r="H511" s="84"/>
    </row>
    <row r="512" spans="1:8" ht="15.75" x14ac:dyDescent="0.25">
      <c r="A512" s="99"/>
      <c r="B512" s="99"/>
      <c r="C512" s="99"/>
      <c r="D512" s="99"/>
      <c r="E512" s="101"/>
      <c r="F512" s="99"/>
      <c r="G512" s="99"/>
      <c r="H512" s="84"/>
    </row>
    <row r="513" spans="1:8" ht="15.75" x14ac:dyDescent="0.25">
      <c r="A513" s="99"/>
      <c r="B513" s="99"/>
      <c r="C513" s="99"/>
      <c r="D513" s="99"/>
      <c r="E513" s="101"/>
      <c r="F513" s="99"/>
      <c r="G513" s="99"/>
      <c r="H513" s="84"/>
    </row>
    <row r="514" spans="1:8" ht="15.75" x14ac:dyDescent="0.25">
      <c r="A514" s="99"/>
      <c r="B514" s="99"/>
      <c r="C514" s="99"/>
      <c r="D514" s="99"/>
      <c r="E514" s="101"/>
      <c r="F514" s="99"/>
      <c r="G514" s="99"/>
      <c r="H514" s="84"/>
    </row>
    <row r="515" spans="1:8" ht="15.75" x14ac:dyDescent="0.25">
      <c r="A515" s="99"/>
      <c r="B515" s="99"/>
      <c r="C515" s="99"/>
      <c r="D515" s="99"/>
      <c r="E515" s="101"/>
      <c r="F515" s="99"/>
      <c r="G515" s="99"/>
      <c r="H515" s="84"/>
    </row>
    <row r="516" spans="1:8" ht="15.75" x14ac:dyDescent="0.25">
      <c r="A516" s="99"/>
      <c r="B516" s="99"/>
      <c r="C516" s="99"/>
      <c r="D516" s="99"/>
      <c r="E516" s="101"/>
      <c r="F516" s="99"/>
      <c r="G516" s="99"/>
      <c r="H516" s="84"/>
    </row>
    <row r="517" spans="1:8" ht="15.75" x14ac:dyDescent="0.25">
      <c r="A517" s="99"/>
      <c r="B517" s="99"/>
      <c r="C517" s="99"/>
      <c r="D517" s="99"/>
      <c r="E517" s="101"/>
      <c r="F517" s="99"/>
      <c r="G517" s="99"/>
      <c r="H517" s="84"/>
    </row>
    <row r="518" spans="1:8" ht="15.75" x14ac:dyDescent="0.25">
      <c r="A518" s="99"/>
      <c r="B518" s="99"/>
      <c r="C518" s="99"/>
      <c r="D518" s="99"/>
      <c r="E518" s="101"/>
      <c r="F518" s="99"/>
      <c r="G518" s="99"/>
      <c r="H518" s="84"/>
    </row>
    <row r="519" spans="1:8" ht="15.75" x14ac:dyDescent="0.25">
      <c r="A519" s="99"/>
      <c r="B519" s="99"/>
      <c r="C519" s="99"/>
      <c r="D519" s="99"/>
      <c r="E519" s="101"/>
      <c r="F519" s="99"/>
      <c r="G519" s="99"/>
      <c r="H519" s="84"/>
    </row>
    <row r="520" spans="1:8" ht="15.75" x14ac:dyDescent="0.25">
      <c r="A520" s="99"/>
      <c r="B520" s="99"/>
      <c r="C520" s="99"/>
      <c r="D520" s="99"/>
      <c r="E520" s="101"/>
      <c r="F520" s="99"/>
      <c r="G520" s="99"/>
      <c r="H520" s="84"/>
    </row>
    <row r="521" spans="1:8" ht="15.75" x14ac:dyDescent="0.25">
      <c r="A521" s="99"/>
      <c r="B521" s="99"/>
      <c r="C521" s="99"/>
      <c r="D521" s="99"/>
      <c r="E521" s="101"/>
      <c r="F521" s="99"/>
      <c r="G521" s="99"/>
      <c r="H521" s="84"/>
    </row>
    <row r="522" spans="1:8" ht="15.75" x14ac:dyDescent="0.25">
      <c r="A522" s="99"/>
      <c r="B522" s="99"/>
      <c r="C522" s="99"/>
      <c r="D522" s="99"/>
      <c r="E522" s="101"/>
      <c r="F522" s="99"/>
      <c r="G522" s="99"/>
      <c r="H522" s="84"/>
    </row>
    <row r="523" spans="1:8" ht="15.75" x14ac:dyDescent="0.25">
      <c r="A523" s="99"/>
      <c r="B523" s="99"/>
      <c r="C523" s="99"/>
      <c r="D523" s="99"/>
      <c r="E523" s="101"/>
      <c r="F523" s="99"/>
      <c r="G523" s="99"/>
      <c r="H523" s="84"/>
    </row>
    <row r="524" spans="1:8" ht="15.75" x14ac:dyDescent="0.25">
      <c r="A524" s="99"/>
      <c r="B524" s="99"/>
      <c r="C524" s="99"/>
      <c r="D524" s="99"/>
      <c r="E524" s="101"/>
      <c r="F524" s="99"/>
      <c r="G524" s="99"/>
      <c r="H524" s="84"/>
    </row>
    <row r="525" spans="1:8" ht="15.75" x14ac:dyDescent="0.25">
      <c r="A525" s="99"/>
      <c r="B525" s="99"/>
      <c r="C525" s="99"/>
      <c r="D525" s="99"/>
      <c r="E525" s="101"/>
      <c r="F525" s="99"/>
      <c r="G525" s="99"/>
      <c r="H525" s="84"/>
    </row>
    <row r="526" spans="1:8" ht="15.75" x14ac:dyDescent="0.25">
      <c r="A526" s="99"/>
      <c r="B526" s="99"/>
      <c r="C526" s="99"/>
      <c r="D526" s="99"/>
      <c r="E526" s="101"/>
      <c r="F526" s="99"/>
      <c r="G526" s="99"/>
      <c r="H526" s="84"/>
    </row>
    <row r="527" spans="1:8" ht="15.75" x14ac:dyDescent="0.25">
      <c r="A527" s="99"/>
      <c r="B527" s="99"/>
      <c r="C527" s="99"/>
      <c r="D527" s="99"/>
      <c r="E527" s="101"/>
      <c r="F527" s="99"/>
      <c r="G527" s="99"/>
      <c r="H527" s="84"/>
    </row>
    <row r="528" spans="1:8" ht="15.75" x14ac:dyDescent="0.25">
      <c r="A528" s="99"/>
      <c r="B528" s="99"/>
      <c r="C528" s="99"/>
      <c r="D528" s="99"/>
      <c r="E528" s="101"/>
      <c r="F528" s="99"/>
      <c r="G528" s="99"/>
      <c r="H528" s="84"/>
    </row>
    <row r="529" spans="1:8" ht="15.75" x14ac:dyDescent="0.25">
      <c r="A529" s="99"/>
      <c r="B529" s="99"/>
      <c r="C529" s="99"/>
      <c r="D529" s="99"/>
      <c r="E529" s="101"/>
      <c r="F529" s="99"/>
      <c r="G529" s="99"/>
      <c r="H529" s="84"/>
    </row>
    <row r="530" spans="1:8" ht="15.75" x14ac:dyDescent="0.25">
      <c r="A530" s="99"/>
      <c r="B530" s="99"/>
      <c r="C530" s="99"/>
      <c r="D530" s="99"/>
      <c r="E530" s="101"/>
      <c r="F530" s="99"/>
      <c r="G530" s="99"/>
      <c r="H530" s="84"/>
    </row>
    <row r="531" spans="1:8" ht="15.75" x14ac:dyDescent="0.25">
      <c r="A531" s="99"/>
      <c r="B531" s="99"/>
      <c r="C531" s="99"/>
      <c r="D531" s="99"/>
      <c r="E531" s="101"/>
      <c r="F531" s="99"/>
      <c r="G531" s="99"/>
      <c r="H531" s="84"/>
    </row>
    <row r="532" spans="1:8" ht="15.75" x14ac:dyDescent="0.25">
      <c r="A532" s="99"/>
      <c r="B532" s="99"/>
      <c r="C532" s="99"/>
      <c r="D532" s="99"/>
      <c r="E532" s="101"/>
      <c r="F532" s="99"/>
      <c r="G532" s="99"/>
      <c r="H532" s="84"/>
    </row>
    <row r="533" spans="1:8" ht="15.75" x14ac:dyDescent="0.25">
      <c r="A533" s="99"/>
      <c r="B533" s="99"/>
      <c r="C533" s="99"/>
      <c r="D533" s="99"/>
      <c r="E533" s="101"/>
      <c r="F533" s="99"/>
      <c r="G533" s="99"/>
      <c r="H533" s="84"/>
    </row>
    <row r="534" spans="1:8" ht="15.75" x14ac:dyDescent="0.25">
      <c r="A534" s="99"/>
      <c r="B534" s="99"/>
      <c r="C534" s="99"/>
      <c r="D534" s="99"/>
      <c r="E534" s="101"/>
      <c r="F534" s="99"/>
      <c r="G534" s="99"/>
      <c r="H534" s="84"/>
    </row>
    <row r="535" spans="1:8" ht="15.75" x14ac:dyDescent="0.25">
      <c r="A535" s="99"/>
      <c r="B535" s="99"/>
      <c r="C535" s="99"/>
      <c r="D535" s="99"/>
      <c r="E535" s="101"/>
      <c r="F535" s="99"/>
      <c r="G535" s="99"/>
      <c r="H535" s="84"/>
    </row>
    <row r="536" spans="1:8" ht="15.75" x14ac:dyDescent="0.25">
      <c r="A536" s="99"/>
      <c r="B536" s="99"/>
      <c r="C536" s="99"/>
      <c r="D536" s="99"/>
      <c r="E536" s="101"/>
      <c r="F536" s="99"/>
      <c r="G536" s="99"/>
      <c r="H536" s="84"/>
    </row>
    <row r="537" spans="1:8" ht="15.75" x14ac:dyDescent="0.25">
      <c r="A537" s="99"/>
      <c r="B537" s="99"/>
      <c r="C537" s="99"/>
      <c r="D537" s="99"/>
      <c r="E537" s="101"/>
      <c r="F537" s="99"/>
      <c r="G537" s="99"/>
      <c r="H537" s="84"/>
    </row>
    <row r="538" spans="1:8" ht="15.75" x14ac:dyDescent="0.25">
      <c r="A538" s="99"/>
      <c r="B538" s="99"/>
      <c r="C538" s="99"/>
      <c r="D538" s="99"/>
      <c r="E538" s="101"/>
      <c r="F538" s="99"/>
      <c r="G538" s="99"/>
      <c r="H538" s="84"/>
    </row>
    <row r="539" spans="1:8" ht="15.75" x14ac:dyDescent="0.25">
      <c r="A539" s="99"/>
      <c r="B539" s="99"/>
      <c r="C539" s="99"/>
      <c r="D539" s="99"/>
      <c r="E539" s="101"/>
      <c r="F539" s="99"/>
      <c r="G539" s="99"/>
      <c r="H539" s="84"/>
    </row>
    <row r="540" spans="1:8" ht="15.75" x14ac:dyDescent="0.25">
      <c r="A540" s="99"/>
      <c r="B540" s="99"/>
      <c r="C540" s="99"/>
      <c r="D540" s="99"/>
      <c r="E540" s="101"/>
      <c r="F540" s="99"/>
      <c r="G540" s="99"/>
      <c r="H540" s="84"/>
    </row>
    <row r="541" spans="1:8" ht="15.75" x14ac:dyDescent="0.25">
      <c r="A541" s="99"/>
      <c r="B541" s="99"/>
      <c r="C541" s="99"/>
      <c r="D541" s="99"/>
      <c r="E541" s="101"/>
      <c r="F541" s="99"/>
      <c r="G541" s="99"/>
      <c r="H541" s="84"/>
    </row>
    <row r="542" spans="1:8" ht="15.75" x14ac:dyDescent="0.25">
      <c r="A542" s="99"/>
      <c r="B542" s="99"/>
      <c r="C542" s="99"/>
      <c r="D542" s="99"/>
      <c r="E542" s="101"/>
      <c r="F542" s="99"/>
      <c r="G542" s="99"/>
      <c r="H542" s="84"/>
    </row>
    <row r="543" spans="1:8" ht="15.75" x14ac:dyDescent="0.25">
      <c r="A543" s="99"/>
      <c r="B543" s="99"/>
      <c r="C543" s="99"/>
      <c r="D543" s="99"/>
      <c r="E543" s="101"/>
      <c r="F543" s="99"/>
      <c r="G543" s="102"/>
      <c r="H543" s="84"/>
    </row>
    <row r="544" spans="1:8" ht="15.75" x14ac:dyDescent="0.25">
      <c r="A544" s="99"/>
      <c r="B544" s="99"/>
      <c r="C544" s="99"/>
      <c r="D544" s="99"/>
      <c r="E544" s="101"/>
      <c r="F544" s="99"/>
      <c r="G544" s="102"/>
      <c r="H544" s="84"/>
    </row>
    <row r="545" spans="1:8" ht="15.75" x14ac:dyDescent="0.25">
      <c r="A545" s="99"/>
      <c r="B545" s="99"/>
      <c r="C545" s="99"/>
      <c r="D545" s="99"/>
      <c r="E545" s="101"/>
      <c r="F545" s="99"/>
      <c r="G545" s="102"/>
      <c r="H545" s="84"/>
    </row>
    <row r="546" spans="1:8" ht="15.75" x14ac:dyDescent="0.25">
      <c r="A546" s="99"/>
      <c r="B546" s="99"/>
      <c r="C546" s="99"/>
      <c r="D546" s="99"/>
      <c r="E546" s="101"/>
      <c r="F546" s="99"/>
      <c r="G546" s="102"/>
      <c r="H546" s="84"/>
    </row>
    <row r="547" spans="1:8" ht="15.75" x14ac:dyDescent="0.25">
      <c r="A547" s="99"/>
      <c r="B547" s="99"/>
      <c r="C547" s="99"/>
      <c r="D547" s="99"/>
      <c r="E547" s="101"/>
      <c r="F547" s="99"/>
      <c r="G547" s="102"/>
      <c r="H547" s="84"/>
    </row>
    <row r="548" spans="1:8" ht="15.75" x14ac:dyDescent="0.25">
      <c r="A548" s="99"/>
      <c r="B548" s="99"/>
      <c r="C548" s="99"/>
      <c r="D548" s="99"/>
      <c r="E548" s="101"/>
      <c r="F548" s="99"/>
      <c r="G548" s="102"/>
      <c r="H548" s="84"/>
    </row>
    <row r="549" spans="1:8" ht="15.75" x14ac:dyDescent="0.25">
      <c r="A549" s="99"/>
      <c r="B549" s="99"/>
      <c r="C549" s="99"/>
      <c r="D549" s="99"/>
      <c r="E549" s="101"/>
      <c r="F549" s="99"/>
      <c r="G549" s="102"/>
      <c r="H549" s="84"/>
    </row>
    <row r="550" spans="1:8" ht="15.75" x14ac:dyDescent="0.25">
      <c r="A550" s="99"/>
      <c r="B550" s="99"/>
      <c r="C550" s="99"/>
      <c r="D550" s="99"/>
      <c r="E550" s="101"/>
      <c r="F550" s="99"/>
      <c r="G550" s="102"/>
      <c r="H550" s="84"/>
    </row>
    <row r="551" spans="1:8" ht="15.75" x14ac:dyDescent="0.25">
      <c r="A551" s="99"/>
      <c r="B551" s="99"/>
      <c r="C551" s="99"/>
      <c r="D551" s="99"/>
      <c r="E551" s="101"/>
      <c r="F551" s="99"/>
      <c r="G551" s="102"/>
      <c r="H551" s="84"/>
    </row>
    <row r="552" spans="1:8" ht="15.75" x14ac:dyDescent="0.25">
      <c r="A552" s="99"/>
      <c r="B552" s="99"/>
      <c r="C552" s="99"/>
      <c r="D552" s="99"/>
      <c r="E552" s="101"/>
      <c r="F552" s="99"/>
      <c r="G552" s="102"/>
      <c r="H552" s="84"/>
    </row>
    <row r="553" spans="1:8" ht="15.75" x14ac:dyDescent="0.25">
      <c r="A553" s="99"/>
      <c r="B553" s="99"/>
      <c r="C553" s="99"/>
      <c r="D553" s="99"/>
      <c r="E553" s="101"/>
      <c r="F553" s="99"/>
      <c r="G553" s="102"/>
      <c r="H553" s="84"/>
    </row>
    <row r="554" spans="1:8" ht="15.75" x14ac:dyDescent="0.25">
      <c r="A554" s="99"/>
      <c r="B554" s="99"/>
      <c r="C554" s="99"/>
      <c r="D554" s="99"/>
      <c r="E554" s="101"/>
      <c r="F554" s="99"/>
      <c r="G554" s="102"/>
      <c r="H554" s="84"/>
    </row>
    <row r="555" spans="1:8" ht="15.75" x14ac:dyDescent="0.25">
      <c r="A555" s="99"/>
      <c r="B555" s="99"/>
      <c r="C555" s="99"/>
      <c r="D555" s="99"/>
      <c r="E555" s="101"/>
      <c r="F555" s="99"/>
      <c r="G555" s="102"/>
      <c r="H555" s="84"/>
    </row>
    <row r="556" spans="1:8" ht="15.75" x14ac:dyDescent="0.25">
      <c r="A556" s="99"/>
      <c r="B556" s="99"/>
      <c r="C556" s="99"/>
      <c r="D556" s="99"/>
      <c r="E556" s="101"/>
      <c r="F556" s="99"/>
      <c r="G556" s="102"/>
      <c r="H556" s="84"/>
    </row>
    <row r="557" spans="1:8" ht="15.75" x14ac:dyDescent="0.25">
      <c r="A557" s="99"/>
      <c r="B557" s="99"/>
      <c r="C557" s="99"/>
      <c r="D557" s="99"/>
      <c r="E557" s="101"/>
      <c r="F557" s="99"/>
      <c r="G557" s="102"/>
      <c r="H557" s="84"/>
    </row>
    <row r="558" spans="1:8" ht="15.75" x14ac:dyDescent="0.25">
      <c r="A558" s="99"/>
      <c r="B558" s="99"/>
      <c r="C558" s="99"/>
      <c r="D558" s="99"/>
      <c r="E558" s="101"/>
      <c r="F558" s="99"/>
      <c r="G558" s="102"/>
      <c r="H558" s="84"/>
    </row>
    <row r="559" spans="1:8" ht="15.75" x14ac:dyDescent="0.25">
      <c r="A559" s="99"/>
      <c r="B559" s="99"/>
      <c r="C559" s="99"/>
      <c r="D559" s="99"/>
      <c r="E559" s="101"/>
      <c r="F559" s="99"/>
      <c r="G559" s="102"/>
      <c r="H559" s="84"/>
    </row>
    <row r="560" spans="1:8" ht="15.75" x14ac:dyDescent="0.25">
      <c r="A560" s="99"/>
      <c r="B560" s="99"/>
      <c r="C560" s="99"/>
      <c r="D560" s="99"/>
      <c r="E560" s="101"/>
      <c r="F560" s="99"/>
      <c r="G560" s="102"/>
      <c r="H560" s="84"/>
    </row>
    <row r="561" spans="1:8" ht="15.75" x14ac:dyDescent="0.25">
      <c r="A561" s="99"/>
      <c r="B561" s="99"/>
      <c r="C561" s="99"/>
      <c r="D561" s="99"/>
      <c r="E561" s="101"/>
      <c r="F561" s="99"/>
      <c r="G561" s="102"/>
      <c r="H561" s="84"/>
    </row>
    <row r="562" spans="1:8" ht="15.75" x14ac:dyDescent="0.25">
      <c r="A562" s="99"/>
      <c r="B562" s="99"/>
      <c r="C562" s="99"/>
      <c r="D562" s="99"/>
      <c r="E562" s="101"/>
      <c r="F562" s="99"/>
      <c r="G562" s="102"/>
      <c r="H562" s="84"/>
    </row>
    <row r="563" spans="1:8" ht="15.75" x14ac:dyDescent="0.25">
      <c r="A563" s="99"/>
      <c r="B563" s="99"/>
      <c r="C563" s="99"/>
      <c r="D563" s="99"/>
      <c r="E563" s="101"/>
      <c r="F563" s="99"/>
      <c r="G563" s="102"/>
      <c r="H563" s="84"/>
    </row>
    <row r="564" spans="1:8" ht="15.75" x14ac:dyDescent="0.25">
      <c r="A564" s="99"/>
      <c r="B564" s="99"/>
      <c r="C564" s="99"/>
      <c r="D564" s="99"/>
      <c r="E564" s="101"/>
      <c r="F564" s="99"/>
      <c r="G564" s="102"/>
      <c r="H564" s="84"/>
    </row>
    <row r="565" spans="1:8" ht="15.75" x14ac:dyDescent="0.25">
      <c r="A565" s="99"/>
      <c r="B565" s="99"/>
      <c r="C565" s="99"/>
      <c r="D565" s="99"/>
      <c r="E565" s="101"/>
      <c r="F565" s="99"/>
      <c r="G565" s="102"/>
      <c r="H565" s="84"/>
    </row>
    <row r="566" spans="1:8" ht="15.75" x14ac:dyDescent="0.25">
      <c r="A566" s="99"/>
      <c r="B566" s="99"/>
      <c r="C566" s="99"/>
      <c r="D566" s="99"/>
      <c r="E566" s="101"/>
      <c r="F566" s="99"/>
      <c r="G566" s="102"/>
      <c r="H566" s="84"/>
    </row>
    <row r="567" spans="1:8" ht="15.75" x14ac:dyDescent="0.25">
      <c r="A567" s="99"/>
      <c r="B567" s="99"/>
      <c r="C567" s="99"/>
      <c r="D567" s="99"/>
      <c r="E567" s="101"/>
      <c r="F567" s="99"/>
      <c r="G567" s="102"/>
      <c r="H567" s="84"/>
    </row>
    <row r="568" spans="1:8" ht="15.75" x14ac:dyDescent="0.25">
      <c r="A568" s="99"/>
      <c r="B568" s="99"/>
      <c r="C568" s="99"/>
      <c r="D568" s="99"/>
      <c r="E568" s="101"/>
      <c r="F568" s="99"/>
      <c r="G568" s="102"/>
      <c r="H568" s="84"/>
    </row>
    <row r="569" spans="1:8" ht="15.75" x14ac:dyDescent="0.25">
      <c r="A569" s="99"/>
      <c r="B569" s="99"/>
      <c r="C569" s="99"/>
      <c r="D569" s="99"/>
      <c r="E569" s="101"/>
      <c r="F569" s="99"/>
      <c r="G569" s="102"/>
      <c r="H569" s="84"/>
    </row>
    <row r="570" spans="1:8" ht="15.75" x14ac:dyDescent="0.25">
      <c r="A570" s="99"/>
      <c r="B570" s="99"/>
      <c r="C570" s="99"/>
      <c r="D570" s="99"/>
      <c r="E570" s="101"/>
      <c r="F570" s="99"/>
      <c r="G570" s="102"/>
      <c r="H570" s="84"/>
    </row>
    <row r="571" spans="1:8" ht="15.75" x14ac:dyDescent="0.25">
      <c r="A571" s="99"/>
      <c r="B571" s="99"/>
      <c r="C571" s="99"/>
      <c r="D571" s="99"/>
      <c r="E571" s="101"/>
      <c r="F571" s="99"/>
      <c r="G571" s="102"/>
      <c r="H571" s="84"/>
    </row>
    <row r="572" spans="1:8" ht="15.75" x14ac:dyDescent="0.25">
      <c r="A572" s="99"/>
      <c r="B572" s="99"/>
      <c r="C572" s="99"/>
      <c r="D572" s="99"/>
      <c r="E572" s="101"/>
      <c r="F572" s="99"/>
      <c r="G572" s="102"/>
      <c r="H572" s="84"/>
    </row>
    <row r="573" spans="1:8" ht="15.75" x14ac:dyDescent="0.25">
      <c r="A573" s="99"/>
      <c r="B573" s="99"/>
      <c r="C573" s="99"/>
      <c r="D573" s="99"/>
      <c r="E573" s="101"/>
      <c r="F573" s="99"/>
      <c r="G573" s="102"/>
      <c r="H573" s="84"/>
    </row>
    <row r="574" spans="1:8" ht="15.75" x14ac:dyDescent="0.25">
      <c r="A574" s="99"/>
      <c r="B574" s="99"/>
      <c r="C574" s="99"/>
      <c r="D574" s="99"/>
      <c r="E574" s="101"/>
      <c r="F574" s="99"/>
      <c r="G574" s="102"/>
      <c r="H574" s="84"/>
    </row>
    <row r="575" spans="1:8" ht="15.75" x14ac:dyDescent="0.25">
      <c r="A575" s="99"/>
      <c r="B575" s="99"/>
      <c r="C575" s="99"/>
      <c r="D575" s="99"/>
      <c r="E575" s="101"/>
      <c r="F575" s="99"/>
      <c r="G575" s="102"/>
      <c r="H575" s="84"/>
    </row>
    <row r="576" spans="1:8" ht="15.75" x14ac:dyDescent="0.25">
      <c r="A576" s="99"/>
      <c r="B576" s="99"/>
      <c r="C576" s="99"/>
      <c r="D576" s="99"/>
      <c r="E576" s="101"/>
      <c r="F576" s="99"/>
      <c r="G576" s="102"/>
      <c r="H576" s="84"/>
    </row>
    <row r="577" spans="1:8" ht="15.75" x14ac:dyDescent="0.25">
      <c r="A577" s="99"/>
      <c r="B577" s="99"/>
      <c r="C577" s="99"/>
      <c r="D577" s="99"/>
      <c r="E577" s="101"/>
      <c r="F577" s="99"/>
      <c r="G577" s="102"/>
      <c r="H577" s="84"/>
    </row>
    <row r="578" spans="1:8" ht="15.75" x14ac:dyDescent="0.25">
      <c r="A578" s="99"/>
      <c r="B578" s="99"/>
      <c r="C578" s="99"/>
      <c r="D578" s="99"/>
      <c r="E578" s="101"/>
      <c r="F578" s="99"/>
      <c r="G578" s="102"/>
      <c r="H578" s="84"/>
    </row>
    <row r="579" spans="1:8" ht="15.75" x14ac:dyDescent="0.25">
      <c r="A579" s="99"/>
      <c r="B579" s="99"/>
      <c r="C579" s="99"/>
      <c r="D579" s="99"/>
      <c r="E579" s="101"/>
      <c r="F579" s="99"/>
      <c r="G579" s="102"/>
      <c r="H579" s="84"/>
    </row>
    <row r="580" spans="1:8" ht="15.75" x14ac:dyDescent="0.25">
      <c r="A580" s="99"/>
      <c r="B580" s="99"/>
      <c r="C580" s="99"/>
      <c r="D580" s="99"/>
      <c r="E580" s="101"/>
      <c r="F580" s="99"/>
      <c r="G580" s="102"/>
      <c r="H580" s="84"/>
    </row>
    <row r="581" spans="1:8" ht="15.75" x14ac:dyDescent="0.25">
      <c r="A581" s="99"/>
      <c r="B581" s="99"/>
      <c r="C581" s="99"/>
      <c r="D581" s="99"/>
      <c r="E581" s="101"/>
      <c r="F581" s="99"/>
      <c r="G581" s="102"/>
      <c r="H581" s="84"/>
    </row>
    <row r="582" spans="1:8" ht="15.75" x14ac:dyDescent="0.25">
      <c r="A582" s="99"/>
      <c r="B582" s="99"/>
      <c r="C582" s="99"/>
      <c r="D582" s="99"/>
      <c r="E582" s="101"/>
      <c r="F582" s="99"/>
      <c r="G582" s="102"/>
      <c r="H582" s="84"/>
    </row>
    <row r="583" spans="1:8" ht="15.75" x14ac:dyDescent="0.25">
      <c r="A583" s="99"/>
      <c r="B583" s="99"/>
      <c r="C583" s="99"/>
      <c r="D583" s="99"/>
      <c r="E583" s="101"/>
      <c r="F583" s="99"/>
      <c r="G583" s="102"/>
      <c r="H583" s="84"/>
    </row>
    <row r="584" spans="1:8" ht="15.75" x14ac:dyDescent="0.25">
      <c r="A584" s="99"/>
      <c r="B584" s="99"/>
      <c r="C584" s="99"/>
      <c r="D584" s="99"/>
      <c r="E584" s="101"/>
      <c r="F584" s="99"/>
      <c r="G584" s="102"/>
      <c r="H584" s="84"/>
    </row>
    <row r="585" spans="1:8" ht="15.75" x14ac:dyDescent="0.25">
      <c r="A585" s="99"/>
      <c r="B585" s="99"/>
      <c r="C585" s="99"/>
      <c r="D585" s="99"/>
      <c r="E585" s="101"/>
      <c r="F585" s="99"/>
      <c r="G585" s="102"/>
      <c r="H585" s="84"/>
    </row>
    <row r="586" spans="1:8" ht="15.75" x14ac:dyDescent="0.25">
      <c r="A586" s="99"/>
      <c r="B586" s="99"/>
      <c r="C586" s="99"/>
      <c r="D586" s="99"/>
      <c r="E586" s="101"/>
      <c r="F586" s="99"/>
      <c r="G586" s="102"/>
      <c r="H586" s="84"/>
    </row>
    <row r="587" spans="1:8" ht="15.75" x14ac:dyDescent="0.25">
      <c r="A587" s="99"/>
      <c r="B587" s="99"/>
      <c r="C587" s="99"/>
      <c r="D587" s="99"/>
      <c r="E587" s="101"/>
      <c r="F587" s="99"/>
      <c r="G587" s="102"/>
      <c r="H587" s="84"/>
    </row>
    <row r="588" spans="1:8" ht="15.75" x14ac:dyDescent="0.25">
      <c r="A588" s="99"/>
      <c r="B588" s="99"/>
      <c r="C588" s="99"/>
      <c r="D588" s="99"/>
      <c r="E588" s="101"/>
      <c r="F588" s="99"/>
      <c r="G588" s="102"/>
      <c r="H588" s="84"/>
    </row>
    <row r="589" spans="1:8" ht="15.75" x14ac:dyDescent="0.25">
      <c r="A589" s="99"/>
      <c r="B589" s="99"/>
      <c r="C589" s="99"/>
      <c r="D589" s="99"/>
      <c r="E589" s="101"/>
      <c r="F589" s="99"/>
      <c r="G589" s="102"/>
      <c r="H589" s="84"/>
    </row>
    <row r="590" spans="1:8" ht="15.75" x14ac:dyDescent="0.25">
      <c r="A590" s="99"/>
      <c r="B590" s="99"/>
      <c r="C590" s="99"/>
      <c r="D590" s="99"/>
      <c r="E590" s="101"/>
      <c r="F590" s="99"/>
      <c r="G590" s="102"/>
      <c r="H590" s="84"/>
    </row>
    <row r="591" spans="1:8" ht="15.75" x14ac:dyDescent="0.25">
      <c r="A591" s="99"/>
      <c r="B591" s="99"/>
      <c r="C591" s="99"/>
      <c r="D591" s="99"/>
      <c r="E591" s="101"/>
      <c r="F591" s="99"/>
      <c r="G591" s="102"/>
      <c r="H591" s="84"/>
    </row>
    <row r="592" spans="1:8" ht="15.75" x14ac:dyDescent="0.25">
      <c r="A592" s="99"/>
      <c r="B592" s="99"/>
      <c r="C592" s="99"/>
      <c r="D592" s="99"/>
      <c r="E592" s="101"/>
      <c r="F592" s="99"/>
      <c r="G592" s="102"/>
      <c r="H592" s="84"/>
    </row>
    <row r="593" spans="1:8" ht="15.75" x14ac:dyDescent="0.25">
      <c r="A593" s="99"/>
      <c r="B593" s="99"/>
      <c r="C593" s="99"/>
      <c r="D593" s="99"/>
      <c r="E593" s="101"/>
      <c r="F593" s="99"/>
      <c r="G593" s="102"/>
      <c r="H593" s="84"/>
    </row>
    <row r="594" spans="1:8" ht="15.75" x14ac:dyDescent="0.25">
      <c r="A594" s="99"/>
      <c r="B594" s="99"/>
      <c r="C594" s="99"/>
      <c r="D594" s="99"/>
      <c r="E594" s="101"/>
      <c r="F594" s="99"/>
      <c r="G594" s="102"/>
      <c r="H594" s="84"/>
    </row>
    <row r="595" spans="1:8" ht="15.75" x14ac:dyDescent="0.25">
      <c r="A595" s="99"/>
      <c r="B595" s="99"/>
      <c r="C595" s="99"/>
      <c r="D595" s="99"/>
      <c r="E595" s="101"/>
      <c r="F595" s="99"/>
      <c r="G595" s="102"/>
      <c r="H595" s="84"/>
    </row>
    <row r="596" spans="1:8" ht="15.75" x14ac:dyDescent="0.25">
      <c r="A596" s="99"/>
      <c r="B596" s="99"/>
      <c r="C596" s="99"/>
      <c r="D596" s="99"/>
      <c r="E596" s="101"/>
      <c r="F596" s="99"/>
      <c r="G596" s="102"/>
      <c r="H596" s="84"/>
    </row>
    <row r="597" spans="1:8" ht="15.75" x14ac:dyDescent="0.25">
      <c r="A597" s="99"/>
      <c r="B597" s="99"/>
      <c r="C597" s="99"/>
      <c r="D597" s="99"/>
      <c r="E597" s="101"/>
      <c r="F597" s="99"/>
      <c r="G597" s="102"/>
      <c r="H597" s="84"/>
    </row>
    <row r="598" spans="1:8" ht="15.75" x14ac:dyDescent="0.25">
      <c r="A598" s="99"/>
      <c r="B598" s="99"/>
      <c r="C598" s="99"/>
      <c r="D598" s="99"/>
      <c r="E598" s="101"/>
      <c r="F598" s="99"/>
      <c r="G598" s="102"/>
      <c r="H598" s="84"/>
    </row>
    <row r="599" spans="1:8" ht="15.75" x14ac:dyDescent="0.25">
      <c r="A599" s="99"/>
      <c r="B599" s="99"/>
      <c r="C599" s="99"/>
      <c r="D599" s="99"/>
      <c r="E599" s="101"/>
      <c r="F599" s="99"/>
      <c r="G599" s="102"/>
      <c r="H599" s="84"/>
    </row>
    <row r="600" spans="1:8" ht="15.75" x14ac:dyDescent="0.25">
      <c r="A600" s="99"/>
      <c r="B600" s="99"/>
      <c r="C600" s="99"/>
      <c r="D600" s="99"/>
      <c r="E600" s="101"/>
      <c r="F600" s="99"/>
      <c r="G600" s="102"/>
      <c r="H600" s="84"/>
    </row>
    <row r="601" spans="1:8" ht="15.75" x14ac:dyDescent="0.25">
      <c r="A601" s="99"/>
      <c r="B601" s="99"/>
      <c r="C601" s="99"/>
      <c r="D601" s="99"/>
      <c r="E601" s="101"/>
      <c r="F601" s="99"/>
      <c r="G601" s="102"/>
      <c r="H601" s="84"/>
    </row>
    <row r="602" spans="1:8" ht="15.75" x14ac:dyDescent="0.25">
      <c r="A602" s="99"/>
      <c r="B602" s="99"/>
      <c r="C602" s="99"/>
      <c r="D602" s="99"/>
      <c r="E602" s="101"/>
      <c r="F602" s="99"/>
      <c r="G602" s="102"/>
      <c r="H602" s="84"/>
    </row>
    <row r="603" spans="1:8" ht="15.75" x14ac:dyDescent="0.25">
      <c r="A603" s="99"/>
      <c r="B603" s="99"/>
      <c r="C603" s="99"/>
      <c r="D603" s="99"/>
      <c r="E603" s="101"/>
      <c r="F603" s="99"/>
      <c r="G603" s="102"/>
      <c r="H603" s="84"/>
    </row>
    <row r="604" spans="1:8" ht="15.75" x14ac:dyDescent="0.25">
      <c r="A604" s="99"/>
      <c r="B604" s="99"/>
      <c r="C604" s="99"/>
      <c r="D604" s="99"/>
      <c r="E604" s="101"/>
      <c r="F604" s="99"/>
      <c r="G604" s="102"/>
      <c r="H604" s="84"/>
    </row>
    <row r="605" spans="1:8" ht="15.75" x14ac:dyDescent="0.25">
      <c r="A605" s="99"/>
      <c r="B605" s="99"/>
      <c r="C605" s="99"/>
      <c r="D605" s="99"/>
      <c r="E605" s="101"/>
      <c r="F605" s="99"/>
      <c r="G605" s="102"/>
      <c r="H605" s="84"/>
    </row>
    <row r="606" spans="1:8" ht="15.75" x14ac:dyDescent="0.25">
      <c r="A606" s="99"/>
      <c r="B606" s="99"/>
      <c r="C606" s="99"/>
      <c r="D606" s="99"/>
      <c r="E606" s="101"/>
      <c r="F606" s="99"/>
      <c r="G606" s="102"/>
      <c r="H606" s="84"/>
    </row>
    <row r="607" spans="1:8" ht="15.75" x14ac:dyDescent="0.25">
      <c r="A607" s="99"/>
      <c r="B607" s="99"/>
      <c r="C607" s="99"/>
      <c r="D607" s="99"/>
      <c r="E607" s="101"/>
      <c r="F607" s="99"/>
      <c r="G607" s="102"/>
      <c r="H607" s="84"/>
    </row>
    <row r="608" spans="1:8" ht="15.75" x14ac:dyDescent="0.25">
      <c r="A608" s="99"/>
      <c r="B608" s="99"/>
      <c r="C608" s="99"/>
      <c r="D608" s="99"/>
      <c r="E608" s="101"/>
      <c r="F608" s="99"/>
      <c r="G608" s="102"/>
      <c r="H608" s="84"/>
    </row>
    <row r="609" spans="1:8" ht="15.75" x14ac:dyDescent="0.25">
      <c r="A609" s="99"/>
      <c r="B609" s="99"/>
      <c r="C609" s="99"/>
      <c r="D609" s="99"/>
      <c r="E609" s="101"/>
      <c r="F609" s="99"/>
      <c r="G609" s="102"/>
      <c r="H609" s="84"/>
    </row>
    <row r="610" spans="1:8" ht="15.75" x14ac:dyDescent="0.25">
      <c r="A610" s="99"/>
      <c r="B610" s="99"/>
      <c r="C610" s="99"/>
      <c r="D610" s="99"/>
      <c r="E610" s="101"/>
      <c r="F610" s="99"/>
      <c r="G610" s="102"/>
      <c r="H610" s="84"/>
    </row>
    <row r="611" spans="1:8" ht="15.75" x14ac:dyDescent="0.25">
      <c r="A611" s="99"/>
      <c r="B611" s="99"/>
      <c r="C611" s="99"/>
      <c r="D611" s="99"/>
      <c r="E611" s="101"/>
      <c r="F611" s="99"/>
      <c r="G611" s="102"/>
      <c r="H611" s="84"/>
    </row>
    <row r="612" spans="1:8" ht="15.75" x14ac:dyDescent="0.25">
      <c r="A612" s="99"/>
      <c r="B612" s="99"/>
      <c r="C612" s="99"/>
      <c r="D612" s="99"/>
      <c r="E612" s="101"/>
      <c r="F612" s="99"/>
      <c r="G612" s="102"/>
      <c r="H612" s="84"/>
    </row>
    <row r="613" spans="1:8" ht="15.75" x14ac:dyDescent="0.25">
      <c r="A613" s="99"/>
      <c r="B613" s="99"/>
      <c r="C613" s="99"/>
      <c r="D613" s="99"/>
      <c r="E613" s="101"/>
      <c r="F613" s="99"/>
      <c r="G613" s="102"/>
      <c r="H613" s="84"/>
    </row>
    <row r="614" spans="1:8" ht="15.75" x14ac:dyDescent="0.25">
      <c r="A614" s="99"/>
      <c r="B614" s="99"/>
      <c r="C614" s="99"/>
      <c r="D614" s="99"/>
      <c r="E614" s="101"/>
      <c r="F614" s="99"/>
      <c r="G614" s="102"/>
      <c r="H614" s="84"/>
    </row>
    <row r="615" spans="1:8" ht="15.75" x14ac:dyDescent="0.25">
      <c r="A615" s="99"/>
      <c r="B615" s="99"/>
      <c r="C615" s="99"/>
      <c r="D615" s="99"/>
      <c r="E615" s="101"/>
      <c r="F615" s="99"/>
      <c r="G615" s="102"/>
      <c r="H615" s="84"/>
    </row>
    <row r="616" spans="1:8" ht="15.75" x14ac:dyDescent="0.25">
      <c r="A616" s="99"/>
      <c r="B616" s="99"/>
      <c r="C616" s="99"/>
      <c r="D616" s="99"/>
      <c r="E616" s="101"/>
      <c r="F616" s="99"/>
      <c r="G616" s="102"/>
      <c r="H616" s="84"/>
    </row>
    <row r="617" spans="1:8" ht="15.75" x14ac:dyDescent="0.25">
      <c r="A617" s="99"/>
      <c r="B617" s="99"/>
      <c r="C617" s="99"/>
      <c r="D617" s="99"/>
      <c r="E617" s="101"/>
      <c r="F617" s="99"/>
      <c r="G617" s="102"/>
      <c r="H617" s="84"/>
    </row>
    <row r="618" spans="1:8" ht="15.75" x14ac:dyDescent="0.25">
      <c r="A618" s="99"/>
      <c r="B618" s="99"/>
      <c r="C618" s="99"/>
      <c r="D618" s="99"/>
      <c r="E618" s="101"/>
      <c r="F618" s="99"/>
      <c r="G618" s="102"/>
      <c r="H618" s="84"/>
    </row>
    <row r="619" spans="1:8" ht="15.75" x14ac:dyDescent="0.25">
      <c r="A619" s="99"/>
      <c r="B619" s="99"/>
      <c r="C619" s="99"/>
      <c r="D619" s="99"/>
      <c r="E619" s="101"/>
      <c r="F619" s="99"/>
      <c r="G619" s="102"/>
      <c r="H619" s="84"/>
    </row>
    <row r="620" spans="1:8" ht="15.75" x14ac:dyDescent="0.25">
      <c r="A620" s="99"/>
      <c r="B620" s="99"/>
      <c r="C620" s="99"/>
      <c r="D620" s="99"/>
      <c r="E620" s="101"/>
      <c r="F620" s="99"/>
      <c r="G620" s="102"/>
      <c r="H620" s="84"/>
    </row>
    <row r="621" spans="1:8" ht="15.75" x14ac:dyDescent="0.25">
      <c r="A621" s="99"/>
      <c r="B621" s="99"/>
      <c r="C621" s="99"/>
      <c r="D621" s="99"/>
      <c r="E621" s="101"/>
      <c r="F621" s="99"/>
      <c r="G621" s="102"/>
      <c r="H621" s="84"/>
    </row>
    <row r="622" spans="1:8" ht="15.75" x14ac:dyDescent="0.25">
      <c r="A622" s="99"/>
      <c r="B622" s="99"/>
      <c r="C622" s="99"/>
      <c r="D622" s="99"/>
      <c r="E622" s="101"/>
      <c r="F622" s="99"/>
      <c r="G622" s="102"/>
      <c r="H622" s="84"/>
    </row>
    <row r="623" spans="1:8" ht="15.75" x14ac:dyDescent="0.25">
      <c r="A623" s="99"/>
      <c r="B623" s="99"/>
      <c r="C623" s="99"/>
      <c r="D623" s="99"/>
      <c r="E623" s="101"/>
      <c r="F623" s="99"/>
      <c r="G623" s="102"/>
      <c r="H623" s="84"/>
    </row>
    <row r="624" spans="1:8" ht="15.75" x14ac:dyDescent="0.25">
      <c r="A624" s="99"/>
      <c r="B624" s="99"/>
      <c r="C624" s="99"/>
      <c r="D624" s="99"/>
      <c r="E624" s="101"/>
      <c r="F624" s="99"/>
      <c r="G624" s="102"/>
      <c r="H624" s="84"/>
    </row>
    <row r="625" spans="1:8" ht="15.75" x14ac:dyDescent="0.25">
      <c r="A625" s="99"/>
      <c r="B625" s="99"/>
      <c r="C625" s="99"/>
      <c r="D625" s="99"/>
      <c r="E625" s="101"/>
      <c r="F625" s="99"/>
      <c r="G625" s="102"/>
      <c r="H625" s="84"/>
    </row>
    <row r="626" spans="1:8" ht="15.75" x14ac:dyDescent="0.25">
      <c r="A626" s="99"/>
      <c r="B626" s="99"/>
      <c r="C626" s="99"/>
      <c r="D626" s="99"/>
      <c r="E626" s="101"/>
      <c r="F626" s="99"/>
      <c r="G626" s="102"/>
      <c r="H626" s="84"/>
    </row>
    <row r="627" spans="1:8" ht="15.75" x14ac:dyDescent="0.25">
      <c r="A627" s="99"/>
      <c r="B627" s="99"/>
      <c r="C627" s="99"/>
      <c r="D627" s="99"/>
      <c r="E627" s="101"/>
      <c r="F627" s="99"/>
      <c r="G627" s="102"/>
      <c r="H627" s="84"/>
    </row>
    <row r="628" spans="1:8" ht="15.75" x14ac:dyDescent="0.25">
      <c r="A628" s="99"/>
      <c r="B628" s="99"/>
      <c r="C628" s="99"/>
      <c r="D628" s="99"/>
      <c r="E628" s="101"/>
      <c r="F628" s="99"/>
      <c r="G628" s="102"/>
      <c r="H628" s="84"/>
    </row>
    <row r="629" spans="1:8" ht="15.75" x14ac:dyDescent="0.25">
      <c r="A629" s="99"/>
      <c r="B629" s="99"/>
      <c r="C629" s="99"/>
      <c r="D629" s="99"/>
      <c r="E629" s="101"/>
      <c r="F629" s="99"/>
      <c r="G629" s="102"/>
      <c r="H629" s="84"/>
    </row>
    <row r="630" spans="1:8" ht="15.75" x14ac:dyDescent="0.25">
      <c r="A630" s="99"/>
      <c r="B630" s="99"/>
      <c r="C630" s="99"/>
      <c r="D630" s="99"/>
      <c r="E630" s="101"/>
      <c r="F630" s="99"/>
      <c r="G630" s="102"/>
      <c r="H630" s="84"/>
    </row>
    <row r="631" spans="1:8" ht="15.75" x14ac:dyDescent="0.25">
      <c r="A631" s="99"/>
      <c r="B631" s="99"/>
      <c r="C631" s="99"/>
      <c r="D631" s="99"/>
      <c r="E631" s="101"/>
      <c r="F631" s="99"/>
      <c r="G631" s="102"/>
      <c r="H631" s="84"/>
    </row>
    <row r="632" spans="1:8" ht="15.75" x14ac:dyDescent="0.25">
      <c r="A632" s="99"/>
      <c r="B632" s="99"/>
      <c r="C632" s="99"/>
      <c r="D632" s="99"/>
      <c r="E632" s="101"/>
      <c r="F632" s="99"/>
      <c r="G632" s="102"/>
      <c r="H632" s="84"/>
    </row>
    <row r="633" spans="1:8" ht="15.75" x14ac:dyDescent="0.25">
      <c r="A633" s="99"/>
      <c r="B633" s="99"/>
      <c r="C633" s="99"/>
      <c r="D633" s="99"/>
      <c r="E633" s="101"/>
      <c r="F633" s="99"/>
      <c r="G633" s="102"/>
      <c r="H633" s="84"/>
    </row>
    <row r="634" spans="1:8" ht="15.75" x14ac:dyDescent="0.25">
      <c r="A634" s="99"/>
      <c r="B634" s="99"/>
      <c r="C634" s="99"/>
      <c r="D634" s="99"/>
      <c r="E634" s="101"/>
      <c r="F634" s="99"/>
      <c r="G634" s="102"/>
      <c r="H634" s="84"/>
    </row>
    <row r="635" spans="1:8" ht="15.75" x14ac:dyDescent="0.25">
      <c r="A635" s="99"/>
      <c r="B635" s="99"/>
      <c r="C635" s="99"/>
      <c r="D635" s="99"/>
      <c r="E635" s="101"/>
      <c r="F635" s="99"/>
      <c r="G635" s="102"/>
      <c r="H635" s="84"/>
    </row>
    <row r="636" spans="1:8" ht="15.75" x14ac:dyDescent="0.25">
      <c r="A636" s="99"/>
      <c r="B636" s="99"/>
      <c r="C636" s="99"/>
      <c r="D636" s="99"/>
      <c r="E636" s="101"/>
      <c r="F636" s="99"/>
      <c r="G636" s="102"/>
      <c r="H636" s="84"/>
    </row>
    <row r="637" spans="1:8" ht="15.75" x14ac:dyDescent="0.25">
      <c r="A637" s="99"/>
      <c r="B637" s="99"/>
      <c r="C637" s="99"/>
      <c r="D637" s="99"/>
      <c r="E637" s="101"/>
      <c r="F637" s="99"/>
      <c r="G637" s="102"/>
      <c r="H637" s="84"/>
    </row>
    <row r="638" spans="1:8" ht="15.75" x14ac:dyDescent="0.25">
      <c r="A638" s="99"/>
      <c r="B638" s="99"/>
      <c r="C638" s="99"/>
      <c r="D638" s="99"/>
      <c r="E638" s="101"/>
      <c r="F638" s="99"/>
      <c r="G638" s="102"/>
      <c r="H638" s="84"/>
    </row>
    <row r="639" spans="1:8" ht="15.75" x14ac:dyDescent="0.25">
      <c r="A639" s="99"/>
      <c r="B639" s="99"/>
      <c r="C639" s="99"/>
      <c r="D639" s="99"/>
      <c r="E639" s="101"/>
      <c r="F639" s="99"/>
      <c r="G639" s="102"/>
      <c r="H639" s="84"/>
    </row>
    <row r="640" spans="1:8" ht="15.75" x14ac:dyDescent="0.25">
      <c r="A640" s="99"/>
      <c r="B640" s="99"/>
      <c r="C640" s="99"/>
      <c r="D640" s="99"/>
      <c r="E640" s="101"/>
      <c r="F640" s="99"/>
      <c r="G640" s="102"/>
      <c r="H640" s="84"/>
    </row>
    <row r="641" spans="1:8" ht="15.75" x14ac:dyDescent="0.25">
      <c r="A641" s="99"/>
      <c r="B641" s="99"/>
      <c r="C641" s="99"/>
      <c r="D641" s="99"/>
      <c r="E641" s="101"/>
      <c r="F641" s="99"/>
      <c r="G641" s="102"/>
      <c r="H641" s="84"/>
    </row>
    <row r="642" spans="1:8" ht="15.75" x14ac:dyDescent="0.25">
      <c r="A642" s="99"/>
      <c r="B642" s="99"/>
      <c r="C642" s="99"/>
      <c r="D642" s="99"/>
      <c r="E642" s="101"/>
      <c r="F642" s="99"/>
      <c r="G642" s="102"/>
      <c r="H642" s="84"/>
    </row>
    <row r="643" spans="1:8" ht="15.75" x14ac:dyDescent="0.25">
      <c r="A643" s="99"/>
      <c r="B643" s="99"/>
      <c r="C643" s="99"/>
      <c r="D643" s="99"/>
      <c r="E643" s="101"/>
      <c r="F643" s="99"/>
      <c r="G643" s="102"/>
      <c r="H643" s="84"/>
    </row>
    <row r="644" spans="1:8" ht="15.75" x14ac:dyDescent="0.25">
      <c r="A644" s="99"/>
      <c r="B644" s="99"/>
      <c r="C644" s="99"/>
      <c r="D644" s="99"/>
      <c r="E644" s="101"/>
      <c r="F644" s="99"/>
      <c r="G644" s="102"/>
      <c r="H644" s="84"/>
    </row>
    <row r="645" spans="1:8" ht="15.75" x14ac:dyDescent="0.25">
      <c r="A645" s="99"/>
      <c r="B645" s="99"/>
      <c r="C645" s="99"/>
      <c r="D645" s="99"/>
      <c r="E645" s="101"/>
      <c r="F645" s="99"/>
      <c r="G645" s="102"/>
      <c r="H645" s="84"/>
    </row>
    <row r="646" spans="1:8" ht="15.75" x14ac:dyDescent="0.25">
      <c r="A646" s="99"/>
      <c r="B646" s="99"/>
      <c r="C646" s="99"/>
      <c r="D646" s="99"/>
      <c r="E646" s="101"/>
      <c r="F646" s="99"/>
      <c r="G646" s="102"/>
      <c r="H646" s="84"/>
    </row>
    <row r="647" spans="1:8" ht="15.75" x14ac:dyDescent="0.25">
      <c r="A647" s="99"/>
      <c r="B647" s="99"/>
      <c r="C647" s="99"/>
      <c r="D647" s="99"/>
      <c r="E647" s="101"/>
      <c r="F647" s="99"/>
      <c r="G647" s="102"/>
      <c r="H647" s="84"/>
    </row>
    <row r="648" spans="1:8" ht="15.75" x14ac:dyDescent="0.25">
      <c r="A648" s="99"/>
      <c r="B648" s="99"/>
      <c r="C648" s="99"/>
      <c r="D648" s="99"/>
      <c r="E648" s="101"/>
      <c r="F648" s="99"/>
      <c r="G648" s="102"/>
      <c r="H648" s="84"/>
    </row>
    <row r="649" spans="1:8" ht="15.75" x14ac:dyDescent="0.25">
      <c r="A649" s="99"/>
      <c r="B649" s="99"/>
      <c r="C649" s="99"/>
      <c r="D649" s="99"/>
      <c r="E649" s="101"/>
      <c r="F649" s="99"/>
      <c r="G649" s="102"/>
      <c r="H649" s="84"/>
    </row>
    <row r="650" spans="1:8" ht="15.75" x14ac:dyDescent="0.25">
      <c r="A650" s="99"/>
      <c r="B650" s="99"/>
      <c r="C650" s="99"/>
      <c r="D650" s="99"/>
      <c r="E650" s="101"/>
      <c r="F650" s="99"/>
      <c r="G650" s="102"/>
      <c r="H650" s="84"/>
    </row>
    <row r="651" spans="1:8" ht="15.75" x14ac:dyDescent="0.25">
      <c r="A651" s="99"/>
      <c r="B651" s="99"/>
      <c r="C651" s="99"/>
      <c r="D651" s="99"/>
      <c r="E651" s="101"/>
      <c r="F651" s="99"/>
      <c r="G651" s="102"/>
      <c r="H651" s="84"/>
    </row>
    <row r="652" spans="1:8" ht="15.75" x14ac:dyDescent="0.25">
      <c r="A652" s="99"/>
      <c r="B652" s="99"/>
      <c r="C652" s="99"/>
      <c r="D652" s="99"/>
      <c r="E652" s="101"/>
      <c r="F652" s="99"/>
      <c r="G652" s="102"/>
      <c r="H652" s="84"/>
    </row>
    <row r="653" spans="1:8" ht="15.75" x14ac:dyDescent="0.25">
      <c r="A653" s="99"/>
      <c r="B653" s="99"/>
      <c r="C653" s="99"/>
      <c r="D653" s="99"/>
      <c r="E653" s="101"/>
      <c r="F653" s="99"/>
      <c r="G653" s="102"/>
      <c r="H653" s="84"/>
    </row>
    <row r="654" spans="1:8" ht="15.75" x14ac:dyDescent="0.25">
      <c r="A654" s="99"/>
      <c r="B654" s="99"/>
      <c r="C654" s="99"/>
      <c r="D654" s="99"/>
      <c r="E654" s="101"/>
      <c r="F654" s="99"/>
      <c r="G654" s="102"/>
      <c r="H654" s="84"/>
    </row>
    <row r="655" spans="1:8" ht="15.75" x14ac:dyDescent="0.25">
      <c r="A655" s="99"/>
      <c r="B655" s="99"/>
      <c r="C655" s="99"/>
      <c r="D655" s="99"/>
      <c r="E655" s="101"/>
      <c r="F655" s="99"/>
      <c r="G655" s="102"/>
      <c r="H655" s="84"/>
    </row>
    <row r="656" spans="1:8" ht="15.75" x14ac:dyDescent="0.25">
      <c r="A656" s="99"/>
      <c r="B656" s="99"/>
      <c r="C656" s="99"/>
      <c r="D656" s="99"/>
      <c r="E656" s="101"/>
      <c r="F656" s="99"/>
      <c r="G656" s="102"/>
      <c r="H656" s="84"/>
    </row>
    <row r="657" spans="1:8" ht="15.75" x14ac:dyDescent="0.25">
      <c r="A657" s="99"/>
      <c r="B657" s="99"/>
      <c r="C657" s="99"/>
      <c r="D657" s="99"/>
      <c r="E657" s="101"/>
      <c r="F657" s="99"/>
      <c r="G657" s="102"/>
      <c r="H657" s="84"/>
    </row>
    <row r="658" spans="1:8" ht="15.75" x14ac:dyDescent="0.25">
      <c r="A658" s="99"/>
      <c r="B658" s="99"/>
      <c r="C658" s="99"/>
      <c r="D658" s="99"/>
      <c r="E658" s="101"/>
      <c r="F658" s="99"/>
      <c r="G658" s="102"/>
      <c r="H658" s="84"/>
    </row>
    <row r="659" spans="1:8" ht="15.75" x14ac:dyDescent="0.25">
      <c r="A659" s="99"/>
      <c r="B659" s="99"/>
      <c r="C659" s="99"/>
      <c r="D659" s="99"/>
      <c r="E659" s="101"/>
      <c r="F659" s="99"/>
      <c r="G659" s="102"/>
      <c r="H659" s="84"/>
    </row>
    <row r="660" spans="1:8" ht="15.75" x14ac:dyDescent="0.25">
      <c r="A660" s="99"/>
      <c r="B660" s="99"/>
      <c r="C660" s="99"/>
      <c r="D660" s="99"/>
      <c r="E660" s="101"/>
      <c r="F660" s="99"/>
      <c r="G660" s="102"/>
      <c r="H660" s="84"/>
    </row>
    <row r="661" spans="1:8" ht="15.75" x14ac:dyDescent="0.25">
      <c r="A661" s="99"/>
      <c r="B661" s="99"/>
      <c r="C661" s="99"/>
      <c r="D661" s="99"/>
      <c r="E661" s="101"/>
      <c r="F661" s="99"/>
      <c r="G661" s="102"/>
      <c r="H661" s="84"/>
    </row>
    <row r="662" spans="1:8" ht="15.75" x14ac:dyDescent="0.25">
      <c r="A662" s="99"/>
      <c r="B662" s="99"/>
      <c r="C662" s="99"/>
      <c r="D662" s="99"/>
      <c r="E662" s="101"/>
      <c r="F662" s="99"/>
      <c r="G662" s="102"/>
      <c r="H662" s="84"/>
    </row>
    <row r="663" spans="1:8" ht="15.75" x14ac:dyDescent="0.25">
      <c r="A663" s="99"/>
      <c r="B663" s="99"/>
      <c r="C663" s="99"/>
      <c r="D663" s="99"/>
      <c r="E663" s="101"/>
      <c r="F663" s="99"/>
      <c r="G663" s="102"/>
      <c r="H663" s="84"/>
    </row>
    <row r="664" spans="1:8" ht="15.75" x14ac:dyDescent="0.25">
      <c r="A664" s="99"/>
      <c r="B664" s="99"/>
      <c r="C664" s="99"/>
      <c r="D664" s="99"/>
      <c r="E664" s="101"/>
      <c r="F664" s="99"/>
      <c r="G664" s="102"/>
      <c r="H664" s="84"/>
    </row>
    <row r="665" spans="1:8" ht="15.75" x14ac:dyDescent="0.25">
      <c r="A665" s="99"/>
      <c r="B665" s="99"/>
      <c r="C665" s="99"/>
      <c r="D665" s="99"/>
      <c r="E665" s="101"/>
      <c r="F665" s="99"/>
      <c r="G665" s="102"/>
      <c r="H665" s="84"/>
    </row>
    <row r="666" spans="1:8" ht="15.75" x14ac:dyDescent="0.25">
      <c r="A666" s="99"/>
      <c r="B666" s="99"/>
      <c r="C666" s="99"/>
      <c r="D666" s="99"/>
      <c r="E666" s="101"/>
      <c r="F666" s="99"/>
      <c r="G666" s="102"/>
      <c r="H666" s="84"/>
    </row>
    <row r="667" spans="1:8" ht="15.75" x14ac:dyDescent="0.25">
      <c r="A667" s="99"/>
      <c r="B667" s="99"/>
      <c r="C667" s="99"/>
      <c r="D667" s="99"/>
      <c r="E667" s="101"/>
      <c r="F667" s="99"/>
      <c r="G667" s="102"/>
      <c r="H667" s="84"/>
    </row>
    <row r="668" spans="1:8" ht="15.75" x14ac:dyDescent="0.25">
      <c r="A668" s="99"/>
      <c r="B668" s="99"/>
      <c r="C668" s="99"/>
      <c r="D668" s="99"/>
      <c r="E668" s="101"/>
      <c r="F668" s="99"/>
      <c r="G668" s="102"/>
      <c r="H668" s="84"/>
    </row>
    <row r="669" spans="1:8" ht="15.75" x14ac:dyDescent="0.25">
      <c r="A669" s="99"/>
      <c r="B669" s="99"/>
      <c r="C669" s="99"/>
      <c r="D669" s="99"/>
      <c r="E669" s="101"/>
      <c r="F669" s="99"/>
      <c r="G669" s="102"/>
      <c r="H669" s="84"/>
    </row>
    <row r="670" spans="1:8" ht="15.75" x14ac:dyDescent="0.25">
      <c r="A670" s="99"/>
      <c r="B670" s="99"/>
      <c r="C670" s="99"/>
      <c r="D670" s="99"/>
      <c r="E670" s="101"/>
      <c r="F670" s="99"/>
      <c r="G670" s="102"/>
      <c r="H670" s="84"/>
    </row>
    <row r="671" spans="1:8" ht="15.75" x14ac:dyDescent="0.25">
      <c r="A671" s="99"/>
      <c r="B671" s="99"/>
      <c r="C671" s="99"/>
      <c r="D671" s="99"/>
      <c r="E671" s="101"/>
      <c r="F671" s="99"/>
      <c r="G671" s="102"/>
      <c r="H671" s="84"/>
    </row>
    <row r="672" spans="1:8" ht="15.75" x14ac:dyDescent="0.25">
      <c r="A672" s="99"/>
      <c r="B672" s="99"/>
      <c r="C672" s="99"/>
      <c r="D672" s="99"/>
      <c r="E672" s="101"/>
      <c r="F672" s="99"/>
      <c r="G672" s="102"/>
      <c r="H672" s="84"/>
    </row>
    <row r="673" spans="1:8" ht="15.75" x14ac:dyDescent="0.25">
      <c r="A673" s="99"/>
      <c r="B673" s="99"/>
      <c r="C673" s="99"/>
      <c r="D673" s="99"/>
      <c r="E673" s="101"/>
      <c r="F673" s="99"/>
      <c r="G673" s="102"/>
      <c r="H673" s="84"/>
    </row>
    <row r="674" spans="1:8" ht="15.75" x14ac:dyDescent="0.25">
      <c r="A674" s="99"/>
      <c r="B674" s="99"/>
      <c r="C674" s="99"/>
      <c r="D674" s="99"/>
      <c r="E674" s="101"/>
      <c r="F674" s="99"/>
      <c r="G674" s="102"/>
      <c r="H674" s="84"/>
    </row>
    <row r="675" spans="1:8" ht="15.75" x14ac:dyDescent="0.25">
      <c r="A675" s="99"/>
      <c r="B675" s="99"/>
      <c r="C675" s="99"/>
      <c r="D675" s="99"/>
      <c r="E675" s="101"/>
      <c r="F675" s="99"/>
      <c r="G675" s="102"/>
      <c r="H675" s="84"/>
    </row>
    <row r="676" spans="1:8" ht="15.75" x14ac:dyDescent="0.25">
      <c r="A676" s="99"/>
      <c r="B676" s="99"/>
      <c r="C676" s="99"/>
      <c r="D676" s="99"/>
      <c r="E676" s="101"/>
      <c r="F676" s="99"/>
      <c r="G676" s="102"/>
      <c r="H676" s="84"/>
    </row>
    <row r="677" spans="1:8" ht="15.75" x14ac:dyDescent="0.25">
      <c r="A677" s="99"/>
      <c r="B677" s="99"/>
      <c r="C677" s="99"/>
      <c r="D677" s="99"/>
      <c r="E677" s="101"/>
      <c r="F677" s="99"/>
      <c r="G677" s="102"/>
      <c r="H677" s="84"/>
    </row>
    <row r="678" spans="1:8" ht="15.75" x14ac:dyDescent="0.25">
      <c r="A678" s="99"/>
      <c r="B678" s="99"/>
      <c r="C678" s="99"/>
      <c r="D678" s="99"/>
      <c r="E678" s="101"/>
      <c r="F678" s="99"/>
      <c r="G678" s="102"/>
      <c r="H678" s="84"/>
    </row>
    <row r="679" spans="1:8" ht="15.75" x14ac:dyDescent="0.25">
      <c r="A679" s="99"/>
      <c r="B679" s="99"/>
      <c r="C679" s="99"/>
      <c r="D679" s="99"/>
      <c r="E679" s="101"/>
      <c r="F679" s="99"/>
      <c r="G679" s="102"/>
      <c r="H679" s="84"/>
    </row>
    <row r="680" spans="1:8" ht="15.75" x14ac:dyDescent="0.25">
      <c r="A680" s="99"/>
      <c r="B680" s="99"/>
      <c r="C680" s="99"/>
      <c r="D680" s="99"/>
      <c r="E680" s="101"/>
      <c r="F680" s="99"/>
      <c r="G680" s="102"/>
      <c r="H680" s="84"/>
    </row>
    <row r="681" spans="1:8" ht="15.75" x14ac:dyDescent="0.25">
      <c r="A681" s="99"/>
      <c r="B681" s="99"/>
      <c r="C681" s="99"/>
      <c r="D681" s="99"/>
      <c r="E681" s="101"/>
      <c r="F681" s="99"/>
      <c r="G681" s="102"/>
      <c r="H681" s="84"/>
    </row>
    <row r="682" spans="1:8" ht="15.75" x14ac:dyDescent="0.25">
      <c r="A682" s="99"/>
      <c r="B682" s="99"/>
      <c r="C682" s="99"/>
      <c r="D682" s="99"/>
      <c r="E682" s="101"/>
      <c r="F682" s="99"/>
      <c r="G682" s="102"/>
      <c r="H682" s="84"/>
    </row>
    <row r="683" spans="1:8" ht="15.75" x14ac:dyDescent="0.25">
      <c r="A683" s="99"/>
      <c r="B683" s="99"/>
      <c r="C683" s="99"/>
      <c r="D683" s="99"/>
      <c r="E683" s="101"/>
      <c r="F683" s="99"/>
      <c r="G683" s="102"/>
      <c r="H683" s="84"/>
    </row>
    <row r="684" spans="1:8" ht="15.75" x14ac:dyDescent="0.25">
      <c r="A684" s="99"/>
      <c r="B684" s="99"/>
      <c r="C684" s="99"/>
      <c r="D684" s="99"/>
      <c r="E684" s="101"/>
      <c r="F684" s="99"/>
      <c r="G684" s="102"/>
      <c r="H684" s="84"/>
    </row>
    <row r="685" spans="1:8" ht="15.75" x14ac:dyDescent="0.25">
      <c r="A685" s="99"/>
      <c r="B685" s="99"/>
      <c r="C685" s="99"/>
      <c r="D685" s="99"/>
      <c r="E685" s="101"/>
      <c r="F685" s="99"/>
      <c r="G685" s="102"/>
      <c r="H685" s="84"/>
    </row>
    <row r="686" spans="1:8" ht="15.75" x14ac:dyDescent="0.25">
      <c r="A686" s="99"/>
      <c r="B686" s="99"/>
      <c r="C686" s="99"/>
      <c r="D686" s="99"/>
      <c r="E686" s="101"/>
      <c r="F686" s="99"/>
      <c r="G686" s="102"/>
      <c r="H686" s="84"/>
    </row>
    <row r="687" spans="1:8" ht="15.75" x14ac:dyDescent="0.25">
      <c r="A687" s="99"/>
      <c r="B687" s="99"/>
      <c r="C687" s="99"/>
      <c r="D687" s="99"/>
      <c r="E687" s="101"/>
      <c r="F687" s="99"/>
      <c r="G687" s="102"/>
      <c r="H687" s="84"/>
    </row>
    <row r="688" spans="1:8" ht="15.75" x14ac:dyDescent="0.25">
      <c r="A688" s="99"/>
      <c r="B688" s="99"/>
      <c r="C688" s="99"/>
      <c r="D688" s="99"/>
      <c r="E688" s="101"/>
      <c r="F688" s="99"/>
      <c r="G688" s="102"/>
      <c r="H688" s="84"/>
    </row>
    <row r="689" spans="1:8" ht="15.75" x14ac:dyDescent="0.25">
      <c r="A689" s="99"/>
      <c r="B689" s="99"/>
      <c r="C689" s="99"/>
      <c r="D689" s="99"/>
      <c r="E689" s="101"/>
      <c r="F689" s="99"/>
      <c r="G689" s="102"/>
      <c r="H689" s="84"/>
    </row>
    <row r="690" spans="1:8" ht="15.75" x14ac:dyDescent="0.25">
      <c r="A690" s="99"/>
      <c r="B690" s="99"/>
      <c r="C690" s="99"/>
      <c r="D690" s="99"/>
      <c r="E690" s="101"/>
      <c r="F690" s="99"/>
      <c r="G690" s="102"/>
      <c r="H690" s="84"/>
    </row>
    <row r="691" spans="1:8" ht="15.75" x14ac:dyDescent="0.25">
      <c r="A691" s="99"/>
      <c r="B691" s="99"/>
      <c r="C691" s="99"/>
      <c r="D691" s="99"/>
      <c r="E691" s="101"/>
      <c r="F691" s="99"/>
      <c r="G691" s="102"/>
      <c r="H691" s="84"/>
    </row>
    <row r="692" spans="1:8" ht="15.75" x14ac:dyDescent="0.25">
      <c r="A692" s="99"/>
      <c r="B692" s="99"/>
      <c r="C692" s="99"/>
      <c r="D692" s="99"/>
      <c r="E692" s="101"/>
      <c r="F692" s="99"/>
      <c r="G692" s="102"/>
      <c r="H692" s="84"/>
    </row>
    <row r="693" spans="1:8" ht="15.75" x14ac:dyDescent="0.25">
      <c r="A693" s="99"/>
      <c r="B693" s="99"/>
      <c r="C693" s="99"/>
      <c r="D693" s="99"/>
      <c r="E693" s="101"/>
      <c r="F693" s="99"/>
      <c r="G693" s="102"/>
      <c r="H693" s="84"/>
    </row>
    <row r="694" spans="1:8" ht="15.75" x14ac:dyDescent="0.25">
      <c r="A694" s="99"/>
      <c r="B694" s="99"/>
      <c r="C694" s="99"/>
      <c r="D694" s="99"/>
      <c r="E694" s="101"/>
      <c r="F694" s="99"/>
      <c r="G694" s="102"/>
      <c r="H694" s="84"/>
    </row>
    <row r="695" spans="1:8" ht="15.75" x14ac:dyDescent="0.25">
      <c r="A695" s="99"/>
      <c r="B695" s="99"/>
      <c r="C695" s="99"/>
      <c r="D695" s="99"/>
      <c r="E695" s="101"/>
      <c r="F695" s="99"/>
      <c r="G695" s="102"/>
      <c r="H695" s="84"/>
    </row>
    <row r="696" spans="1:8" ht="15.75" x14ac:dyDescent="0.25">
      <c r="A696" s="99"/>
      <c r="B696" s="99"/>
      <c r="C696" s="99"/>
      <c r="D696" s="99"/>
      <c r="E696" s="101"/>
      <c r="F696" s="99"/>
      <c r="G696" s="102"/>
      <c r="H696" s="84"/>
    </row>
    <row r="697" spans="1:8" ht="15.75" x14ac:dyDescent="0.25">
      <c r="A697" s="99"/>
      <c r="B697" s="99"/>
      <c r="C697" s="99"/>
      <c r="D697" s="99"/>
      <c r="E697" s="101"/>
      <c r="F697" s="99"/>
      <c r="G697" s="102"/>
      <c r="H697" s="84"/>
    </row>
    <row r="698" spans="1:8" ht="15.75" x14ac:dyDescent="0.25">
      <c r="A698" s="99"/>
      <c r="B698" s="99"/>
      <c r="C698" s="99"/>
      <c r="D698" s="99"/>
      <c r="E698" s="101"/>
      <c r="F698" s="99"/>
      <c r="G698" s="102"/>
      <c r="H698" s="84"/>
    </row>
    <row r="699" spans="1:8" ht="15.75" x14ac:dyDescent="0.25">
      <c r="A699" s="99"/>
      <c r="B699" s="99"/>
      <c r="C699" s="99"/>
      <c r="D699" s="99"/>
      <c r="E699" s="101"/>
      <c r="F699" s="99"/>
      <c r="G699" s="102"/>
      <c r="H699" s="84"/>
    </row>
    <row r="700" spans="1:8" ht="15.75" x14ac:dyDescent="0.25">
      <c r="A700" s="99"/>
      <c r="B700" s="99"/>
      <c r="C700" s="99"/>
      <c r="D700" s="99"/>
      <c r="E700" s="101"/>
      <c r="F700" s="99"/>
      <c r="G700" s="102"/>
      <c r="H700" s="84"/>
    </row>
    <row r="701" spans="1:8" ht="15.75" x14ac:dyDescent="0.25">
      <c r="A701" s="99"/>
      <c r="B701" s="99"/>
      <c r="C701" s="99"/>
      <c r="D701" s="99"/>
      <c r="E701" s="101"/>
      <c r="F701" s="99"/>
      <c r="G701" s="102"/>
      <c r="H701" s="84"/>
    </row>
    <row r="702" spans="1:8" ht="15.75" x14ac:dyDescent="0.25">
      <c r="A702" s="99"/>
      <c r="B702" s="99"/>
      <c r="C702" s="99"/>
      <c r="D702" s="99"/>
      <c r="E702" s="101"/>
      <c r="F702" s="99"/>
      <c r="G702" s="102"/>
      <c r="H702" s="84"/>
    </row>
    <row r="703" spans="1:8" ht="15.75" x14ac:dyDescent="0.25">
      <c r="A703" s="99"/>
      <c r="B703" s="99"/>
      <c r="C703" s="99"/>
      <c r="D703" s="99"/>
      <c r="E703" s="101"/>
      <c r="F703" s="99"/>
      <c r="G703" s="102"/>
      <c r="H703" s="84"/>
    </row>
    <row r="704" spans="1:8" ht="15.75" x14ac:dyDescent="0.25">
      <c r="A704" s="99"/>
      <c r="B704" s="99"/>
      <c r="C704" s="99"/>
      <c r="D704" s="99"/>
      <c r="E704" s="101"/>
      <c r="F704" s="99"/>
      <c r="G704" s="102"/>
      <c r="H704" s="84"/>
    </row>
    <row r="705" spans="1:8" ht="15.75" x14ac:dyDescent="0.25">
      <c r="A705" s="99"/>
      <c r="B705" s="99"/>
      <c r="C705" s="99"/>
      <c r="D705" s="99"/>
      <c r="E705" s="101"/>
      <c r="F705" s="99"/>
      <c r="G705" s="102"/>
      <c r="H705" s="84"/>
    </row>
    <row r="706" spans="1:8" ht="15.75" x14ac:dyDescent="0.25">
      <c r="A706" s="99"/>
      <c r="B706" s="99"/>
      <c r="C706" s="99"/>
      <c r="D706" s="99"/>
      <c r="E706" s="101"/>
      <c r="F706" s="99"/>
      <c r="G706" s="102"/>
      <c r="H706" s="84"/>
    </row>
    <row r="707" spans="1:8" ht="15.75" x14ac:dyDescent="0.25">
      <c r="A707" s="99"/>
      <c r="B707" s="99"/>
      <c r="C707" s="99"/>
      <c r="D707" s="99"/>
      <c r="E707" s="101"/>
      <c r="F707" s="99"/>
      <c r="G707" s="102"/>
      <c r="H707" s="84"/>
    </row>
    <row r="708" spans="1:8" ht="15.75" x14ac:dyDescent="0.25">
      <c r="A708" s="99"/>
      <c r="B708" s="99"/>
      <c r="C708" s="99"/>
      <c r="D708" s="99"/>
      <c r="E708" s="101"/>
      <c r="F708" s="99"/>
      <c r="G708" s="102"/>
      <c r="H708" s="84"/>
    </row>
    <row r="709" spans="1:8" ht="15.75" x14ac:dyDescent="0.25">
      <c r="A709" s="99"/>
      <c r="B709" s="99"/>
      <c r="C709" s="99"/>
      <c r="D709" s="99"/>
      <c r="E709" s="101"/>
      <c r="F709" s="99"/>
      <c r="G709" s="102"/>
      <c r="H709" s="84"/>
    </row>
    <row r="710" spans="1:8" ht="15.75" x14ac:dyDescent="0.25">
      <c r="A710" s="99"/>
      <c r="B710" s="99"/>
      <c r="C710" s="99"/>
      <c r="D710" s="99"/>
      <c r="E710" s="101"/>
      <c r="F710" s="99"/>
      <c r="G710" s="102"/>
      <c r="H710" s="84"/>
    </row>
    <row r="711" spans="1:8" ht="15.75" x14ac:dyDescent="0.25">
      <c r="A711" s="99"/>
      <c r="B711" s="99"/>
      <c r="C711" s="99"/>
      <c r="D711" s="99"/>
      <c r="E711" s="101"/>
      <c r="F711" s="99"/>
      <c r="G711" s="102"/>
      <c r="H711" s="84"/>
    </row>
    <row r="712" spans="1:8" ht="15.75" x14ac:dyDescent="0.25">
      <c r="A712" s="99"/>
      <c r="B712" s="99"/>
      <c r="C712" s="99"/>
      <c r="D712" s="99"/>
      <c r="E712" s="101"/>
      <c r="F712" s="99"/>
      <c r="G712" s="102"/>
      <c r="H712" s="84"/>
    </row>
    <row r="713" spans="1:8" ht="15.75" x14ac:dyDescent="0.25">
      <c r="A713" s="99"/>
      <c r="B713" s="99"/>
      <c r="C713" s="99"/>
      <c r="D713" s="99"/>
      <c r="E713" s="101"/>
      <c r="F713" s="99"/>
      <c r="G713" s="102"/>
      <c r="H713" s="84"/>
    </row>
    <row r="714" spans="1:8" ht="15.75" x14ac:dyDescent="0.25">
      <c r="A714" s="99"/>
      <c r="B714" s="99"/>
      <c r="C714" s="99"/>
      <c r="D714" s="99"/>
      <c r="E714" s="101"/>
      <c r="F714" s="99"/>
      <c r="G714" s="102"/>
      <c r="H714" s="84"/>
    </row>
    <row r="715" spans="1:8" ht="15.75" x14ac:dyDescent="0.25">
      <c r="A715" s="99"/>
      <c r="B715" s="99"/>
      <c r="C715" s="99"/>
      <c r="D715" s="99"/>
      <c r="E715" s="101"/>
      <c r="F715" s="99"/>
      <c r="G715" s="102"/>
      <c r="H715" s="84"/>
    </row>
    <row r="716" spans="1:8" ht="15.75" x14ac:dyDescent="0.25">
      <c r="A716" s="99"/>
      <c r="B716" s="99"/>
      <c r="C716" s="99"/>
      <c r="D716" s="99"/>
      <c r="E716" s="101"/>
      <c r="F716" s="99"/>
      <c r="G716" s="102"/>
      <c r="H716" s="84"/>
    </row>
    <row r="717" spans="1:8" ht="15.75" x14ac:dyDescent="0.25">
      <c r="A717" s="99"/>
      <c r="B717" s="99"/>
      <c r="C717" s="99"/>
      <c r="D717" s="99"/>
      <c r="E717" s="101"/>
      <c r="F717" s="99"/>
      <c r="G717" s="102"/>
      <c r="H717" s="84"/>
    </row>
    <row r="718" spans="1:8" ht="15.75" x14ac:dyDescent="0.25">
      <c r="A718" s="99"/>
      <c r="B718" s="99"/>
      <c r="C718" s="99"/>
      <c r="D718" s="99"/>
      <c r="E718" s="101"/>
      <c r="F718" s="99"/>
      <c r="G718" s="102"/>
      <c r="H718" s="84"/>
    </row>
    <row r="719" spans="1:8" ht="15.75" x14ac:dyDescent="0.25">
      <c r="A719" s="99"/>
      <c r="B719" s="99"/>
      <c r="C719" s="99"/>
      <c r="D719" s="99"/>
      <c r="E719" s="101"/>
      <c r="F719" s="99"/>
      <c r="G719" s="102"/>
      <c r="H719" s="84"/>
    </row>
    <row r="720" spans="1:8" ht="15.75" x14ac:dyDescent="0.25">
      <c r="A720" s="99"/>
      <c r="B720" s="99"/>
      <c r="C720" s="99"/>
      <c r="D720" s="99"/>
      <c r="E720" s="101"/>
      <c r="F720" s="99"/>
      <c r="G720" s="102"/>
      <c r="H720" s="84"/>
    </row>
    <row r="721" spans="1:8" ht="15.75" x14ac:dyDescent="0.25">
      <c r="A721" s="99"/>
      <c r="B721" s="99"/>
      <c r="C721" s="99"/>
      <c r="D721" s="99"/>
      <c r="E721" s="101"/>
      <c r="F721" s="99"/>
      <c r="G721" s="102"/>
      <c r="H721" s="84"/>
    </row>
    <row r="722" spans="1:8" ht="15.75" x14ac:dyDescent="0.25">
      <c r="A722" s="99"/>
      <c r="B722" s="99"/>
      <c r="C722" s="99"/>
      <c r="D722" s="99"/>
      <c r="E722" s="101"/>
      <c r="F722" s="99"/>
      <c r="G722" s="102"/>
      <c r="H722" s="84"/>
    </row>
    <row r="723" spans="1:8" ht="15.75" x14ac:dyDescent="0.25">
      <c r="A723" s="99"/>
      <c r="B723" s="99"/>
      <c r="C723" s="99"/>
      <c r="D723" s="99"/>
      <c r="E723" s="101"/>
      <c r="F723" s="99"/>
      <c r="G723" s="102"/>
      <c r="H723" s="84"/>
    </row>
    <row r="724" spans="1:8" ht="15.75" x14ac:dyDescent="0.25">
      <c r="A724" s="99"/>
      <c r="B724" s="99"/>
      <c r="C724" s="99"/>
      <c r="D724" s="99"/>
      <c r="E724" s="101"/>
      <c r="F724" s="99"/>
      <c r="G724" s="102"/>
      <c r="H724" s="84"/>
    </row>
    <row r="725" spans="1:8" ht="15.75" x14ac:dyDescent="0.25">
      <c r="A725" s="99"/>
      <c r="B725" s="99"/>
      <c r="C725" s="99"/>
      <c r="D725" s="99"/>
      <c r="E725" s="101"/>
      <c r="F725" s="99"/>
      <c r="G725" s="102"/>
      <c r="H725" s="84"/>
    </row>
    <row r="726" spans="1:8" ht="15.75" x14ac:dyDescent="0.25">
      <c r="A726" s="99"/>
      <c r="B726" s="99"/>
      <c r="C726" s="99"/>
      <c r="D726" s="99"/>
      <c r="E726" s="101"/>
      <c r="F726" s="99"/>
      <c r="G726" s="102"/>
      <c r="H726" s="84"/>
    </row>
    <row r="727" spans="1:8" ht="15.75" x14ac:dyDescent="0.25">
      <c r="A727" s="99"/>
      <c r="B727" s="99"/>
      <c r="C727" s="99"/>
      <c r="D727" s="99"/>
      <c r="E727" s="101"/>
      <c r="F727" s="99"/>
      <c r="G727" s="102"/>
      <c r="H727" s="84"/>
    </row>
    <row r="728" spans="1:8" ht="15.75" x14ac:dyDescent="0.25">
      <c r="A728" s="99"/>
      <c r="B728" s="99"/>
      <c r="C728" s="99"/>
      <c r="D728" s="99"/>
      <c r="E728" s="101"/>
      <c r="F728" s="99"/>
      <c r="G728" s="102"/>
      <c r="H728" s="84"/>
    </row>
    <row r="729" spans="1:8" ht="15.75" x14ac:dyDescent="0.25">
      <c r="A729" s="99"/>
      <c r="B729" s="99"/>
      <c r="C729" s="99"/>
      <c r="D729" s="99"/>
      <c r="E729" s="101"/>
      <c r="F729" s="99"/>
      <c r="G729" s="102"/>
      <c r="H729" s="84"/>
    </row>
    <row r="730" spans="1:8" x14ac:dyDescent="0.25">
      <c r="A730" s="99"/>
      <c r="B730" s="99"/>
      <c r="C730" s="99"/>
      <c r="D730" s="99"/>
      <c r="E730" s="101"/>
      <c r="F730" s="99"/>
      <c r="G730" s="102"/>
      <c r="H730" s="23"/>
    </row>
    <row r="731" spans="1:8" x14ac:dyDescent="0.25">
      <c r="A731" s="99"/>
      <c r="B731" s="99"/>
      <c r="C731" s="99"/>
      <c r="D731" s="99"/>
      <c r="E731" s="101"/>
      <c r="F731" s="99"/>
      <c r="G731" s="102"/>
      <c r="H731" s="23"/>
    </row>
    <row r="732" spans="1:8" x14ac:dyDescent="0.25">
      <c r="A732" s="99"/>
      <c r="B732" s="99"/>
      <c r="C732" s="99"/>
      <c r="D732" s="99"/>
      <c r="E732" s="101"/>
      <c r="F732" s="99"/>
      <c r="G732" s="102"/>
      <c r="H732" s="23"/>
    </row>
    <row r="733" spans="1:8" x14ac:dyDescent="0.25">
      <c r="A733" s="99"/>
      <c r="B733" s="99"/>
      <c r="C733" s="99"/>
      <c r="D733" s="99"/>
      <c r="E733" s="101"/>
      <c r="F733" s="99"/>
      <c r="G733" s="102"/>
      <c r="H733" s="23"/>
    </row>
    <row r="734" spans="1:8" x14ac:dyDescent="0.25">
      <c r="A734" s="99"/>
      <c r="B734" s="99"/>
      <c r="C734" s="99"/>
      <c r="D734" s="99"/>
      <c r="E734" s="101"/>
      <c r="F734" s="99"/>
      <c r="G734" s="102"/>
      <c r="H734" s="23"/>
    </row>
    <row r="735" spans="1:8" x14ac:dyDescent="0.25">
      <c r="A735" s="99"/>
      <c r="B735" s="99"/>
      <c r="C735" s="99"/>
      <c r="D735" s="99"/>
      <c r="E735" s="101"/>
      <c r="F735" s="99"/>
      <c r="G735" s="102"/>
      <c r="H735" s="23"/>
    </row>
    <row r="736" spans="1:8" x14ac:dyDescent="0.25">
      <c r="A736" s="99"/>
      <c r="B736" s="99"/>
      <c r="C736" s="99"/>
      <c r="D736" s="99"/>
      <c r="E736" s="101"/>
      <c r="F736" s="99"/>
      <c r="G736" s="102"/>
      <c r="H736" s="23"/>
    </row>
    <row r="737" spans="1:8" x14ac:dyDescent="0.25">
      <c r="A737" s="99"/>
      <c r="B737" s="99"/>
      <c r="C737" s="99"/>
      <c r="D737" s="99"/>
      <c r="E737" s="101"/>
      <c r="F737" s="99"/>
      <c r="G737" s="102"/>
      <c r="H737" s="23"/>
    </row>
    <row r="738" spans="1:8" x14ac:dyDescent="0.25">
      <c r="A738" s="99"/>
      <c r="B738" s="99"/>
      <c r="C738" s="99"/>
      <c r="D738" s="99"/>
      <c r="E738" s="101"/>
      <c r="F738" s="99"/>
      <c r="G738" s="102"/>
      <c r="H738" s="23"/>
    </row>
    <row r="739" spans="1:8" x14ac:dyDescent="0.25">
      <c r="A739" s="99"/>
      <c r="B739" s="99"/>
      <c r="C739" s="99"/>
      <c r="D739" s="99"/>
      <c r="E739" s="101"/>
      <c r="F739" s="99"/>
      <c r="G739" s="102"/>
      <c r="H739" s="23"/>
    </row>
    <row r="740" spans="1:8" x14ac:dyDescent="0.25">
      <c r="A740" s="99"/>
      <c r="B740" s="99"/>
      <c r="C740" s="99"/>
      <c r="D740" s="99"/>
      <c r="E740" s="101"/>
      <c r="F740" s="99"/>
      <c r="G740" s="102"/>
      <c r="H740" s="23"/>
    </row>
    <row r="741" spans="1:8" x14ac:dyDescent="0.25">
      <c r="A741" s="99"/>
      <c r="B741" s="99"/>
      <c r="C741" s="99"/>
      <c r="D741" s="99"/>
      <c r="E741" s="101"/>
      <c r="F741" s="99"/>
      <c r="G741" s="102"/>
      <c r="H741" s="23"/>
    </row>
    <row r="742" spans="1:8" x14ac:dyDescent="0.25">
      <c r="A742" s="99"/>
      <c r="B742" s="99"/>
      <c r="C742" s="99"/>
      <c r="D742" s="99"/>
      <c r="E742" s="101"/>
      <c r="F742" s="99"/>
      <c r="G742" s="102"/>
      <c r="H742" s="23"/>
    </row>
    <row r="743" spans="1:8" x14ac:dyDescent="0.25">
      <c r="A743" s="99"/>
      <c r="B743" s="99"/>
      <c r="C743" s="99"/>
      <c r="D743" s="99"/>
      <c r="E743" s="101"/>
      <c r="F743" s="99"/>
      <c r="G743" s="102"/>
      <c r="H743" s="23"/>
    </row>
    <row r="744" spans="1:8" x14ac:dyDescent="0.25">
      <c r="A744" s="99"/>
      <c r="B744" s="99"/>
      <c r="C744" s="99"/>
      <c r="D744" s="99"/>
      <c r="E744" s="101"/>
      <c r="F744" s="99"/>
      <c r="G744" s="102"/>
      <c r="H744" s="23"/>
    </row>
    <row r="745" spans="1:8" x14ac:dyDescent="0.25">
      <c r="A745" s="99"/>
      <c r="B745" s="99"/>
      <c r="C745" s="99"/>
      <c r="D745" s="99"/>
      <c r="E745" s="101"/>
      <c r="F745" s="99"/>
      <c r="G745" s="102"/>
      <c r="H745" s="23"/>
    </row>
    <row r="746" spans="1:8" x14ac:dyDescent="0.25">
      <c r="A746" s="99"/>
      <c r="B746" s="99"/>
      <c r="C746" s="99"/>
      <c r="D746" s="99"/>
      <c r="E746" s="101"/>
      <c r="F746" s="99"/>
      <c r="G746" s="102"/>
      <c r="H746" s="23"/>
    </row>
    <row r="747" spans="1:8" x14ac:dyDescent="0.25">
      <c r="A747" s="99"/>
      <c r="B747" s="99"/>
      <c r="C747" s="99"/>
      <c r="D747" s="99"/>
      <c r="E747" s="101"/>
      <c r="F747" s="99"/>
      <c r="G747" s="102"/>
      <c r="H747" s="23"/>
    </row>
    <row r="748" spans="1:8" x14ac:dyDescent="0.25">
      <c r="A748" s="99"/>
      <c r="B748" s="99"/>
      <c r="C748" s="99"/>
      <c r="D748" s="99"/>
      <c r="E748" s="101"/>
      <c r="F748" s="99"/>
      <c r="G748" s="102"/>
      <c r="H748" s="23"/>
    </row>
    <row r="749" spans="1:8" x14ac:dyDescent="0.25">
      <c r="A749" s="99"/>
      <c r="B749" s="99"/>
      <c r="C749" s="99"/>
      <c r="D749" s="99"/>
      <c r="E749" s="101"/>
      <c r="F749" s="99"/>
      <c r="G749" s="102"/>
      <c r="H749" s="23"/>
    </row>
    <row r="750" spans="1:8" x14ac:dyDescent="0.25">
      <c r="A750" s="99"/>
      <c r="B750" s="99"/>
      <c r="C750" s="99"/>
      <c r="D750" s="99"/>
      <c r="E750" s="101"/>
      <c r="F750" s="99"/>
      <c r="G750" s="102"/>
      <c r="H750" s="23"/>
    </row>
    <row r="751" spans="1:8" x14ac:dyDescent="0.25">
      <c r="A751" s="99"/>
      <c r="B751" s="99"/>
      <c r="C751" s="99"/>
      <c r="D751" s="99"/>
      <c r="E751" s="101"/>
      <c r="F751" s="99"/>
      <c r="G751" s="102"/>
      <c r="H751" s="23"/>
    </row>
    <row r="752" spans="1:8" x14ac:dyDescent="0.25">
      <c r="A752" s="99"/>
      <c r="B752" s="99"/>
      <c r="C752" s="99"/>
      <c r="D752" s="99"/>
      <c r="E752" s="101"/>
      <c r="F752" s="99"/>
      <c r="G752" s="102"/>
      <c r="H752" s="23"/>
    </row>
  </sheetData>
  <mergeCells count="1">
    <mergeCell ref="A1:F1"/>
  </mergeCells>
  <pageMargins left="0.70866141732283472" right="0.70866141732283472" top="0.74803149606299213" bottom="0.74803149606299213" header="0.31496062992125984" footer="0.31496062992125984"/>
  <pageSetup paperSize="9" scale="85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C5F80-C04A-4E35-9BD8-41FA863A3436}">
  <sheetPr>
    <pageSetUpPr fitToPage="1"/>
  </sheetPr>
  <dimension ref="A1:L150"/>
  <sheetViews>
    <sheetView topLeftCell="A119" zoomScaleNormal="100" workbookViewId="0">
      <selection activeCell="C140" sqref="C140"/>
    </sheetView>
  </sheetViews>
  <sheetFormatPr baseColWidth="10" defaultColWidth="11.42578125" defaultRowHeight="11.25" x14ac:dyDescent="0.2"/>
  <cols>
    <col min="1" max="1" width="11.5703125" style="6" customWidth="1"/>
    <col min="2" max="2" width="67.42578125" style="19" customWidth="1"/>
    <col min="3" max="3" width="12.42578125" style="73" bestFit="1" customWidth="1"/>
    <col min="4" max="4" width="11.28515625" style="161" bestFit="1" customWidth="1"/>
    <col min="5" max="5" width="6.140625" style="6" bestFit="1" customWidth="1"/>
    <col min="6" max="6" width="13.140625" style="6" customWidth="1"/>
    <col min="7" max="7" width="3.5703125" style="6" customWidth="1"/>
    <col min="8" max="8" width="14" style="5" customWidth="1"/>
    <col min="9" max="9" width="11.42578125" style="5"/>
    <col min="10" max="10" width="17.28515625" style="5" customWidth="1"/>
    <col min="11" max="256" width="11.42578125" style="5"/>
    <col min="257" max="257" width="14.140625" style="5" customWidth="1"/>
    <col min="258" max="258" width="55.7109375" style="5" customWidth="1"/>
    <col min="259" max="259" width="12.42578125" style="5" bestFit="1" customWidth="1"/>
    <col min="260" max="260" width="11.28515625" style="5" bestFit="1" customWidth="1"/>
    <col min="261" max="261" width="6.140625" style="5" bestFit="1" customWidth="1"/>
    <col min="262" max="262" width="13.140625" style="5" customWidth="1"/>
    <col min="263" max="263" width="3.5703125" style="5" customWidth="1"/>
    <col min="264" max="264" width="14" style="5" customWidth="1"/>
    <col min="265" max="265" width="11.42578125" style="5"/>
    <col min="266" max="266" width="17.28515625" style="5" customWidth="1"/>
    <col min="267" max="512" width="11.42578125" style="5"/>
    <col min="513" max="513" width="14.140625" style="5" customWidth="1"/>
    <col min="514" max="514" width="55.7109375" style="5" customWidth="1"/>
    <col min="515" max="515" width="12.42578125" style="5" bestFit="1" customWidth="1"/>
    <col min="516" max="516" width="11.28515625" style="5" bestFit="1" customWidth="1"/>
    <col min="517" max="517" width="6.140625" style="5" bestFit="1" customWidth="1"/>
    <col min="518" max="518" width="13.140625" style="5" customWidth="1"/>
    <col min="519" max="519" width="3.5703125" style="5" customWidth="1"/>
    <col min="520" max="520" width="14" style="5" customWidth="1"/>
    <col min="521" max="521" width="11.42578125" style="5"/>
    <col min="522" max="522" width="17.28515625" style="5" customWidth="1"/>
    <col min="523" max="768" width="11.42578125" style="5"/>
    <col min="769" max="769" width="14.140625" style="5" customWidth="1"/>
    <col min="770" max="770" width="55.7109375" style="5" customWidth="1"/>
    <col min="771" max="771" width="12.42578125" style="5" bestFit="1" customWidth="1"/>
    <col min="772" max="772" width="11.28515625" style="5" bestFit="1" customWidth="1"/>
    <col min="773" max="773" width="6.140625" style="5" bestFit="1" customWidth="1"/>
    <col min="774" max="774" width="13.140625" style="5" customWidth="1"/>
    <col min="775" max="775" width="3.5703125" style="5" customWidth="1"/>
    <col min="776" max="776" width="14" style="5" customWidth="1"/>
    <col min="777" max="777" width="11.42578125" style="5"/>
    <col min="778" max="778" width="17.28515625" style="5" customWidth="1"/>
    <col min="779" max="1024" width="11.42578125" style="5"/>
    <col min="1025" max="1025" width="14.140625" style="5" customWidth="1"/>
    <col min="1026" max="1026" width="55.7109375" style="5" customWidth="1"/>
    <col min="1027" max="1027" width="12.42578125" style="5" bestFit="1" customWidth="1"/>
    <col min="1028" max="1028" width="11.28515625" style="5" bestFit="1" customWidth="1"/>
    <col min="1029" max="1029" width="6.140625" style="5" bestFit="1" customWidth="1"/>
    <col min="1030" max="1030" width="13.140625" style="5" customWidth="1"/>
    <col min="1031" max="1031" width="3.5703125" style="5" customWidth="1"/>
    <col min="1032" max="1032" width="14" style="5" customWidth="1"/>
    <col min="1033" max="1033" width="11.42578125" style="5"/>
    <col min="1034" max="1034" width="17.28515625" style="5" customWidth="1"/>
    <col min="1035" max="1280" width="11.42578125" style="5"/>
    <col min="1281" max="1281" width="14.140625" style="5" customWidth="1"/>
    <col min="1282" max="1282" width="55.7109375" style="5" customWidth="1"/>
    <col min="1283" max="1283" width="12.42578125" style="5" bestFit="1" customWidth="1"/>
    <col min="1284" max="1284" width="11.28515625" style="5" bestFit="1" customWidth="1"/>
    <col min="1285" max="1285" width="6.140625" style="5" bestFit="1" customWidth="1"/>
    <col min="1286" max="1286" width="13.140625" style="5" customWidth="1"/>
    <col min="1287" max="1287" width="3.5703125" style="5" customWidth="1"/>
    <col min="1288" max="1288" width="14" style="5" customWidth="1"/>
    <col min="1289" max="1289" width="11.42578125" style="5"/>
    <col min="1290" max="1290" width="17.28515625" style="5" customWidth="1"/>
    <col min="1291" max="1536" width="11.42578125" style="5"/>
    <col min="1537" max="1537" width="14.140625" style="5" customWidth="1"/>
    <col min="1538" max="1538" width="55.7109375" style="5" customWidth="1"/>
    <col min="1539" max="1539" width="12.42578125" style="5" bestFit="1" customWidth="1"/>
    <col min="1540" max="1540" width="11.28515625" style="5" bestFit="1" customWidth="1"/>
    <col min="1541" max="1541" width="6.140625" style="5" bestFit="1" customWidth="1"/>
    <col min="1542" max="1542" width="13.140625" style="5" customWidth="1"/>
    <col min="1543" max="1543" width="3.5703125" style="5" customWidth="1"/>
    <col min="1544" max="1544" width="14" style="5" customWidth="1"/>
    <col min="1545" max="1545" width="11.42578125" style="5"/>
    <col min="1546" max="1546" width="17.28515625" style="5" customWidth="1"/>
    <col min="1547" max="1792" width="11.42578125" style="5"/>
    <col min="1793" max="1793" width="14.140625" style="5" customWidth="1"/>
    <col min="1794" max="1794" width="55.7109375" style="5" customWidth="1"/>
    <col min="1795" max="1795" width="12.42578125" style="5" bestFit="1" customWidth="1"/>
    <col min="1796" max="1796" width="11.28515625" style="5" bestFit="1" customWidth="1"/>
    <col min="1797" max="1797" width="6.140625" style="5" bestFit="1" customWidth="1"/>
    <col min="1798" max="1798" width="13.140625" style="5" customWidth="1"/>
    <col min="1799" max="1799" width="3.5703125" style="5" customWidth="1"/>
    <col min="1800" max="1800" width="14" style="5" customWidth="1"/>
    <col min="1801" max="1801" width="11.42578125" style="5"/>
    <col min="1802" max="1802" width="17.28515625" style="5" customWidth="1"/>
    <col min="1803" max="2048" width="11.42578125" style="5"/>
    <col min="2049" max="2049" width="14.140625" style="5" customWidth="1"/>
    <col min="2050" max="2050" width="55.7109375" style="5" customWidth="1"/>
    <col min="2051" max="2051" width="12.42578125" style="5" bestFit="1" customWidth="1"/>
    <col min="2052" max="2052" width="11.28515625" style="5" bestFit="1" customWidth="1"/>
    <col min="2053" max="2053" width="6.140625" style="5" bestFit="1" customWidth="1"/>
    <col min="2054" max="2054" width="13.140625" style="5" customWidth="1"/>
    <col min="2055" max="2055" width="3.5703125" style="5" customWidth="1"/>
    <col min="2056" max="2056" width="14" style="5" customWidth="1"/>
    <col min="2057" max="2057" width="11.42578125" style="5"/>
    <col min="2058" max="2058" width="17.28515625" style="5" customWidth="1"/>
    <col min="2059" max="2304" width="11.42578125" style="5"/>
    <col min="2305" max="2305" width="14.140625" style="5" customWidth="1"/>
    <col min="2306" max="2306" width="55.7109375" style="5" customWidth="1"/>
    <col min="2307" max="2307" width="12.42578125" style="5" bestFit="1" customWidth="1"/>
    <col min="2308" max="2308" width="11.28515625" style="5" bestFit="1" customWidth="1"/>
    <col min="2309" max="2309" width="6.140625" style="5" bestFit="1" customWidth="1"/>
    <col min="2310" max="2310" width="13.140625" style="5" customWidth="1"/>
    <col min="2311" max="2311" width="3.5703125" style="5" customWidth="1"/>
    <col min="2312" max="2312" width="14" style="5" customWidth="1"/>
    <col min="2313" max="2313" width="11.42578125" style="5"/>
    <col min="2314" max="2314" width="17.28515625" style="5" customWidth="1"/>
    <col min="2315" max="2560" width="11.42578125" style="5"/>
    <col min="2561" max="2561" width="14.140625" style="5" customWidth="1"/>
    <col min="2562" max="2562" width="55.7109375" style="5" customWidth="1"/>
    <col min="2563" max="2563" width="12.42578125" style="5" bestFit="1" customWidth="1"/>
    <col min="2564" max="2564" width="11.28515625" style="5" bestFit="1" customWidth="1"/>
    <col min="2565" max="2565" width="6.140625" style="5" bestFit="1" customWidth="1"/>
    <col min="2566" max="2566" width="13.140625" style="5" customWidth="1"/>
    <col min="2567" max="2567" width="3.5703125" style="5" customWidth="1"/>
    <col min="2568" max="2568" width="14" style="5" customWidth="1"/>
    <col min="2569" max="2569" width="11.42578125" style="5"/>
    <col min="2570" max="2570" width="17.28515625" style="5" customWidth="1"/>
    <col min="2571" max="2816" width="11.42578125" style="5"/>
    <col min="2817" max="2817" width="14.140625" style="5" customWidth="1"/>
    <col min="2818" max="2818" width="55.7109375" style="5" customWidth="1"/>
    <col min="2819" max="2819" width="12.42578125" style="5" bestFit="1" customWidth="1"/>
    <col min="2820" max="2820" width="11.28515625" style="5" bestFit="1" customWidth="1"/>
    <col min="2821" max="2821" width="6.140625" style="5" bestFit="1" customWidth="1"/>
    <col min="2822" max="2822" width="13.140625" style="5" customWidth="1"/>
    <col min="2823" max="2823" width="3.5703125" style="5" customWidth="1"/>
    <col min="2824" max="2824" width="14" style="5" customWidth="1"/>
    <col min="2825" max="2825" width="11.42578125" style="5"/>
    <col min="2826" max="2826" width="17.28515625" style="5" customWidth="1"/>
    <col min="2827" max="3072" width="11.42578125" style="5"/>
    <col min="3073" max="3073" width="14.140625" style="5" customWidth="1"/>
    <col min="3074" max="3074" width="55.7109375" style="5" customWidth="1"/>
    <col min="3075" max="3075" width="12.42578125" style="5" bestFit="1" customWidth="1"/>
    <col min="3076" max="3076" width="11.28515625" style="5" bestFit="1" customWidth="1"/>
    <col min="3077" max="3077" width="6.140625" style="5" bestFit="1" customWidth="1"/>
    <col min="3078" max="3078" width="13.140625" style="5" customWidth="1"/>
    <col min="3079" max="3079" width="3.5703125" style="5" customWidth="1"/>
    <col min="3080" max="3080" width="14" style="5" customWidth="1"/>
    <col min="3081" max="3081" width="11.42578125" style="5"/>
    <col min="3082" max="3082" width="17.28515625" style="5" customWidth="1"/>
    <col min="3083" max="3328" width="11.42578125" style="5"/>
    <col min="3329" max="3329" width="14.140625" style="5" customWidth="1"/>
    <col min="3330" max="3330" width="55.7109375" style="5" customWidth="1"/>
    <col min="3331" max="3331" width="12.42578125" style="5" bestFit="1" customWidth="1"/>
    <col min="3332" max="3332" width="11.28515625" style="5" bestFit="1" customWidth="1"/>
    <col min="3333" max="3333" width="6.140625" style="5" bestFit="1" customWidth="1"/>
    <col min="3334" max="3334" width="13.140625" style="5" customWidth="1"/>
    <col min="3335" max="3335" width="3.5703125" style="5" customWidth="1"/>
    <col min="3336" max="3336" width="14" style="5" customWidth="1"/>
    <col min="3337" max="3337" width="11.42578125" style="5"/>
    <col min="3338" max="3338" width="17.28515625" style="5" customWidth="1"/>
    <col min="3339" max="3584" width="11.42578125" style="5"/>
    <col min="3585" max="3585" width="14.140625" style="5" customWidth="1"/>
    <col min="3586" max="3586" width="55.7109375" style="5" customWidth="1"/>
    <col min="3587" max="3587" width="12.42578125" style="5" bestFit="1" customWidth="1"/>
    <col min="3588" max="3588" width="11.28515625" style="5" bestFit="1" customWidth="1"/>
    <col min="3589" max="3589" width="6.140625" style="5" bestFit="1" customWidth="1"/>
    <col min="3590" max="3590" width="13.140625" style="5" customWidth="1"/>
    <col min="3591" max="3591" width="3.5703125" style="5" customWidth="1"/>
    <col min="3592" max="3592" width="14" style="5" customWidth="1"/>
    <col min="3593" max="3593" width="11.42578125" style="5"/>
    <col min="3594" max="3594" width="17.28515625" style="5" customWidth="1"/>
    <col min="3595" max="3840" width="11.42578125" style="5"/>
    <col min="3841" max="3841" width="14.140625" style="5" customWidth="1"/>
    <col min="3842" max="3842" width="55.7109375" style="5" customWidth="1"/>
    <col min="3843" max="3843" width="12.42578125" style="5" bestFit="1" customWidth="1"/>
    <col min="3844" max="3844" width="11.28515625" style="5" bestFit="1" customWidth="1"/>
    <col min="3845" max="3845" width="6.140625" style="5" bestFit="1" customWidth="1"/>
    <col min="3846" max="3846" width="13.140625" style="5" customWidth="1"/>
    <col min="3847" max="3847" width="3.5703125" style="5" customWidth="1"/>
    <col min="3848" max="3848" width="14" style="5" customWidth="1"/>
    <col min="3849" max="3849" width="11.42578125" style="5"/>
    <col min="3850" max="3850" width="17.28515625" style="5" customWidth="1"/>
    <col min="3851" max="4096" width="11.42578125" style="5"/>
    <col min="4097" max="4097" width="14.140625" style="5" customWidth="1"/>
    <col min="4098" max="4098" width="55.7109375" style="5" customWidth="1"/>
    <col min="4099" max="4099" width="12.42578125" style="5" bestFit="1" customWidth="1"/>
    <col min="4100" max="4100" width="11.28515625" style="5" bestFit="1" customWidth="1"/>
    <col min="4101" max="4101" width="6.140625" style="5" bestFit="1" customWidth="1"/>
    <col min="4102" max="4102" width="13.140625" style="5" customWidth="1"/>
    <col min="4103" max="4103" width="3.5703125" style="5" customWidth="1"/>
    <col min="4104" max="4104" width="14" style="5" customWidth="1"/>
    <col min="4105" max="4105" width="11.42578125" style="5"/>
    <col min="4106" max="4106" width="17.28515625" style="5" customWidth="1"/>
    <col min="4107" max="4352" width="11.42578125" style="5"/>
    <col min="4353" max="4353" width="14.140625" style="5" customWidth="1"/>
    <col min="4354" max="4354" width="55.7109375" style="5" customWidth="1"/>
    <col min="4355" max="4355" width="12.42578125" style="5" bestFit="1" customWidth="1"/>
    <col min="4356" max="4356" width="11.28515625" style="5" bestFit="1" customWidth="1"/>
    <col min="4357" max="4357" width="6.140625" style="5" bestFit="1" customWidth="1"/>
    <col min="4358" max="4358" width="13.140625" style="5" customWidth="1"/>
    <col min="4359" max="4359" width="3.5703125" style="5" customWidth="1"/>
    <col min="4360" max="4360" width="14" style="5" customWidth="1"/>
    <col min="4361" max="4361" width="11.42578125" style="5"/>
    <col min="4362" max="4362" width="17.28515625" style="5" customWidth="1"/>
    <col min="4363" max="4608" width="11.42578125" style="5"/>
    <col min="4609" max="4609" width="14.140625" style="5" customWidth="1"/>
    <col min="4610" max="4610" width="55.7109375" style="5" customWidth="1"/>
    <col min="4611" max="4611" width="12.42578125" style="5" bestFit="1" customWidth="1"/>
    <col min="4612" max="4612" width="11.28515625" style="5" bestFit="1" customWidth="1"/>
    <col min="4613" max="4613" width="6.140625" style="5" bestFit="1" customWidth="1"/>
    <col min="4614" max="4614" width="13.140625" style="5" customWidth="1"/>
    <col min="4615" max="4615" width="3.5703125" style="5" customWidth="1"/>
    <col min="4616" max="4616" width="14" style="5" customWidth="1"/>
    <col min="4617" max="4617" width="11.42578125" style="5"/>
    <col min="4618" max="4618" width="17.28515625" style="5" customWidth="1"/>
    <col min="4619" max="4864" width="11.42578125" style="5"/>
    <col min="4865" max="4865" width="14.140625" style="5" customWidth="1"/>
    <col min="4866" max="4866" width="55.7109375" style="5" customWidth="1"/>
    <col min="4867" max="4867" width="12.42578125" style="5" bestFit="1" customWidth="1"/>
    <col min="4868" max="4868" width="11.28515625" style="5" bestFit="1" customWidth="1"/>
    <col min="4869" max="4869" width="6.140625" style="5" bestFit="1" customWidth="1"/>
    <col min="4870" max="4870" width="13.140625" style="5" customWidth="1"/>
    <col min="4871" max="4871" width="3.5703125" style="5" customWidth="1"/>
    <col min="4872" max="4872" width="14" style="5" customWidth="1"/>
    <col min="4873" max="4873" width="11.42578125" style="5"/>
    <col min="4874" max="4874" width="17.28515625" style="5" customWidth="1"/>
    <col min="4875" max="5120" width="11.42578125" style="5"/>
    <col min="5121" max="5121" width="14.140625" style="5" customWidth="1"/>
    <col min="5122" max="5122" width="55.7109375" style="5" customWidth="1"/>
    <col min="5123" max="5123" width="12.42578125" style="5" bestFit="1" customWidth="1"/>
    <col min="5124" max="5124" width="11.28515625" style="5" bestFit="1" customWidth="1"/>
    <col min="5125" max="5125" width="6.140625" style="5" bestFit="1" customWidth="1"/>
    <col min="5126" max="5126" width="13.140625" style="5" customWidth="1"/>
    <col min="5127" max="5127" width="3.5703125" style="5" customWidth="1"/>
    <col min="5128" max="5128" width="14" style="5" customWidth="1"/>
    <col min="5129" max="5129" width="11.42578125" style="5"/>
    <col min="5130" max="5130" width="17.28515625" style="5" customWidth="1"/>
    <col min="5131" max="5376" width="11.42578125" style="5"/>
    <col min="5377" max="5377" width="14.140625" style="5" customWidth="1"/>
    <col min="5378" max="5378" width="55.7109375" style="5" customWidth="1"/>
    <col min="5379" max="5379" width="12.42578125" style="5" bestFit="1" customWidth="1"/>
    <col min="5380" max="5380" width="11.28515625" style="5" bestFit="1" customWidth="1"/>
    <col min="5381" max="5381" width="6.140625" style="5" bestFit="1" customWidth="1"/>
    <col min="5382" max="5382" width="13.140625" style="5" customWidth="1"/>
    <col min="5383" max="5383" width="3.5703125" style="5" customWidth="1"/>
    <col min="5384" max="5384" width="14" style="5" customWidth="1"/>
    <col min="5385" max="5385" width="11.42578125" style="5"/>
    <col min="5386" max="5386" width="17.28515625" style="5" customWidth="1"/>
    <col min="5387" max="5632" width="11.42578125" style="5"/>
    <col min="5633" max="5633" width="14.140625" style="5" customWidth="1"/>
    <col min="5634" max="5634" width="55.7109375" style="5" customWidth="1"/>
    <col min="5635" max="5635" width="12.42578125" style="5" bestFit="1" customWidth="1"/>
    <col min="5636" max="5636" width="11.28515625" style="5" bestFit="1" customWidth="1"/>
    <col min="5637" max="5637" width="6.140625" style="5" bestFit="1" customWidth="1"/>
    <col min="5638" max="5638" width="13.140625" style="5" customWidth="1"/>
    <col min="5639" max="5639" width="3.5703125" style="5" customWidth="1"/>
    <col min="5640" max="5640" width="14" style="5" customWidth="1"/>
    <col min="5641" max="5641" width="11.42578125" style="5"/>
    <col min="5642" max="5642" width="17.28515625" style="5" customWidth="1"/>
    <col min="5643" max="5888" width="11.42578125" style="5"/>
    <col min="5889" max="5889" width="14.140625" style="5" customWidth="1"/>
    <col min="5890" max="5890" width="55.7109375" style="5" customWidth="1"/>
    <col min="5891" max="5891" width="12.42578125" style="5" bestFit="1" customWidth="1"/>
    <col min="5892" max="5892" width="11.28515625" style="5" bestFit="1" customWidth="1"/>
    <col min="5893" max="5893" width="6.140625" style="5" bestFit="1" customWidth="1"/>
    <col min="5894" max="5894" width="13.140625" style="5" customWidth="1"/>
    <col min="5895" max="5895" width="3.5703125" style="5" customWidth="1"/>
    <col min="5896" max="5896" width="14" style="5" customWidth="1"/>
    <col min="5897" max="5897" width="11.42578125" style="5"/>
    <col min="5898" max="5898" width="17.28515625" style="5" customWidth="1"/>
    <col min="5899" max="6144" width="11.42578125" style="5"/>
    <col min="6145" max="6145" width="14.140625" style="5" customWidth="1"/>
    <col min="6146" max="6146" width="55.7109375" style="5" customWidth="1"/>
    <col min="6147" max="6147" width="12.42578125" style="5" bestFit="1" customWidth="1"/>
    <col min="6148" max="6148" width="11.28515625" style="5" bestFit="1" customWidth="1"/>
    <col min="6149" max="6149" width="6.140625" style="5" bestFit="1" customWidth="1"/>
    <col min="6150" max="6150" width="13.140625" style="5" customWidth="1"/>
    <col min="6151" max="6151" width="3.5703125" style="5" customWidth="1"/>
    <col min="6152" max="6152" width="14" style="5" customWidth="1"/>
    <col min="6153" max="6153" width="11.42578125" style="5"/>
    <col min="6154" max="6154" width="17.28515625" style="5" customWidth="1"/>
    <col min="6155" max="6400" width="11.42578125" style="5"/>
    <col min="6401" max="6401" width="14.140625" style="5" customWidth="1"/>
    <col min="6402" max="6402" width="55.7109375" style="5" customWidth="1"/>
    <col min="6403" max="6403" width="12.42578125" style="5" bestFit="1" customWidth="1"/>
    <col min="6404" max="6404" width="11.28515625" style="5" bestFit="1" customWidth="1"/>
    <col min="6405" max="6405" width="6.140625" style="5" bestFit="1" customWidth="1"/>
    <col min="6406" max="6406" width="13.140625" style="5" customWidth="1"/>
    <col min="6407" max="6407" width="3.5703125" style="5" customWidth="1"/>
    <col min="6408" max="6408" width="14" style="5" customWidth="1"/>
    <col min="6409" max="6409" width="11.42578125" style="5"/>
    <col min="6410" max="6410" width="17.28515625" style="5" customWidth="1"/>
    <col min="6411" max="6656" width="11.42578125" style="5"/>
    <col min="6657" max="6657" width="14.140625" style="5" customWidth="1"/>
    <col min="6658" max="6658" width="55.7109375" style="5" customWidth="1"/>
    <col min="6659" max="6659" width="12.42578125" style="5" bestFit="1" customWidth="1"/>
    <col min="6660" max="6660" width="11.28515625" style="5" bestFit="1" customWidth="1"/>
    <col min="6661" max="6661" width="6.140625" style="5" bestFit="1" customWidth="1"/>
    <col min="6662" max="6662" width="13.140625" style="5" customWidth="1"/>
    <col min="6663" max="6663" width="3.5703125" style="5" customWidth="1"/>
    <col min="6664" max="6664" width="14" style="5" customWidth="1"/>
    <col min="6665" max="6665" width="11.42578125" style="5"/>
    <col min="6666" max="6666" width="17.28515625" style="5" customWidth="1"/>
    <col min="6667" max="6912" width="11.42578125" style="5"/>
    <col min="6913" max="6913" width="14.140625" style="5" customWidth="1"/>
    <col min="6914" max="6914" width="55.7109375" style="5" customWidth="1"/>
    <col min="6915" max="6915" width="12.42578125" style="5" bestFit="1" customWidth="1"/>
    <col min="6916" max="6916" width="11.28515625" style="5" bestFit="1" customWidth="1"/>
    <col min="6917" max="6917" width="6.140625" style="5" bestFit="1" customWidth="1"/>
    <col min="6918" max="6918" width="13.140625" style="5" customWidth="1"/>
    <col min="6919" max="6919" width="3.5703125" style="5" customWidth="1"/>
    <col min="6920" max="6920" width="14" style="5" customWidth="1"/>
    <col min="6921" max="6921" width="11.42578125" style="5"/>
    <col min="6922" max="6922" width="17.28515625" style="5" customWidth="1"/>
    <col min="6923" max="7168" width="11.42578125" style="5"/>
    <col min="7169" max="7169" width="14.140625" style="5" customWidth="1"/>
    <col min="7170" max="7170" width="55.7109375" style="5" customWidth="1"/>
    <col min="7171" max="7171" width="12.42578125" style="5" bestFit="1" customWidth="1"/>
    <col min="7172" max="7172" width="11.28515625" style="5" bestFit="1" customWidth="1"/>
    <col min="7173" max="7173" width="6.140625" style="5" bestFit="1" customWidth="1"/>
    <col min="7174" max="7174" width="13.140625" style="5" customWidth="1"/>
    <col min="7175" max="7175" width="3.5703125" style="5" customWidth="1"/>
    <col min="7176" max="7176" width="14" style="5" customWidth="1"/>
    <col min="7177" max="7177" width="11.42578125" style="5"/>
    <col min="7178" max="7178" width="17.28515625" style="5" customWidth="1"/>
    <col min="7179" max="7424" width="11.42578125" style="5"/>
    <col min="7425" max="7425" width="14.140625" style="5" customWidth="1"/>
    <col min="7426" max="7426" width="55.7109375" style="5" customWidth="1"/>
    <col min="7427" max="7427" width="12.42578125" style="5" bestFit="1" customWidth="1"/>
    <col min="7428" max="7428" width="11.28515625" style="5" bestFit="1" customWidth="1"/>
    <col min="7429" max="7429" width="6.140625" style="5" bestFit="1" customWidth="1"/>
    <col min="7430" max="7430" width="13.140625" style="5" customWidth="1"/>
    <col min="7431" max="7431" width="3.5703125" style="5" customWidth="1"/>
    <col min="7432" max="7432" width="14" style="5" customWidth="1"/>
    <col min="7433" max="7433" width="11.42578125" style="5"/>
    <col min="7434" max="7434" width="17.28515625" style="5" customWidth="1"/>
    <col min="7435" max="7680" width="11.42578125" style="5"/>
    <col min="7681" max="7681" width="14.140625" style="5" customWidth="1"/>
    <col min="7682" max="7682" width="55.7109375" style="5" customWidth="1"/>
    <col min="7683" max="7683" width="12.42578125" style="5" bestFit="1" customWidth="1"/>
    <col min="7684" max="7684" width="11.28515625" style="5" bestFit="1" customWidth="1"/>
    <col min="7685" max="7685" width="6.140625" style="5" bestFit="1" customWidth="1"/>
    <col min="7686" max="7686" width="13.140625" style="5" customWidth="1"/>
    <col min="7687" max="7687" width="3.5703125" style="5" customWidth="1"/>
    <col min="7688" max="7688" width="14" style="5" customWidth="1"/>
    <col min="7689" max="7689" width="11.42578125" style="5"/>
    <col min="7690" max="7690" width="17.28515625" style="5" customWidth="1"/>
    <col min="7691" max="7936" width="11.42578125" style="5"/>
    <col min="7937" max="7937" width="14.140625" style="5" customWidth="1"/>
    <col min="7938" max="7938" width="55.7109375" style="5" customWidth="1"/>
    <col min="7939" max="7939" width="12.42578125" style="5" bestFit="1" customWidth="1"/>
    <col min="7940" max="7940" width="11.28515625" style="5" bestFit="1" customWidth="1"/>
    <col min="7941" max="7941" width="6.140625" style="5" bestFit="1" customWidth="1"/>
    <col min="7942" max="7942" width="13.140625" style="5" customWidth="1"/>
    <col min="7943" max="7943" width="3.5703125" style="5" customWidth="1"/>
    <col min="7944" max="7944" width="14" style="5" customWidth="1"/>
    <col min="7945" max="7945" width="11.42578125" style="5"/>
    <col min="7946" max="7946" width="17.28515625" style="5" customWidth="1"/>
    <col min="7947" max="8192" width="11.42578125" style="5"/>
    <col min="8193" max="8193" width="14.140625" style="5" customWidth="1"/>
    <col min="8194" max="8194" width="55.7109375" style="5" customWidth="1"/>
    <col min="8195" max="8195" width="12.42578125" style="5" bestFit="1" customWidth="1"/>
    <col min="8196" max="8196" width="11.28515625" style="5" bestFit="1" customWidth="1"/>
    <col min="8197" max="8197" width="6.140625" style="5" bestFit="1" customWidth="1"/>
    <col min="8198" max="8198" width="13.140625" style="5" customWidth="1"/>
    <col min="8199" max="8199" width="3.5703125" style="5" customWidth="1"/>
    <col min="8200" max="8200" width="14" style="5" customWidth="1"/>
    <col min="8201" max="8201" width="11.42578125" style="5"/>
    <col min="8202" max="8202" width="17.28515625" style="5" customWidth="1"/>
    <col min="8203" max="8448" width="11.42578125" style="5"/>
    <col min="8449" max="8449" width="14.140625" style="5" customWidth="1"/>
    <col min="8450" max="8450" width="55.7109375" style="5" customWidth="1"/>
    <col min="8451" max="8451" width="12.42578125" style="5" bestFit="1" customWidth="1"/>
    <col min="8452" max="8452" width="11.28515625" style="5" bestFit="1" customWidth="1"/>
    <col min="8453" max="8453" width="6.140625" style="5" bestFit="1" customWidth="1"/>
    <col min="8454" max="8454" width="13.140625" style="5" customWidth="1"/>
    <col min="8455" max="8455" width="3.5703125" style="5" customWidth="1"/>
    <col min="8456" max="8456" width="14" style="5" customWidth="1"/>
    <col min="8457" max="8457" width="11.42578125" style="5"/>
    <col min="8458" max="8458" width="17.28515625" style="5" customWidth="1"/>
    <col min="8459" max="8704" width="11.42578125" style="5"/>
    <col min="8705" max="8705" width="14.140625" style="5" customWidth="1"/>
    <col min="8706" max="8706" width="55.7109375" style="5" customWidth="1"/>
    <col min="8707" max="8707" width="12.42578125" style="5" bestFit="1" customWidth="1"/>
    <col min="8708" max="8708" width="11.28515625" style="5" bestFit="1" customWidth="1"/>
    <col min="8709" max="8709" width="6.140625" style="5" bestFit="1" customWidth="1"/>
    <col min="8710" max="8710" width="13.140625" style="5" customWidth="1"/>
    <col min="8711" max="8711" width="3.5703125" style="5" customWidth="1"/>
    <col min="8712" max="8712" width="14" style="5" customWidth="1"/>
    <col min="8713" max="8713" width="11.42578125" style="5"/>
    <col min="8714" max="8714" width="17.28515625" style="5" customWidth="1"/>
    <col min="8715" max="8960" width="11.42578125" style="5"/>
    <col min="8961" max="8961" width="14.140625" style="5" customWidth="1"/>
    <col min="8962" max="8962" width="55.7109375" style="5" customWidth="1"/>
    <col min="8963" max="8963" width="12.42578125" style="5" bestFit="1" customWidth="1"/>
    <col min="8964" max="8964" width="11.28515625" style="5" bestFit="1" customWidth="1"/>
    <col min="8965" max="8965" width="6.140625" style="5" bestFit="1" customWidth="1"/>
    <col min="8966" max="8966" width="13.140625" style="5" customWidth="1"/>
    <col min="8967" max="8967" width="3.5703125" style="5" customWidth="1"/>
    <col min="8968" max="8968" width="14" style="5" customWidth="1"/>
    <col min="8969" max="8969" width="11.42578125" style="5"/>
    <col min="8970" max="8970" width="17.28515625" style="5" customWidth="1"/>
    <col min="8971" max="9216" width="11.42578125" style="5"/>
    <col min="9217" max="9217" width="14.140625" style="5" customWidth="1"/>
    <col min="9218" max="9218" width="55.7109375" style="5" customWidth="1"/>
    <col min="9219" max="9219" width="12.42578125" style="5" bestFit="1" customWidth="1"/>
    <col min="9220" max="9220" width="11.28515625" style="5" bestFit="1" customWidth="1"/>
    <col min="9221" max="9221" width="6.140625" style="5" bestFit="1" customWidth="1"/>
    <col min="9222" max="9222" width="13.140625" style="5" customWidth="1"/>
    <col min="9223" max="9223" width="3.5703125" style="5" customWidth="1"/>
    <col min="9224" max="9224" width="14" style="5" customWidth="1"/>
    <col min="9225" max="9225" width="11.42578125" style="5"/>
    <col min="9226" max="9226" width="17.28515625" style="5" customWidth="1"/>
    <col min="9227" max="9472" width="11.42578125" style="5"/>
    <col min="9473" max="9473" width="14.140625" style="5" customWidth="1"/>
    <col min="9474" max="9474" width="55.7109375" style="5" customWidth="1"/>
    <col min="9475" max="9475" width="12.42578125" style="5" bestFit="1" customWidth="1"/>
    <col min="9476" max="9476" width="11.28515625" style="5" bestFit="1" customWidth="1"/>
    <col min="9477" max="9477" width="6.140625" style="5" bestFit="1" customWidth="1"/>
    <col min="9478" max="9478" width="13.140625" style="5" customWidth="1"/>
    <col min="9479" max="9479" width="3.5703125" style="5" customWidth="1"/>
    <col min="9480" max="9480" width="14" style="5" customWidth="1"/>
    <col min="9481" max="9481" width="11.42578125" style="5"/>
    <col min="9482" max="9482" width="17.28515625" style="5" customWidth="1"/>
    <col min="9483" max="9728" width="11.42578125" style="5"/>
    <col min="9729" max="9729" width="14.140625" style="5" customWidth="1"/>
    <col min="9730" max="9730" width="55.7109375" style="5" customWidth="1"/>
    <col min="9731" max="9731" width="12.42578125" style="5" bestFit="1" customWidth="1"/>
    <col min="9732" max="9732" width="11.28515625" style="5" bestFit="1" customWidth="1"/>
    <col min="9733" max="9733" width="6.140625" style="5" bestFit="1" customWidth="1"/>
    <col min="9734" max="9734" width="13.140625" style="5" customWidth="1"/>
    <col min="9735" max="9735" width="3.5703125" style="5" customWidth="1"/>
    <col min="9736" max="9736" width="14" style="5" customWidth="1"/>
    <col min="9737" max="9737" width="11.42578125" style="5"/>
    <col min="9738" max="9738" width="17.28515625" style="5" customWidth="1"/>
    <col min="9739" max="9984" width="11.42578125" style="5"/>
    <col min="9985" max="9985" width="14.140625" style="5" customWidth="1"/>
    <col min="9986" max="9986" width="55.7109375" style="5" customWidth="1"/>
    <col min="9987" max="9987" width="12.42578125" style="5" bestFit="1" customWidth="1"/>
    <col min="9988" max="9988" width="11.28515625" style="5" bestFit="1" customWidth="1"/>
    <col min="9989" max="9989" width="6.140625" style="5" bestFit="1" customWidth="1"/>
    <col min="9990" max="9990" width="13.140625" style="5" customWidth="1"/>
    <col min="9991" max="9991" width="3.5703125" style="5" customWidth="1"/>
    <col min="9992" max="9992" width="14" style="5" customWidth="1"/>
    <col min="9993" max="9993" width="11.42578125" style="5"/>
    <col min="9994" max="9994" width="17.28515625" style="5" customWidth="1"/>
    <col min="9995" max="10240" width="11.42578125" style="5"/>
    <col min="10241" max="10241" width="14.140625" style="5" customWidth="1"/>
    <col min="10242" max="10242" width="55.7109375" style="5" customWidth="1"/>
    <col min="10243" max="10243" width="12.42578125" style="5" bestFit="1" customWidth="1"/>
    <col min="10244" max="10244" width="11.28515625" style="5" bestFit="1" customWidth="1"/>
    <col min="10245" max="10245" width="6.140625" style="5" bestFit="1" customWidth="1"/>
    <col min="10246" max="10246" width="13.140625" style="5" customWidth="1"/>
    <col min="10247" max="10247" width="3.5703125" style="5" customWidth="1"/>
    <col min="10248" max="10248" width="14" style="5" customWidth="1"/>
    <col min="10249" max="10249" width="11.42578125" style="5"/>
    <col min="10250" max="10250" width="17.28515625" style="5" customWidth="1"/>
    <col min="10251" max="10496" width="11.42578125" style="5"/>
    <col min="10497" max="10497" width="14.140625" style="5" customWidth="1"/>
    <col min="10498" max="10498" width="55.7109375" style="5" customWidth="1"/>
    <col min="10499" max="10499" width="12.42578125" style="5" bestFit="1" customWidth="1"/>
    <col min="10500" max="10500" width="11.28515625" style="5" bestFit="1" customWidth="1"/>
    <col min="10501" max="10501" width="6.140625" style="5" bestFit="1" customWidth="1"/>
    <col min="10502" max="10502" width="13.140625" style="5" customWidth="1"/>
    <col min="10503" max="10503" width="3.5703125" style="5" customWidth="1"/>
    <col min="10504" max="10504" width="14" style="5" customWidth="1"/>
    <col min="10505" max="10505" width="11.42578125" style="5"/>
    <col min="10506" max="10506" width="17.28515625" style="5" customWidth="1"/>
    <col min="10507" max="10752" width="11.42578125" style="5"/>
    <col min="10753" max="10753" width="14.140625" style="5" customWidth="1"/>
    <col min="10754" max="10754" width="55.7109375" style="5" customWidth="1"/>
    <col min="10755" max="10755" width="12.42578125" style="5" bestFit="1" customWidth="1"/>
    <col min="10756" max="10756" width="11.28515625" style="5" bestFit="1" customWidth="1"/>
    <col min="10757" max="10757" width="6.140625" style="5" bestFit="1" customWidth="1"/>
    <col min="10758" max="10758" width="13.140625" style="5" customWidth="1"/>
    <col min="10759" max="10759" width="3.5703125" style="5" customWidth="1"/>
    <col min="10760" max="10760" width="14" style="5" customWidth="1"/>
    <col min="10761" max="10761" width="11.42578125" style="5"/>
    <col min="10762" max="10762" width="17.28515625" style="5" customWidth="1"/>
    <col min="10763" max="11008" width="11.42578125" style="5"/>
    <col min="11009" max="11009" width="14.140625" style="5" customWidth="1"/>
    <col min="11010" max="11010" width="55.7109375" style="5" customWidth="1"/>
    <col min="11011" max="11011" width="12.42578125" style="5" bestFit="1" customWidth="1"/>
    <col min="11012" max="11012" width="11.28515625" style="5" bestFit="1" customWidth="1"/>
    <col min="11013" max="11013" width="6.140625" style="5" bestFit="1" customWidth="1"/>
    <col min="11014" max="11014" width="13.140625" style="5" customWidth="1"/>
    <col min="11015" max="11015" width="3.5703125" style="5" customWidth="1"/>
    <col min="11016" max="11016" width="14" style="5" customWidth="1"/>
    <col min="11017" max="11017" width="11.42578125" style="5"/>
    <col min="11018" max="11018" width="17.28515625" style="5" customWidth="1"/>
    <col min="11019" max="11264" width="11.42578125" style="5"/>
    <col min="11265" max="11265" width="14.140625" style="5" customWidth="1"/>
    <col min="11266" max="11266" width="55.7109375" style="5" customWidth="1"/>
    <col min="11267" max="11267" width="12.42578125" style="5" bestFit="1" customWidth="1"/>
    <col min="11268" max="11268" width="11.28515625" style="5" bestFit="1" customWidth="1"/>
    <col min="11269" max="11269" width="6.140625" style="5" bestFit="1" customWidth="1"/>
    <col min="11270" max="11270" width="13.140625" style="5" customWidth="1"/>
    <col min="11271" max="11271" width="3.5703125" style="5" customWidth="1"/>
    <col min="11272" max="11272" width="14" style="5" customWidth="1"/>
    <col min="11273" max="11273" width="11.42578125" style="5"/>
    <col min="11274" max="11274" width="17.28515625" style="5" customWidth="1"/>
    <col min="11275" max="11520" width="11.42578125" style="5"/>
    <col min="11521" max="11521" width="14.140625" style="5" customWidth="1"/>
    <col min="11522" max="11522" width="55.7109375" style="5" customWidth="1"/>
    <col min="11523" max="11523" width="12.42578125" style="5" bestFit="1" customWidth="1"/>
    <col min="11524" max="11524" width="11.28515625" style="5" bestFit="1" customWidth="1"/>
    <col min="11525" max="11525" width="6.140625" style="5" bestFit="1" customWidth="1"/>
    <col min="11526" max="11526" width="13.140625" style="5" customWidth="1"/>
    <col min="11527" max="11527" width="3.5703125" style="5" customWidth="1"/>
    <col min="11528" max="11528" width="14" style="5" customWidth="1"/>
    <col min="11529" max="11529" width="11.42578125" style="5"/>
    <col min="11530" max="11530" width="17.28515625" style="5" customWidth="1"/>
    <col min="11531" max="11776" width="11.42578125" style="5"/>
    <col min="11777" max="11777" width="14.140625" style="5" customWidth="1"/>
    <col min="11778" max="11778" width="55.7109375" style="5" customWidth="1"/>
    <col min="11779" max="11779" width="12.42578125" style="5" bestFit="1" customWidth="1"/>
    <col min="11780" max="11780" width="11.28515625" style="5" bestFit="1" customWidth="1"/>
    <col min="11781" max="11781" width="6.140625" style="5" bestFit="1" customWidth="1"/>
    <col min="11782" max="11782" width="13.140625" style="5" customWidth="1"/>
    <col min="11783" max="11783" width="3.5703125" style="5" customWidth="1"/>
    <col min="11784" max="11784" width="14" style="5" customWidth="1"/>
    <col min="11785" max="11785" width="11.42578125" style="5"/>
    <col min="11786" max="11786" width="17.28515625" style="5" customWidth="1"/>
    <col min="11787" max="12032" width="11.42578125" style="5"/>
    <col min="12033" max="12033" width="14.140625" style="5" customWidth="1"/>
    <col min="12034" max="12034" width="55.7109375" style="5" customWidth="1"/>
    <col min="12035" max="12035" width="12.42578125" style="5" bestFit="1" customWidth="1"/>
    <col min="12036" max="12036" width="11.28515625" style="5" bestFit="1" customWidth="1"/>
    <col min="12037" max="12037" width="6.140625" style="5" bestFit="1" customWidth="1"/>
    <col min="12038" max="12038" width="13.140625" style="5" customWidth="1"/>
    <col min="12039" max="12039" width="3.5703125" style="5" customWidth="1"/>
    <col min="12040" max="12040" width="14" style="5" customWidth="1"/>
    <col min="12041" max="12041" width="11.42578125" style="5"/>
    <col min="12042" max="12042" width="17.28515625" style="5" customWidth="1"/>
    <col min="12043" max="12288" width="11.42578125" style="5"/>
    <col min="12289" max="12289" width="14.140625" style="5" customWidth="1"/>
    <col min="12290" max="12290" width="55.7109375" style="5" customWidth="1"/>
    <col min="12291" max="12291" width="12.42578125" style="5" bestFit="1" customWidth="1"/>
    <col min="12292" max="12292" width="11.28515625" style="5" bestFit="1" customWidth="1"/>
    <col min="12293" max="12293" width="6.140625" style="5" bestFit="1" customWidth="1"/>
    <col min="12294" max="12294" width="13.140625" style="5" customWidth="1"/>
    <col min="12295" max="12295" width="3.5703125" style="5" customWidth="1"/>
    <col min="12296" max="12296" width="14" style="5" customWidth="1"/>
    <col min="12297" max="12297" width="11.42578125" style="5"/>
    <col min="12298" max="12298" width="17.28515625" style="5" customWidth="1"/>
    <col min="12299" max="12544" width="11.42578125" style="5"/>
    <col min="12545" max="12545" width="14.140625" style="5" customWidth="1"/>
    <col min="12546" max="12546" width="55.7109375" style="5" customWidth="1"/>
    <col min="12547" max="12547" width="12.42578125" style="5" bestFit="1" customWidth="1"/>
    <col min="12548" max="12548" width="11.28515625" style="5" bestFit="1" customWidth="1"/>
    <col min="12549" max="12549" width="6.140625" style="5" bestFit="1" customWidth="1"/>
    <col min="12550" max="12550" width="13.140625" style="5" customWidth="1"/>
    <col min="12551" max="12551" width="3.5703125" style="5" customWidth="1"/>
    <col min="12552" max="12552" width="14" style="5" customWidth="1"/>
    <col min="12553" max="12553" width="11.42578125" style="5"/>
    <col min="12554" max="12554" width="17.28515625" style="5" customWidth="1"/>
    <col min="12555" max="12800" width="11.42578125" style="5"/>
    <col min="12801" max="12801" width="14.140625" style="5" customWidth="1"/>
    <col min="12802" max="12802" width="55.7109375" style="5" customWidth="1"/>
    <col min="12803" max="12803" width="12.42578125" style="5" bestFit="1" customWidth="1"/>
    <col min="12804" max="12804" width="11.28515625" style="5" bestFit="1" customWidth="1"/>
    <col min="12805" max="12805" width="6.140625" style="5" bestFit="1" customWidth="1"/>
    <col min="12806" max="12806" width="13.140625" style="5" customWidth="1"/>
    <col min="12807" max="12807" width="3.5703125" style="5" customWidth="1"/>
    <col min="12808" max="12808" width="14" style="5" customWidth="1"/>
    <col min="12809" max="12809" width="11.42578125" style="5"/>
    <col min="12810" max="12810" width="17.28515625" style="5" customWidth="1"/>
    <col min="12811" max="13056" width="11.42578125" style="5"/>
    <col min="13057" max="13057" width="14.140625" style="5" customWidth="1"/>
    <col min="13058" max="13058" width="55.7109375" style="5" customWidth="1"/>
    <col min="13059" max="13059" width="12.42578125" style="5" bestFit="1" customWidth="1"/>
    <col min="13060" max="13060" width="11.28515625" style="5" bestFit="1" customWidth="1"/>
    <col min="13061" max="13061" width="6.140625" style="5" bestFit="1" customWidth="1"/>
    <col min="13062" max="13062" width="13.140625" style="5" customWidth="1"/>
    <col min="13063" max="13063" width="3.5703125" style="5" customWidth="1"/>
    <col min="13064" max="13064" width="14" style="5" customWidth="1"/>
    <col min="13065" max="13065" width="11.42578125" style="5"/>
    <col min="13066" max="13066" width="17.28515625" style="5" customWidth="1"/>
    <col min="13067" max="13312" width="11.42578125" style="5"/>
    <col min="13313" max="13313" width="14.140625" style="5" customWidth="1"/>
    <col min="13314" max="13314" width="55.7109375" style="5" customWidth="1"/>
    <col min="13315" max="13315" width="12.42578125" style="5" bestFit="1" customWidth="1"/>
    <col min="13316" max="13316" width="11.28515625" style="5" bestFit="1" customWidth="1"/>
    <col min="13317" max="13317" width="6.140625" style="5" bestFit="1" customWidth="1"/>
    <col min="13318" max="13318" width="13.140625" style="5" customWidth="1"/>
    <col min="13319" max="13319" width="3.5703125" style="5" customWidth="1"/>
    <col min="13320" max="13320" width="14" style="5" customWidth="1"/>
    <col min="13321" max="13321" width="11.42578125" style="5"/>
    <col min="13322" max="13322" width="17.28515625" style="5" customWidth="1"/>
    <col min="13323" max="13568" width="11.42578125" style="5"/>
    <col min="13569" max="13569" width="14.140625" style="5" customWidth="1"/>
    <col min="13570" max="13570" width="55.7109375" style="5" customWidth="1"/>
    <col min="13571" max="13571" width="12.42578125" style="5" bestFit="1" customWidth="1"/>
    <col min="13572" max="13572" width="11.28515625" style="5" bestFit="1" customWidth="1"/>
    <col min="13573" max="13573" width="6.140625" style="5" bestFit="1" customWidth="1"/>
    <col min="13574" max="13574" width="13.140625" style="5" customWidth="1"/>
    <col min="13575" max="13575" width="3.5703125" style="5" customWidth="1"/>
    <col min="13576" max="13576" width="14" style="5" customWidth="1"/>
    <col min="13577" max="13577" width="11.42578125" style="5"/>
    <col min="13578" max="13578" width="17.28515625" style="5" customWidth="1"/>
    <col min="13579" max="13824" width="11.42578125" style="5"/>
    <col min="13825" max="13825" width="14.140625" style="5" customWidth="1"/>
    <col min="13826" max="13826" width="55.7109375" style="5" customWidth="1"/>
    <col min="13827" max="13827" width="12.42578125" style="5" bestFit="1" customWidth="1"/>
    <col min="13828" max="13828" width="11.28515625" style="5" bestFit="1" customWidth="1"/>
    <col min="13829" max="13829" width="6.140625" style="5" bestFit="1" customWidth="1"/>
    <col min="13830" max="13830" width="13.140625" style="5" customWidth="1"/>
    <col min="13831" max="13831" width="3.5703125" style="5" customWidth="1"/>
    <col min="13832" max="13832" width="14" style="5" customWidth="1"/>
    <col min="13833" max="13833" width="11.42578125" style="5"/>
    <col min="13834" max="13834" width="17.28515625" style="5" customWidth="1"/>
    <col min="13835" max="14080" width="11.42578125" style="5"/>
    <col min="14081" max="14081" width="14.140625" style="5" customWidth="1"/>
    <col min="14082" max="14082" width="55.7109375" style="5" customWidth="1"/>
    <col min="14083" max="14083" width="12.42578125" style="5" bestFit="1" customWidth="1"/>
    <col min="14084" max="14084" width="11.28515625" style="5" bestFit="1" customWidth="1"/>
    <col min="14085" max="14085" width="6.140625" style="5" bestFit="1" customWidth="1"/>
    <col min="14086" max="14086" width="13.140625" style="5" customWidth="1"/>
    <col min="14087" max="14087" width="3.5703125" style="5" customWidth="1"/>
    <col min="14088" max="14088" width="14" style="5" customWidth="1"/>
    <col min="14089" max="14089" width="11.42578125" style="5"/>
    <col min="14090" max="14090" width="17.28515625" style="5" customWidth="1"/>
    <col min="14091" max="14336" width="11.42578125" style="5"/>
    <col min="14337" max="14337" width="14.140625" style="5" customWidth="1"/>
    <col min="14338" max="14338" width="55.7109375" style="5" customWidth="1"/>
    <col min="14339" max="14339" width="12.42578125" style="5" bestFit="1" customWidth="1"/>
    <col min="14340" max="14340" width="11.28515625" style="5" bestFit="1" customWidth="1"/>
    <col min="14341" max="14341" width="6.140625" style="5" bestFit="1" customWidth="1"/>
    <col min="14342" max="14342" width="13.140625" style="5" customWidth="1"/>
    <col min="14343" max="14343" width="3.5703125" style="5" customWidth="1"/>
    <col min="14344" max="14344" width="14" style="5" customWidth="1"/>
    <col min="14345" max="14345" width="11.42578125" style="5"/>
    <col min="14346" max="14346" width="17.28515625" style="5" customWidth="1"/>
    <col min="14347" max="14592" width="11.42578125" style="5"/>
    <col min="14593" max="14593" width="14.140625" style="5" customWidth="1"/>
    <col min="14594" max="14594" width="55.7109375" style="5" customWidth="1"/>
    <col min="14595" max="14595" width="12.42578125" style="5" bestFit="1" customWidth="1"/>
    <col min="14596" max="14596" width="11.28515625" style="5" bestFit="1" customWidth="1"/>
    <col min="14597" max="14597" width="6.140625" style="5" bestFit="1" customWidth="1"/>
    <col min="14598" max="14598" width="13.140625" style="5" customWidth="1"/>
    <col min="14599" max="14599" width="3.5703125" style="5" customWidth="1"/>
    <col min="14600" max="14600" width="14" style="5" customWidth="1"/>
    <col min="14601" max="14601" width="11.42578125" style="5"/>
    <col min="14602" max="14602" width="17.28515625" style="5" customWidth="1"/>
    <col min="14603" max="14848" width="11.42578125" style="5"/>
    <col min="14849" max="14849" width="14.140625" style="5" customWidth="1"/>
    <col min="14850" max="14850" width="55.7109375" style="5" customWidth="1"/>
    <col min="14851" max="14851" width="12.42578125" style="5" bestFit="1" customWidth="1"/>
    <col min="14852" max="14852" width="11.28515625" style="5" bestFit="1" customWidth="1"/>
    <col min="14853" max="14853" width="6.140625" style="5" bestFit="1" customWidth="1"/>
    <col min="14854" max="14854" width="13.140625" style="5" customWidth="1"/>
    <col min="14855" max="14855" width="3.5703125" style="5" customWidth="1"/>
    <col min="14856" max="14856" width="14" style="5" customWidth="1"/>
    <col min="14857" max="14857" width="11.42578125" style="5"/>
    <col min="14858" max="14858" width="17.28515625" style="5" customWidth="1"/>
    <col min="14859" max="15104" width="11.42578125" style="5"/>
    <col min="15105" max="15105" width="14.140625" style="5" customWidth="1"/>
    <col min="15106" max="15106" width="55.7109375" style="5" customWidth="1"/>
    <col min="15107" max="15107" width="12.42578125" style="5" bestFit="1" customWidth="1"/>
    <col min="15108" max="15108" width="11.28515625" style="5" bestFit="1" customWidth="1"/>
    <col min="15109" max="15109" width="6.140625" style="5" bestFit="1" customWidth="1"/>
    <col min="15110" max="15110" width="13.140625" style="5" customWidth="1"/>
    <col min="15111" max="15111" width="3.5703125" style="5" customWidth="1"/>
    <col min="15112" max="15112" width="14" style="5" customWidth="1"/>
    <col min="15113" max="15113" width="11.42578125" style="5"/>
    <col min="15114" max="15114" width="17.28515625" style="5" customWidth="1"/>
    <col min="15115" max="15360" width="11.42578125" style="5"/>
    <col min="15361" max="15361" width="14.140625" style="5" customWidth="1"/>
    <col min="15362" max="15362" width="55.7109375" style="5" customWidth="1"/>
    <col min="15363" max="15363" width="12.42578125" style="5" bestFit="1" customWidth="1"/>
    <col min="15364" max="15364" width="11.28515625" style="5" bestFit="1" customWidth="1"/>
    <col min="15365" max="15365" width="6.140625" style="5" bestFit="1" customWidth="1"/>
    <col min="15366" max="15366" width="13.140625" style="5" customWidth="1"/>
    <col min="15367" max="15367" width="3.5703125" style="5" customWidth="1"/>
    <col min="15368" max="15368" width="14" style="5" customWidth="1"/>
    <col min="15369" max="15369" width="11.42578125" style="5"/>
    <col min="15370" max="15370" width="17.28515625" style="5" customWidth="1"/>
    <col min="15371" max="15616" width="11.42578125" style="5"/>
    <col min="15617" max="15617" width="14.140625" style="5" customWidth="1"/>
    <col min="15618" max="15618" width="55.7109375" style="5" customWidth="1"/>
    <col min="15619" max="15619" width="12.42578125" style="5" bestFit="1" customWidth="1"/>
    <col min="15620" max="15620" width="11.28515625" style="5" bestFit="1" customWidth="1"/>
    <col min="15621" max="15621" width="6.140625" style="5" bestFit="1" customWidth="1"/>
    <col min="15622" max="15622" width="13.140625" style="5" customWidth="1"/>
    <col min="15623" max="15623" width="3.5703125" style="5" customWidth="1"/>
    <col min="15624" max="15624" width="14" style="5" customWidth="1"/>
    <col min="15625" max="15625" width="11.42578125" style="5"/>
    <col min="15626" max="15626" width="17.28515625" style="5" customWidth="1"/>
    <col min="15627" max="15872" width="11.42578125" style="5"/>
    <col min="15873" max="15873" width="14.140625" style="5" customWidth="1"/>
    <col min="15874" max="15874" width="55.7109375" style="5" customWidth="1"/>
    <col min="15875" max="15875" width="12.42578125" style="5" bestFit="1" customWidth="1"/>
    <col min="15876" max="15876" width="11.28515625" style="5" bestFit="1" customWidth="1"/>
    <col min="15877" max="15877" width="6.140625" style="5" bestFit="1" customWidth="1"/>
    <col min="15878" max="15878" width="13.140625" style="5" customWidth="1"/>
    <col min="15879" max="15879" width="3.5703125" style="5" customWidth="1"/>
    <col min="15880" max="15880" width="14" style="5" customWidth="1"/>
    <col min="15881" max="15881" width="11.42578125" style="5"/>
    <col min="15882" max="15882" width="17.28515625" style="5" customWidth="1"/>
    <col min="15883" max="16128" width="11.42578125" style="5"/>
    <col min="16129" max="16129" width="14.140625" style="5" customWidth="1"/>
    <col min="16130" max="16130" width="55.7109375" style="5" customWidth="1"/>
    <col min="16131" max="16131" width="12.42578125" style="5" bestFit="1" customWidth="1"/>
    <col min="16132" max="16132" width="11.28515625" style="5" bestFit="1" customWidth="1"/>
    <col min="16133" max="16133" width="6.140625" style="5" bestFit="1" customWidth="1"/>
    <col min="16134" max="16134" width="13.140625" style="5" customWidth="1"/>
    <col min="16135" max="16135" width="3.5703125" style="5" customWidth="1"/>
    <col min="16136" max="16136" width="14" style="5" customWidth="1"/>
    <col min="16137" max="16137" width="11.42578125" style="5"/>
    <col min="16138" max="16138" width="17.28515625" style="5" customWidth="1"/>
    <col min="16139" max="16384" width="11.42578125" style="5"/>
  </cols>
  <sheetData>
    <row r="1" spans="1:8" x14ac:dyDescent="0.2">
      <c r="A1" s="1" t="s">
        <v>0</v>
      </c>
      <c r="B1" s="2"/>
      <c r="C1" s="7"/>
      <c r="D1" s="160"/>
      <c r="E1" s="3"/>
      <c r="F1" s="3"/>
      <c r="G1" s="3"/>
      <c r="H1" s="4"/>
    </row>
    <row r="2" spans="1:8" x14ac:dyDescent="0.2">
      <c r="A2" s="1"/>
      <c r="B2" s="2"/>
      <c r="C2" s="7"/>
      <c r="D2" s="160"/>
      <c r="E2" s="3"/>
      <c r="F2" s="3"/>
      <c r="G2" s="3"/>
      <c r="H2" s="4"/>
    </row>
    <row r="3" spans="1:8" x14ac:dyDescent="0.2">
      <c r="A3" s="1"/>
      <c r="B3" s="2"/>
      <c r="C3" s="7"/>
      <c r="D3" s="160"/>
      <c r="E3" s="3"/>
      <c r="F3" s="3"/>
      <c r="G3" s="3"/>
      <c r="H3" s="4"/>
    </row>
    <row r="4" spans="1:8" x14ac:dyDescent="0.2">
      <c r="A4" s="1" t="s">
        <v>1</v>
      </c>
      <c r="B4" s="1"/>
      <c r="E4" s="5"/>
      <c r="G4" s="5"/>
    </row>
    <row r="5" spans="1:8" x14ac:dyDescent="0.2">
      <c r="A5" s="7"/>
      <c r="B5" s="2"/>
      <c r="C5" s="7"/>
      <c r="D5" s="160"/>
      <c r="E5" s="3"/>
      <c r="F5" s="3"/>
      <c r="G5" s="3"/>
      <c r="H5" s="4"/>
    </row>
    <row r="6" spans="1:8" x14ac:dyDescent="0.2">
      <c r="A6" s="7"/>
      <c r="B6" s="2"/>
      <c r="C6" s="7"/>
      <c r="D6" s="160"/>
      <c r="E6" s="3"/>
      <c r="F6" s="3"/>
      <c r="G6" s="3"/>
      <c r="H6" s="4"/>
    </row>
    <row r="7" spans="1:8" x14ac:dyDescent="0.2">
      <c r="A7" s="7"/>
      <c r="B7" s="8" t="s">
        <v>2</v>
      </c>
      <c r="C7" s="7"/>
      <c r="D7" s="160"/>
      <c r="E7" s="3"/>
      <c r="F7" s="3"/>
      <c r="G7" s="3"/>
      <c r="H7" s="4"/>
    </row>
    <row r="8" spans="1:8" x14ac:dyDescent="0.2">
      <c r="A8" s="7"/>
      <c r="B8" s="2"/>
      <c r="C8" s="7"/>
      <c r="D8" s="160"/>
      <c r="E8" s="3"/>
      <c r="F8" s="3"/>
      <c r="G8" s="3"/>
      <c r="H8" s="4"/>
    </row>
    <row r="9" spans="1:8" ht="13.5" customHeight="1" x14ac:dyDescent="0.2">
      <c r="A9" s="9" t="s">
        <v>9027</v>
      </c>
      <c r="B9" s="9"/>
      <c r="C9" s="74"/>
      <c r="D9" s="160"/>
      <c r="E9" s="3"/>
      <c r="F9" s="3"/>
      <c r="G9" s="10" t="s">
        <v>3</v>
      </c>
      <c r="H9" s="11">
        <v>63163.75</v>
      </c>
    </row>
    <row r="10" spans="1:8" x14ac:dyDescent="0.2">
      <c r="A10" s="3"/>
      <c r="B10" s="8"/>
      <c r="C10" s="7"/>
      <c r="D10" s="160"/>
      <c r="E10" s="3"/>
      <c r="F10" s="3"/>
      <c r="G10" s="3"/>
      <c r="H10" s="4"/>
    </row>
    <row r="11" spans="1:8" x14ac:dyDescent="0.2">
      <c r="A11" s="12"/>
      <c r="B11" s="13" t="s">
        <v>4</v>
      </c>
      <c r="C11" s="7"/>
      <c r="D11" s="162"/>
      <c r="E11" s="14"/>
      <c r="F11" s="15"/>
      <c r="G11" s="3"/>
      <c r="H11" s="4"/>
    </row>
    <row r="12" spans="1:8" ht="12.75" customHeight="1" x14ac:dyDescent="0.2">
      <c r="A12" s="12"/>
      <c r="B12" s="16" t="s">
        <v>1553</v>
      </c>
      <c r="C12" s="7"/>
      <c r="D12" s="162"/>
      <c r="E12" s="14"/>
      <c r="F12" s="15"/>
      <c r="G12" s="3"/>
      <c r="H12" s="4"/>
    </row>
    <row r="13" spans="1:8" x14ac:dyDescent="0.2">
      <c r="A13" s="12"/>
      <c r="B13" s="8"/>
      <c r="C13" s="7"/>
      <c r="D13" s="162"/>
      <c r="E13" s="14"/>
      <c r="F13" s="15"/>
      <c r="G13" s="3"/>
      <c r="H13" s="4"/>
    </row>
    <row r="14" spans="1:8" ht="12.75" x14ac:dyDescent="0.2">
      <c r="A14" s="38" t="s">
        <v>5</v>
      </c>
      <c r="B14" s="39" t="s">
        <v>6</v>
      </c>
      <c r="C14" s="75" t="s">
        <v>7</v>
      </c>
      <c r="D14" s="163" t="s">
        <v>8</v>
      </c>
      <c r="E14" s="41"/>
      <c r="F14" s="41" t="s">
        <v>9</v>
      </c>
      <c r="G14" s="42"/>
      <c r="H14" s="36"/>
    </row>
    <row r="15" spans="1:8" ht="12.75" x14ac:dyDescent="0.2">
      <c r="A15" s="90"/>
      <c r="B15" s="89"/>
      <c r="C15" s="91"/>
      <c r="D15" s="164"/>
      <c r="E15" s="41"/>
      <c r="F15" s="46"/>
      <c r="G15" s="42"/>
      <c r="H15" s="36"/>
    </row>
    <row r="16" spans="1:8" ht="12.75" x14ac:dyDescent="0.2">
      <c r="A16" s="47"/>
      <c r="B16" s="48"/>
      <c r="C16" s="77"/>
      <c r="D16" s="149"/>
      <c r="E16" s="41"/>
      <c r="F16" s="68"/>
      <c r="G16" s="42"/>
      <c r="H16" s="49">
        <f>SUM(F15:F15)</f>
        <v>0</v>
      </c>
    </row>
    <row r="17" spans="1:9" ht="12.75" x14ac:dyDescent="0.2">
      <c r="A17" s="38"/>
      <c r="B17" s="50"/>
      <c r="C17" s="78"/>
      <c r="D17" s="163"/>
      <c r="E17" s="41"/>
      <c r="F17" s="51"/>
      <c r="G17" s="52"/>
      <c r="H17" s="36"/>
    </row>
    <row r="18" spans="1:9" ht="12.75" x14ac:dyDescent="0.2">
      <c r="A18" s="42"/>
      <c r="B18" s="53" t="s">
        <v>4</v>
      </c>
      <c r="C18" s="78"/>
      <c r="D18" s="165"/>
      <c r="E18" s="54"/>
      <c r="F18" s="41" t="s">
        <v>9</v>
      </c>
      <c r="G18" s="42"/>
      <c r="H18" s="36"/>
    </row>
    <row r="19" spans="1:9" ht="13.5" customHeight="1" x14ac:dyDescent="0.2">
      <c r="A19" s="40" t="s">
        <v>5</v>
      </c>
      <c r="B19" s="55" t="s">
        <v>10</v>
      </c>
      <c r="C19" s="78"/>
      <c r="D19" s="165"/>
      <c r="E19" s="54"/>
      <c r="F19" s="51"/>
      <c r="G19" s="42"/>
      <c r="H19" s="36"/>
    </row>
    <row r="20" spans="1:9" ht="12.75" x14ac:dyDescent="0.2">
      <c r="A20" s="155"/>
      <c r="B20" s="156"/>
      <c r="C20" s="157"/>
      <c r="D20" s="158"/>
      <c r="E20" s="154"/>
      <c r="F20" s="191"/>
      <c r="G20" s="42"/>
    </row>
    <row r="21" spans="1:9" ht="12.75" x14ac:dyDescent="0.2">
      <c r="A21" s="155"/>
      <c r="B21" s="156"/>
      <c r="C21" s="157"/>
      <c r="D21" s="158"/>
      <c r="E21" s="154"/>
      <c r="F21" s="159"/>
      <c r="G21" s="42"/>
      <c r="H21" s="49">
        <f>SUM(F20:F20)</f>
        <v>0</v>
      </c>
    </row>
    <row r="22" spans="1:9" s="20" customFormat="1" ht="12.75" x14ac:dyDescent="0.2">
      <c r="A22" s="58"/>
      <c r="B22" s="59" t="s">
        <v>12</v>
      </c>
      <c r="C22" s="75"/>
      <c r="D22" s="166"/>
      <c r="E22" s="40"/>
      <c r="F22" s="42"/>
      <c r="G22" s="60"/>
      <c r="H22" s="37"/>
    </row>
    <row r="23" spans="1:9" s="20" customFormat="1" ht="12.75" x14ac:dyDescent="0.2">
      <c r="A23" s="40" t="s">
        <v>5</v>
      </c>
      <c r="B23" s="59" t="s">
        <v>13</v>
      </c>
      <c r="C23" s="75"/>
      <c r="D23" s="166"/>
      <c r="E23" s="40"/>
      <c r="F23" s="41" t="s">
        <v>9</v>
      </c>
      <c r="G23" s="60"/>
      <c r="H23" s="37"/>
    </row>
    <row r="24" spans="1:9" ht="12.75" x14ac:dyDescent="0.2">
      <c r="A24" s="43"/>
      <c r="B24" s="44"/>
      <c r="C24" s="78"/>
      <c r="D24" s="165"/>
      <c r="E24" s="54"/>
      <c r="F24" s="69"/>
      <c r="G24" s="42"/>
      <c r="H24" s="36"/>
    </row>
    <row r="25" spans="1:9" ht="12.75" x14ac:dyDescent="0.2">
      <c r="A25" s="61"/>
      <c r="B25" s="57"/>
      <c r="C25" s="78"/>
      <c r="D25" s="165"/>
      <c r="E25" s="54"/>
      <c r="F25" s="51"/>
      <c r="G25" s="42"/>
      <c r="H25" s="49">
        <f>SUM(F24:F24)</f>
        <v>0</v>
      </c>
    </row>
    <row r="26" spans="1:9" ht="12.75" x14ac:dyDescent="0.2">
      <c r="A26" s="42"/>
      <c r="B26" s="57"/>
      <c r="C26" s="78"/>
      <c r="D26" s="165"/>
      <c r="E26" s="54"/>
      <c r="F26" s="51"/>
      <c r="G26" s="42"/>
      <c r="H26" s="36"/>
    </row>
    <row r="27" spans="1:9" ht="12.75" x14ac:dyDescent="0.2">
      <c r="A27" s="42"/>
      <c r="B27" s="59" t="s">
        <v>12</v>
      </c>
      <c r="C27" s="78"/>
      <c r="D27" s="165"/>
      <c r="E27" s="54"/>
      <c r="F27" s="41" t="s">
        <v>9</v>
      </c>
      <c r="G27" s="42"/>
      <c r="H27" s="36"/>
    </row>
    <row r="28" spans="1:9" ht="12.75" x14ac:dyDescent="0.2">
      <c r="A28" s="40" t="s">
        <v>5</v>
      </c>
      <c r="B28" s="55" t="s">
        <v>14</v>
      </c>
      <c r="C28" s="78"/>
      <c r="D28" s="165"/>
      <c r="E28" s="54"/>
      <c r="F28" s="52"/>
      <c r="G28" s="42"/>
      <c r="H28" s="36"/>
    </row>
    <row r="29" spans="1:9" s="188" customFormat="1" ht="12.75" x14ac:dyDescent="0.2">
      <c r="A29" s="90">
        <v>44281</v>
      </c>
      <c r="B29" s="89" t="s">
        <v>7784</v>
      </c>
      <c r="C29" s="91" t="s">
        <v>7785</v>
      </c>
      <c r="D29" s="148" t="s">
        <v>3577</v>
      </c>
      <c r="E29" s="173"/>
      <c r="F29" s="170">
        <v>4.17</v>
      </c>
      <c r="G29" s="185"/>
      <c r="H29" s="186"/>
      <c r="I29" s="187"/>
    </row>
    <row r="30" spans="1:9" s="188" customFormat="1" ht="12.75" x14ac:dyDescent="0.2">
      <c r="A30" s="90">
        <v>44281</v>
      </c>
      <c r="B30" s="89" t="s">
        <v>7782</v>
      </c>
      <c r="C30" s="91" t="s">
        <v>7783</v>
      </c>
      <c r="D30" s="148" t="s">
        <v>3577</v>
      </c>
      <c r="E30" s="173"/>
      <c r="F30" s="170">
        <v>20.399999999999999</v>
      </c>
      <c r="G30" s="185"/>
      <c r="H30" s="186"/>
      <c r="I30" s="187"/>
    </row>
    <row r="31" spans="1:9" ht="12.75" x14ac:dyDescent="0.2">
      <c r="A31" s="90">
        <v>44281</v>
      </c>
      <c r="B31" s="89" t="s">
        <v>7780</v>
      </c>
      <c r="C31" s="91" t="s">
        <v>7781</v>
      </c>
      <c r="D31" s="148" t="s">
        <v>3577</v>
      </c>
      <c r="E31" s="35"/>
      <c r="F31" s="170">
        <v>9.42</v>
      </c>
      <c r="G31" s="42"/>
      <c r="H31" s="37"/>
      <c r="I31" s="17"/>
    </row>
    <row r="32" spans="1:9" ht="12.75" x14ac:dyDescent="0.2">
      <c r="A32" s="90">
        <v>44281</v>
      </c>
      <c r="B32" s="89" t="s">
        <v>7778</v>
      </c>
      <c r="C32" s="91" t="s">
        <v>7779</v>
      </c>
      <c r="D32" s="148" t="s">
        <v>3577</v>
      </c>
      <c r="E32" s="35"/>
      <c r="F32" s="170">
        <v>1.93</v>
      </c>
      <c r="G32" s="42"/>
      <c r="H32" s="37"/>
      <c r="I32" s="17"/>
    </row>
    <row r="33" spans="1:9" ht="12.75" x14ac:dyDescent="0.2">
      <c r="A33" s="90">
        <v>44281</v>
      </c>
      <c r="B33" s="89" t="s">
        <v>7776</v>
      </c>
      <c r="C33" s="91" t="s">
        <v>7777</v>
      </c>
      <c r="D33" s="148" t="s">
        <v>3577</v>
      </c>
      <c r="E33" s="154"/>
      <c r="F33" s="170">
        <v>14.67</v>
      </c>
      <c r="I33" s="17"/>
    </row>
    <row r="34" spans="1:9" ht="12.75" x14ac:dyDescent="0.2">
      <c r="A34" s="90">
        <v>44281</v>
      </c>
      <c r="B34" s="89" t="s">
        <v>7774</v>
      </c>
      <c r="C34" s="91" t="s">
        <v>7775</v>
      </c>
      <c r="D34" s="148" t="s">
        <v>3577</v>
      </c>
      <c r="E34" s="35"/>
      <c r="F34" s="170">
        <v>5.62</v>
      </c>
      <c r="G34" s="42"/>
      <c r="H34" s="37"/>
      <c r="I34" s="17"/>
    </row>
    <row r="35" spans="1:9" ht="12.75" x14ac:dyDescent="0.2">
      <c r="A35" s="90">
        <v>44281</v>
      </c>
      <c r="B35" s="89" t="s">
        <v>7772</v>
      </c>
      <c r="C35" s="91" t="s">
        <v>7773</v>
      </c>
      <c r="D35" s="148" t="s">
        <v>3577</v>
      </c>
      <c r="E35" s="35"/>
      <c r="F35" s="170">
        <v>5.04</v>
      </c>
      <c r="G35" s="42"/>
      <c r="H35" s="37"/>
      <c r="I35" s="17"/>
    </row>
    <row r="36" spans="1:9" ht="12.75" x14ac:dyDescent="0.2">
      <c r="A36" s="90">
        <v>44281</v>
      </c>
      <c r="B36" s="89" t="s">
        <v>7770</v>
      </c>
      <c r="C36" s="91" t="s">
        <v>7771</v>
      </c>
      <c r="D36" s="148" t="s">
        <v>3577</v>
      </c>
      <c r="E36" s="35"/>
      <c r="F36" s="170">
        <v>16.46</v>
      </c>
      <c r="G36" s="42"/>
      <c r="H36" s="37"/>
      <c r="I36" s="17"/>
    </row>
    <row r="37" spans="1:9" ht="12.75" x14ac:dyDescent="0.2">
      <c r="A37" s="90">
        <v>44281</v>
      </c>
      <c r="B37" s="89" t="s">
        <v>7768</v>
      </c>
      <c r="C37" s="91" t="s">
        <v>7769</v>
      </c>
      <c r="D37" s="148" t="s">
        <v>3577</v>
      </c>
      <c r="E37" s="35"/>
      <c r="F37" s="170">
        <v>7.91</v>
      </c>
      <c r="G37" s="42"/>
      <c r="H37" s="37"/>
      <c r="I37" s="17"/>
    </row>
    <row r="38" spans="1:9" ht="12.75" x14ac:dyDescent="0.2">
      <c r="A38" s="90">
        <v>44281</v>
      </c>
      <c r="B38" s="89" t="s">
        <v>7766</v>
      </c>
      <c r="C38" s="91" t="s">
        <v>7767</v>
      </c>
      <c r="D38" s="148" t="s">
        <v>3577</v>
      </c>
      <c r="E38" s="35"/>
      <c r="F38" s="170">
        <v>8.06</v>
      </c>
      <c r="G38" s="42"/>
      <c r="H38" s="37"/>
      <c r="I38" s="17"/>
    </row>
    <row r="39" spans="1:9" ht="12.75" x14ac:dyDescent="0.2">
      <c r="A39" s="90">
        <v>44281</v>
      </c>
      <c r="B39" s="89" t="s">
        <v>7764</v>
      </c>
      <c r="C39" s="91" t="s">
        <v>7765</v>
      </c>
      <c r="D39" s="148" t="s">
        <v>3577</v>
      </c>
      <c r="E39" s="35"/>
      <c r="F39" s="170">
        <v>1.94</v>
      </c>
      <c r="G39" s="42"/>
      <c r="H39" s="37"/>
      <c r="I39" s="17"/>
    </row>
    <row r="40" spans="1:9" ht="12.75" x14ac:dyDescent="0.2">
      <c r="A40" s="90">
        <v>44281</v>
      </c>
      <c r="B40" s="89" t="s">
        <v>7762</v>
      </c>
      <c r="C40" s="91" t="s">
        <v>7763</v>
      </c>
      <c r="D40" s="148" t="s">
        <v>3577</v>
      </c>
      <c r="E40" s="35"/>
      <c r="F40" s="170">
        <v>8.6</v>
      </c>
      <c r="G40" s="42"/>
      <c r="H40" s="37"/>
      <c r="I40" s="17"/>
    </row>
    <row r="41" spans="1:9" ht="12.75" x14ac:dyDescent="0.2">
      <c r="A41" s="90">
        <v>44281</v>
      </c>
      <c r="B41" s="89" t="s">
        <v>7760</v>
      </c>
      <c r="C41" s="91" t="s">
        <v>7761</v>
      </c>
      <c r="D41" s="148" t="s">
        <v>3577</v>
      </c>
      <c r="E41" s="35"/>
      <c r="F41" s="170">
        <v>0.9</v>
      </c>
      <c r="G41" s="42"/>
      <c r="H41" s="37"/>
      <c r="I41" s="17"/>
    </row>
    <row r="42" spans="1:9" ht="12.75" x14ac:dyDescent="0.2">
      <c r="A42" s="90">
        <v>44281</v>
      </c>
      <c r="B42" s="89" t="s">
        <v>7758</v>
      </c>
      <c r="C42" s="91" t="s">
        <v>7759</v>
      </c>
      <c r="D42" s="148" t="s">
        <v>3577</v>
      </c>
      <c r="E42" s="35"/>
      <c r="F42" s="170">
        <v>10.23</v>
      </c>
      <c r="G42" s="42"/>
      <c r="H42" s="37"/>
      <c r="I42" s="17"/>
    </row>
    <row r="43" spans="1:9" ht="12.75" x14ac:dyDescent="0.2">
      <c r="A43" s="90">
        <v>44281</v>
      </c>
      <c r="B43" s="89" t="s">
        <v>7756</v>
      </c>
      <c r="C43" s="91" t="s">
        <v>7757</v>
      </c>
      <c r="D43" s="148" t="s">
        <v>3577</v>
      </c>
      <c r="E43" s="35"/>
      <c r="F43" s="170">
        <v>1.72</v>
      </c>
      <c r="G43" s="42"/>
      <c r="H43" s="37"/>
      <c r="I43" s="17"/>
    </row>
    <row r="44" spans="1:9" ht="12.75" x14ac:dyDescent="0.2">
      <c r="A44" s="90">
        <v>44281</v>
      </c>
      <c r="B44" s="89" t="s">
        <v>7754</v>
      </c>
      <c r="C44" s="91" t="s">
        <v>7755</v>
      </c>
      <c r="D44" s="148" t="s">
        <v>3578</v>
      </c>
      <c r="E44" s="35"/>
      <c r="F44" s="195">
        <v>1.68</v>
      </c>
      <c r="G44" s="42"/>
      <c r="H44" s="37"/>
      <c r="I44" s="17"/>
    </row>
    <row r="45" spans="1:9" ht="12.75" x14ac:dyDescent="0.2">
      <c r="A45" s="90">
        <v>44281</v>
      </c>
      <c r="B45" s="89" t="s">
        <v>7752</v>
      </c>
      <c r="C45" s="91" t="s">
        <v>7753</v>
      </c>
      <c r="D45" s="148" t="s">
        <v>3577</v>
      </c>
      <c r="E45" s="35"/>
      <c r="F45" s="170">
        <v>10.3</v>
      </c>
      <c r="G45" s="42"/>
      <c r="H45" s="37"/>
      <c r="I45" s="17"/>
    </row>
    <row r="46" spans="1:9" ht="12.75" x14ac:dyDescent="0.2">
      <c r="A46" s="90">
        <v>44281</v>
      </c>
      <c r="B46" s="89" t="s">
        <v>7750</v>
      </c>
      <c r="C46" s="91" t="s">
        <v>7751</v>
      </c>
      <c r="D46" s="148" t="s">
        <v>3577</v>
      </c>
      <c r="F46" s="170">
        <v>1.68</v>
      </c>
    </row>
    <row r="47" spans="1:9" ht="12.75" x14ac:dyDescent="0.2">
      <c r="A47" s="90">
        <v>44281</v>
      </c>
      <c r="B47" s="89" t="s">
        <v>7748</v>
      </c>
      <c r="C47" s="91" t="s">
        <v>7749</v>
      </c>
      <c r="D47" s="148" t="s">
        <v>3577</v>
      </c>
      <c r="F47" s="170">
        <v>4.3</v>
      </c>
    </row>
    <row r="48" spans="1:9" ht="12.75" x14ac:dyDescent="0.2">
      <c r="A48" s="90">
        <v>44281</v>
      </c>
      <c r="B48" s="89" t="s">
        <v>7746</v>
      </c>
      <c r="C48" s="91" t="s">
        <v>7747</v>
      </c>
      <c r="D48" s="148" t="s">
        <v>3577</v>
      </c>
      <c r="E48" s="35"/>
      <c r="F48" s="170">
        <v>41.05</v>
      </c>
      <c r="G48" s="42"/>
      <c r="H48" s="37"/>
      <c r="I48" s="17"/>
    </row>
    <row r="49" spans="1:9" ht="12.75" x14ac:dyDescent="0.2">
      <c r="A49" s="90">
        <v>44281</v>
      </c>
      <c r="B49" s="89" t="s">
        <v>7744</v>
      </c>
      <c r="C49" s="91" t="s">
        <v>7745</v>
      </c>
      <c r="D49" s="148" t="s">
        <v>3577</v>
      </c>
      <c r="E49" s="173"/>
      <c r="F49" s="170">
        <v>15.79</v>
      </c>
      <c r="G49" s="42"/>
      <c r="H49" s="37"/>
      <c r="I49" s="17"/>
    </row>
    <row r="50" spans="1:9" ht="12.75" x14ac:dyDescent="0.2">
      <c r="A50" s="90">
        <v>44281</v>
      </c>
      <c r="B50" s="89" t="s">
        <v>7742</v>
      </c>
      <c r="C50" s="91" t="s">
        <v>7743</v>
      </c>
      <c r="D50" s="148" t="s">
        <v>3577</v>
      </c>
      <c r="E50" s="35"/>
      <c r="F50" s="170">
        <v>5.48</v>
      </c>
      <c r="G50" s="42"/>
      <c r="H50" s="37"/>
      <c r="I50" s="17"/>
    </row>
    <row r="51" spans="1:9" ht="12.75" x14ac:dyDescent="0.2">
      <c r="A51" s="90">
        <v>44281</v>
      </c>
      <c r="B51" s="89" t="s">
        <v>7740</v>
      </c>
      <c r="C51" s="91" t="s">
        <v>7741</v>
      </c>
      <c r="D51" s="148" t="s">
        <v>3577</v>
      </c>
      <c r="E51" s="35"/>
      <c r="F51" s="170">
        <v>5.17</v>
      </c>
      <c r="G51" s="42"/>
      <c r="H51" s="37"/>
      <c r="I51" s="17"/>
    </row>
    <row r="52" spans="1:9" ht="12.75" x14ac:dyDescent="0.2">
      <c r="A52" s="90">
        <v>44281</v>
      </c>
      <c r="B52" s="89" t="s">
        <v>7738</v>
      </c>
      <c r="C52" s="91" t="s">
        <v>7739</v>
      </c>
      <c r="D52" s="148" t="s">
        <v>3577</v>
      </c>
      <c r="E52" s="35"/>
      <c r="F52" s="170">
        <v>8.3800000000000008</v>
      </c>
      <c r="G52" s="42"/>
      <c r="H52" s="37"/>
      <c r="I52" s="17"/>
    </row>
    <row r="53" spans="1:9" ht="12.75" x14ac:dyDescent="0.2">
      <c r="A53" s="90">
        <v>44281</v>
      </c>
      <c r="B53" s="89" t="s">
        <v>7736</v>
      </c>
      <c r="C53" s="91" t="s">
        <v>7737</v>
      </c>
      <c r="D53" s="148" t="s">
        <v>3577</v>
      </c>
      <c r="E53" s="35"/>
      <c r="F53" s="170">
        <v>6.94</v>
      </c>
      <c r="G53" s="42"/>
      <c r="H53" s="37"/>
      <c r="I53" s="17"/>
    </row>
    <row r="54" spans="1:9" ht="12.75" x14ac:dyDescent="0.2">
      <c r="A54" s="90">
        <v>44281</v>
      </c>
      <c r="B54" s="89" t="s">
        <v>7734</v>
      </c>
      <c r="C54" s="91" t="s">
        <v>7735</v>
      </c>
      <c r="D54" s="148" t="s">
        <v>3577</v>
      </c>
      <c r="E54" s="35"/>
      <c r="F54" s="170">
        <v>1.95</v>
      </c>
      <c r="G54" s="42"/>
      <c r="H54" s="37"/>
      <c r="I54" s="17"/>
    </row>
    <row r="55" spans="1:9" ht="12.75" x14ac:dyDescent="0.2">
      <c r="A55" s="90">
        <v>44281</v>
      </c>
      <c r="B55" s="89" t="s">
        <v>7732</v>
      </c>
      <c r="C55" s="91" t="s">
        <v>7733</v>
      </c>
      <c r="D55" s="148" t="s">
        <v>3577</v>
      </c>
      <c r="E55" s="35"/>
      <c r="F55" s="170">
        <v>3.87</v>
      </c>
      <c r="G55" s="42"/>
      <c r="H55" s="37"/>
      <c r="I55" s="17"/>
    </row>
    <row r="56" spans="1:9" ht="12.75" x14ac:dyDescent="0.2">
      <c r="A56" s="90">
        <v>44281</v>
      </c>
      <c r="B56" s="89" t="s">
        <v>7730</v>
      </c>
      <c r="C56" s="91" t="s">
        <v>7731</v>
      </c>
      <c r="D56" s="148" t="s">
        <v>3577</v>
      </c>
      <c r="E56" s="35"/>
      <c r="F56" s="170">
        <v>16.760000000000002</v>
      </c>
      <c r="G56" s="42"/>
      <c r="H56" s="37"/>
      <c r="I56" s="17"/>
    </row>
    <row r="57" spans="1:9" ht="12.75" x14ac:dyDescent="0.2">
      <c r="A57" s="90">
        <v>44281</v>
      </c>
      <c r="B57" s="89" t="s">
        <v>7728</v>
      </c>
      <c r="C57" s="91" t="s">
        <v>7729</v>
      </c>
      <c r="D57" s="148" t="s">
        <v>3577</v>
      </c>
      <c r="E57" s="35"/>
      <c r="F57" s="170">
        <v>3.23</v>
      </c>
      <c r="G57" s="42"/>
      <c r="H57" s="37"/>
      <c r="I57" s="17"/>
    </row>
    <row r="58" spans="1:9" ht="12.75" x14ac:dyDescent="0.2">
      <c r="A58" s="90">
        <v>44282</v>
      </c>
      <c r="B58" s="89" t="s">
        <v>7710</v>
      </c>
      <c r="C58" s="91" t="s">
        <v>7711</v>
      </c>
      <c r="D58" s="148" t="s">
        <v>3577</v>
      </c>
      <c r="E58" s="35"/>
      <c r="F58" s="170">
        <v>1.68</v>
      </c>
      <c r="G58" s="42"/>
      <c r="H58" s="37"/>
      <c r="I58" s="17"/>
    </row>
    <row r="59" spans="1:9" ht="12.75" x14ac:dyDescent="0.2">
      <c r="A59" s="90">
        <v>44282</v>
      </c>
      <c r="B59" s="89" t="s">
        <v>7708</v>
      </c>
      <c r="C59" s="91" t="s">
        <v>7709</v>
      </c>
      <c r="D59" s="148" t="s">
        <v>3577</v>
      </c>
      <c r="E59" s="35"/>
      <c r="F59" s="170">
        <v>5.54</v>
      </c>
      <c r="G59" s="42"/>
      <c r="H59" s="37"/>
      <c r="I59" s="17"/>
    </row>
    <row r="60" spans="1:9" ht="12.75" x14ac:dyDescent="0.2">
      <c r="A60" s="90">
        <v>44282</v>
      </c>
      <c r="B60" s="89" t="s">
        <v>7706</v>
      </c>
      <c r="C60" s="91" t="s">
        <v>7707</v>
      </c>
      <c r="D60" s="148" t="s">
        <v>3577</v>
      </c>
      <c r="F60" s="170">
        <v>5.04</v>
      </c>
    </row>
    <row r="61" spans="1:9" ht="12.75" x14ac:dyDescent="0.2">
      <c r="A61" s="90">
        <v>44282</v>
      </c>
      <c r="B61" s="89" t="s">
        <v>7704</v>
      </c>
      <c r="C61" s="91" t="s">
        <v>7705</v>
      </c>
      <c r="D61" s="148" t="s">
        <v>3577</v>
      </c>
      <c r="F61" s="170">
        <v>5.0599999999999996</v>
      </c>
    </row>
    <row r="62" spans="1:9" ht="12.75" x14ac:dyDescent="0.2">
      <c r="A62" s="90">
        <v>44282</v>
      </c>
      <c r="B62" s="89" t="s">
        <v>7702</v>
      </c>
      <c r="C62" s="91" t="s">
        <v>7703</v>
      </c>
      <c r="D62" s="148" t="s">
        <v>3577</v>
      </c>
      <c r="E62" s="35"/>
      <c r="F62" s="170">
        <v>6.22</v>
      </c>
      <c r="G62" s="42"/>
      <c r="H62" s="37"/>
      <c r="I62" s="17"/>
    </row>
    <row r="63" spans="1:9" ht="12.75" x14ac:dyDescent="0.2">
      <c r="A63" s="90">
        <v>44282</v>
      </c>
      <c r="B63" s="89" t="s">
        <v>7700</v>
      </c>
      <c r="C63" s="91" t="s">
        <v>7701</v>
      </c>
      <c r="D63" s="148" t="s">
        <v>3577</v>
      </c>
      <c r="E63" s="35"/>
      <c r="F63" s="170">
        <v>5.79</v>
      </c>
      <c r="G63" s="42"/>
      <c r="H63" s="37"/>
      <c r="I63" s="17"/>
    </row>
    <row r="64" spans="1:9" ht="12.75" x14ac:dyDescent="0.2">
      <c r="A64" s="90">
        <v>44282</v>
      </c>
      <c r="B64" s="89" t="s">
        <v>7698</v>
      </c>
      <c r="C64" s="91" t="s">
        <v>7699</v>
      </c>
      <c r="D64" s="148" t="s">
        <v>3577</v>
      </c>
      <c r="E64" s="35"/>
      <c r="F64" s="170">
        <v>3.49</v>
      </c>
      <c r="G64" s="42"/>
      <c r="H64" s="37"/>
      <c r="I64" s="17"/>
    </row>
    <row r="65" spans="1:9" ht="12.75" x14ac:dyDescent="0.2">
      <c r="A65" s="90">
        <v>44282</v>
      </c>
      <c r="B65" s="89" t="s">
        <v>7696</v>
      </c>
      <c r="C65" s="91" t="s">
        <v>7697</v>
      </c>
      <c r="D65" s="148" t="s">
        <v>3577</v>
      </c>
      <c r="E65" s="35"/>
      <c r="F65" s="170">
        <v>0.85</v>
      </c>
      <c r="G65" s="42"/>
      <c r="H65" s="37"/>
      <c r="I65" s="17"/>
    </row>
    <row r="66" spans="1:9" ht="12.75" x14ac:dyDescent="0.2">
      <c r="A66" s="90">
        <v>44282</v>
      </c>
      <c r="B66" s="89" t="s">
        <v>7694</v>
      </c>
      <c r="C66" s="91" t="s">
        <v>7695</v>
      </c>
      <c r="D66" s="148" t="s">
        <v>3577</v>
      </c>
      <c r="E66" s="35"/>
      <c r="F66" s="170">
        <v>3.36</v>
      </c>
      <c r="G66" s="42"/>
      <c r="H66" s="37"/>
      <c r="I66" s="17"/>
    </row>
    <row r="67" spans="1:9" ht="12.75" x14ac:dyDescent="0.2">
      <c r="A67" s="90">
        <v>44282</v>
      </c>
      <c r="B67" s="89" t="s">
        <v>7692</v>
      </c>
      <c r="C67" s="91" t="s">
        <v>7693</v>
      </c>
      <c r="D67" s="148" t="s">
        <v>3577</v>
      </c>
      <c r="E67" s="35"/>
      <c r="F67" s="170">
        <v>4.8499999999999996</v>
      </c>
      <c r="G67" s="42"/>
      <c r="H67" s="37"/>
      <c r="I67" s="17"/>
    </row>
    <row r="68" spans="1:9" ht="12.75" x14ac:dyDescent="0.2">
      <c r="A68" s="90">
        <v>44282</v>
      </c>
      <c r="B68" s="89" t="s">
        <v>7690</v>
      </c>
      <c r="C68" s="91" t="s">
        <v>7691</v>
      </c>
      <c r="D68" s="148" t="s">
        <v>3577</v>
      </c>
      <c r="E68" s="35"/>
      <c r="F68" s="170">
        <v>1.68</v>
      </c>
      <c r="G68" s="42"/>
      <c r="H68" s="37"/>
      <c r="I68" s="17"/>
    </row>
    <row r="69" spans="1:9" ht="12.75" x14ac:dyDescent="0.2">
      <c r="A69" s="90">
        <v>44282</v>
      </c>
      <c r="B69" s="89" t="s">
        <v>7688</v>
      </c>
      <c r="C69" s="91" t="s">
        <v>7689</v>
      </c>
      <c r="D69" s="148" t="s">
        <v>3577</v>
      </c>
      <c r="E69" s="35"/>
      <c r="F69" s="170">
        <v>1.68</v>
      </c>
      <c r="G69" s="42"/>
      <c r="H69" s="37"/>
      <c r="I69" s="17"/>
    </row>
    <row r="70" spans="1:9" ht="12.75" x14ac:dyDescent="0.2">
      <c r="A70" s="90">
        <v>44282</v>
      </c>
      <c r="B70" s="89" t="s">
        <v>7686</v>
      </c>
      <c r="C70" s="91" t="s">
        <v>7687</v>
      </c>
      <c r="D70" s="148" t="s">
        <v>3577</v>
      </c>
      <c r="E70" s="35"/>
      <c r="F70" s="170">
        <v>3.85</v>
      </c>
      <c r="G70" s="42"/>
      <c r="H70" s="37"/>
      <c r="I70" s="17"/>
    </row>
    <row r="71" spans="1:9" ht="12.75" x14ac:dyDescent="0.2">
      <c r="A71" s="90">
        <v>44282</v>
      </c>
      <c r="B71" s="89" t="s">
        <v>7684</v>
      </c>
      <c r="C71" s="91" t="s">
        <v>7685</v>
      </c>
      <c r="D71" s="148" t="s">
        <v>3577</v>
      </c>
      <c r="E71" s="35"/>
      <c r="F71" s="170">
        <v>14.02</v>
      </c>
      <c r="G71" s="42"/>
      <c r="H71" s="37"/>
      <c r="I71" s="17"/>
    </row>
    <row r="72" spans="1:9" ht="12.75" x14ac:dyDescent="0.2">
      <c r="A72" s="90">
        <v>44282</v>
      </c>
      <c r="B72" s="89" t="s">
        <v>7682</v>
      </c>
      <c r="C72" s="91" t="s">
        <v>7683</v>
      </c>
      <c r="D72" s="148" t="s">
        <v>3577</v>
      </c>
      <c r="E72" s="35"/>
      <c r="F72" s="170">
        <v>0.12</v>
      </c>
      <c r="G72" s="42"/>
      <c r="H72" s="37"/>
      <c r="I72" s="17"/>
    </row>
    <row r="73" spans="1:9" ht="12.75" x14ac:dyDescent="0.2">
      <c r="A73" s="90">
        <v>44283</v>
      </c>
      <c r="B73" s="89" t="s">
        <v>7680</v>
      </c>
      <c r="C73" s="91" t="s">
        <v>7681</v>
      </c>
      <c r="D73" s="148" t="s">
        <v>3577</v>
      </c>
      <c r="F73" s="170">
        <v>1.68</v>
      </c>
    </row>
    <row r="74" spans="1:9" ht="12.75" x14ac:dyDescent="0.2">
      <c r="A74" s="90">
        <v>44283</v>
      </c>
      <c r="B74" s="89" t="s">
        <v>7678</v>
      </c>
      <c r="C74" s="91" t="s">
        <v>7679</v>
      </c>
      <c r="D74" s="148" t="s">
        <v>3577</v>
      </c>
      <c r="F74" s="170">
        <v>2.7</v>
      </c>
    </row>
    <row r="75" spans="1:9" ht="12.75" x14ac:dyDescent="0.2">
      <c r="A75" s="90">
        <v>44283</v>
      </c>
      <c r="B75" s="89" t="s">
        <v>7676</v>
      </c>
      <c r="C75" s="91" t="s">
        <v>7677</v>
      </c>
      <c r="D75" s="148" t="s">
        <v>3577</v>
      </c>
      <c r="E75" s="35"/>
      <c r="F75" s="170">
        <v>3.4</v>
      </c>
      <c r="G75" s="42"/>
      <c r="H75" s="37"/>
      <c r="I75" s="17"/>
    </row>
    <row r="76" spans="1:9" ht="12.75" x14ac:dyDescent="0.2">
      <c r="A76" s="90">
        <v>44283</v>
      </c>
      <c r="B76" s="89" t="s">
        <v>7674</v>
      </c>
      <c r="C76" s="91" t="s">
        <v>7675</v>
      </c>
      <c r="D76" s="148" t="s">
        <v>3577</v>
      </c>
      <c r="E76" s="35"/>
      <c r="F76" s="170">
        <v>3.2</v>
      </c>
      <c r="G76" s="42"/>
      <c r="H76" s="37"/>
      <c r="I76" s="17"/>
    </row>
    <row r="77" spans="1:9" ht="12.75" x14ac:dyDescent="0.2">
      <c r="A77" s="90">
        <v>44284</v>
      </c>
      <c r="B77" s="89" t="s">
        <v>7652</v>
      </c>
      <c r="C77" s="91" t="s">
        <v>7653</v>
      </c>
      <c r="D77" s="148" t="s">
        <v>3577</v>
      </c>
      <c r="E77" s="35"/>
      <c r="F77" s="170">
        <v>1.68</v>
      </c>
      <c r="G77" s="42"/>
      <c r="H77" s="37"/>
      <c r="I77" s="17"/>
    </row>
    <row r="78" spans="1:9" ht="12.75" x14ac:dyDescent="0.2">
      <c r="A78" s="90">
        <v>44284</v>
      </c>
      <c r="B78" s="89" t="s">
        <v>7650</v>
      </c>
      <c r="C78" s="91" t="s">
        <v>7651</v>
      </c>
      <c r="D78" s="148" t="s">
        <v>3577</v>
      </c>
      <c r="E78" s="35"/>
      <c r="F78" s="170">
        <v>2.93</v>
      </c>
      <c r="G78" s="42"/>
      <c r="H78" s="37"/>
      <c r="I78" s="17"/>
    </row>
    <row r="79" spans="1:9" ht="12.75" x14ac:dyDescent="0.2">
      <c r="A79" s="90">
        <v>44284</v>
      </c>
      <c r="B79" s="89" t="s">
        <v>7648</v>
      </c>
      <c r="C79" s="91" t="s">
        <v>7649</v>
      </c>
      <c r="D79" s="148" t="s">
        <v>3577</v>
      </c>
      <c r="E79" s="35"/>
      <c r="F79" s="170">
        <v>3.67</v>
      </c>
      <c r="G79" s="42"/>
      <c r="H79" s="37"/>
      <c r="I79" s="17"/>
    </row>
    <row r="80" spans="1:9" ht="12.75" x14ac:dyDescent="0.2">
      <c r="A80" s="90">
        <v>44284</v>
      </c>
      <c r="B80" s="89" t="s">
        <v>7646</v>
      </c>
      <c r="C80" s="91" t="s">
        <v>7647</v>
      </c>
      <c r="D80" s="148" t="s">
        <v>3577</v>
      </c>
      <c r="E80" s="35"/>
      <c r="F80" s="170">
        <v>5.68</v>
      </c>
      <c r="G80" s="42"/>
      <c r="H80" s="37"/>
      <c r="I80" s="17"/>
    </row>
    <row r="81" spans="1:9" ht="12.75" x14ac:dyDescent="0.2">
      <c r="A81" s="90">
        <v>44284</v>
      </c>
      <c r="B81" s="89" t="s">
        <v>7644</v>
      </c>
      <c r="C81" s="91" t="s">
        <v>7645</v>
      </c>
      <c r="D81" s="148" t="s">
        <v>3577</v>
      </c>
      <c r="E81" s="35"/>
      <c r="F81" s="170">
        <v>6.94</v>
      </c>
      <c r="G81" s="42"/>
      <c r="H81" s="37"/>
      <c r="I81" s="17"/>
    </row>
    <row r="82" spans="1:9" ht="12.75" x14ac:dyDescent="0.2">
      <c r="A82" s="90">
        <v>44284</v>
      </c>
      <c r="B82" s="89" t="s">
        <v>7642</v>
      </c>
      <c r="C82" s="91" t="s">
        <v>7643</v>
      </c>
      <c r="D82" s="148" t="s">
        <v>3577</v>
      </c>
      <c r="E82" s="35"/>
      <c r="F82" s="170">
        <v>20.82</v>
      </c>
      <c r="G82" s="42"/>
      <c r="H82" s="37"/>
      <c r="I82" s="17"/>
    </row>
    <row r="83" spans="1:9" ht="12.75" x14ac:dyDescent="0.2">
      <c r="A83" s="90">
        <v>44284</v>
      </c>
      <c r="B83" s="89" t="s">
        <v>7640</v>
      </c>
      <c r="C83" s="91" t="s">
        <v>7641</v>
      </c>
      <c r="D83" s="148" t="s">
        <v>3577</v>
      </c>
      <c r="E83" s="35"/>
      <c r="F83" s="170">
        <v>2.82</v>
      </c>
      <c r="G83" s="42"/>
      <c r="H83" s="37"/>
      <c r="I83" s="17"/>
    </row>
    <row r="84" spans="1:9" ht="12.75" x14ac:dyDescent="0.2">
      <c r="A84" s="90">
        <v>44284</v>
      </c>
      <c r="B84" s="89" t="s">
        <v>7638</v>
      </c>
      <c r="C84" s="91" t="s">
        <v>7639</v>
      </c>
      <c r="D84" s="148" t="s">
        <v>3577</v>
      </c>
      <c r="E84" s="35"/>
      <c r="F84" s="170">
        <v>14.35</v>
      </c>
      <c r="G84" s="42"/>
      <c r="H84" s="37"/>
      <c r="I84" s="17"/>
    </row>
    <row r="85" spans="1:9" ht="12.75" x14ac:dyDescent="0.2">
      <c r="A85" s="90">
        <v>44284</v>
      </c>
      <c r="B85" s="89" t="s">
        <v>7636</v>
      </c>
      <c r="C85" s="91" t="s">
        <v>7637</v>
      </c>
      <c r="D85" s="148" t="s">
        <v>3577</v>
      </c>
      <c r="E85" s="35"/>
      <c r="F85" s="170">
        <v>37.659999999999997</v>
      </c>
      <c r="G85" s="42"/>
      <c r="H85" s="37"/>
      <c r="I85" s="17"/>
    </row>
    <row r="86" spans="1:9" ht="12.75" x14ac:dyDescent="0.2">
      <c r="A86" s="90">
        <v>44284</v>
      </c>
      <c r="B86" s="89" t="s">
        <v>7634</v>
      </c>
      <c r="C86" s="91" t="s">
        <v>7635</v>
      </c>
      <c r="D86" s="148" t="s">
        <v>3577</v>
      </c>
      <c r="E86" s="35"/>
      <c r="F86" s="170">
        <v>1.7</v>
      </c>
      <c r="G86" s="42"/>
      <c r="H86" s="37"/>
      <c r="I86" s="17"/>
    </row>
    <row r="87" spans="1:9" ht="12.75" x14ac:dyDescent="0.2">
      <c r="A87" s="90">
        <v>44284</v>
      </c>
      <c r="B87" s="89" t="s">
        <v>7632</v>
      </c>
      <c r="C87" s="91" t="s">
        <v>7633</v>
      </c>
      <c r="D87" s="148" t="s">
        <v>3577</v>
      </c>
      <c r="E87" s="35"/>
      <c r="F87" s="170">
        <v>23.46</v>
      </c>
      <c r="G87" s="42"/>
      <c r="H87" s="37"/>
      <c r="I87" s="17"/>
    </row>
    <row r="88" spans="1:9" ht="12.75" x14ac:dyDescent="0.2">
      <c r="A88" s="90">
        <v>44284</v>
      </c>
      <c r="B88" s="89" t="s">
        <v>7630</v>
      </c>
      <c r="C88" s="91" t="s">
        <v>7631</v>
      </c>
      <c r="D88" s="148" t="s">
        <v>3577</v>
      </c>
      <c r="E88" s="35"/>
      <c r="F88" s="170">
        <v>4.3600000000000003</v>
      </c>
      <c r="G88" s="42"/>
      <c r="H88" s="37"/>
      <c r="I88" s="17"/>
    </row>
    <row r="89" spans="1:9" ht="12.75" x14ac:dyDescent="0.2">
      <c r="A89" s="90">
        <v>44284</v>
      </c>
      <c r="B89" s="89" t="s">
        <v>7628</v>
      </c>
      <c r="C89" s="91" t="s">
        <v>7629</v>
      </c>
      <c r="D89" s="148" t="s">
        <v>3577</v>
      </c>
      <c r="E89" s="35"/>
      <c r="F89" s="170">
        <v>7.52</v>
      </c>
      <c r="G89" s="42"/>
      <c r="H89" s="37"/>
      <c r="I89" s="17"/>
    </row>
    <row r="90" spans="1:9" ht="12.75" x14ac:dyDescent="0.2">
      <c r="A90" s="90">
        <v>44284</v>
      </c>
      <c r="B90" s="89" t="s">
        <v>7626</v>
      </c>
      <c r="C90" s="91" t="s">
        <v>7627</v>
      </c>
      <c r="D90" s="148" t="s">
        <v>3577</v>
      </c>
      <c r="E90" s="35"/>
      <c r="F90" s="170">
        <v>2.33</v>
      </c>
      <c r="G90" s="42"/>
      <c r="H90" s="37"/>
      <c r="I90" s="17"/>
    </row>
    <row r="91" spans="1:9" ht="12.75" x14ac:dyDescent="0.2">
      <c r="A91" s="90">
        <v>44284</v>
      </c>
      <c r="B91" s="89" t="s">
        <v>7624</v>
      </c>
      <c r="C91" s="91" t="s">
        <v>7625</v>
      </c>
      <c r="D91" s="148" t="s">
        <v>3577</v>
      </c>
      <c r="E91" s="35"/>
      <c r="F91" s="170">
        <v>8.4</v>
      </c>
      <c r="G91" s="42"/>
      <c r="H91" s="37"/>
      <c r="I91" s="17"/>
    </row>
    <row r="92" spans="1:9" ht="12.75" x14ac:dyDescent="0.2">
      <c r="A92" s="90">
        <v>44284</v>
      </c>
      <c r="B92" s="89" t="s">
        <v>7622</v>
      </c>
      <c r="C92" s="91" t="s">
        <v>7623</v>
      </c>
      <c r="D92" s="148" t="s">
        <v>3577</v>
      </c>
      <c r="E92" s="35"/>
      <c r="F92" s="170">
        <v>4.05</v>
      </c>
      <c r="G92" s="42"/>
      <c r="H92" s="37"/>
      <c r="I92" s="17"/>
    </row>
    <row r="93" spans="1:9" ht="12.75" x14ac:dyDescent="0.2">
      <c r="A93" s="90">
        <v>44284</v>
      </c>
      <c r="B93" s="89" t="s">
        <v>7620</v>
      </c>
      <c r="C93" s="91" t="s">
        <v>7621</v>
      </c>
      <c r="D93" s="148" t="s">
        <v>3577</v>
      </c>
      <c r="E93" s="35"/>
      <c r="F93" s="170">
        <v>2.41</v>
      </c>
      <c r="G93" s="42"/>
      <c r="H93" s="37"/>
      <c r="I93" s="17"/>
    </row>
    <row r="94" spans="1:9" ht="12.75" x14ac:dyDescent="0.2">
      <c r="A94" s="90">
        <v>44284</v>
      </c>
      <c r="B94" s="89" t="s">
        <v>7618</v>
      </c>
      <c r="C94" s="91" t="s">
        <v>7619</v>
      </c>
      <c r="D94" s="148" t="s">
        <v>3577</v>
      </c>
      <c r="E94" s="35"/>
      <c r="F94" s="170">
        <v>6.71</v>
      </c>
      <c r="G94" s="42"/>
      <c r="H94" s="37"/>
      <c r="I94" s="17"/>
    </row>
    <row r="95" spans="1:9" ht="12.75" x14ac:dyDescent="0.2">
      <c r="A95" s="90">
        <v>44284</v>
      </c>
      <c r="B95" s="89" t="s">
        <v>7616</v>
      </c>
      <c r="C95" s="91" t="s">
        <v>7617</v>
      </c>
      <c r="D95" s="148" t="s">
        <v>3577</v>
      </c>
      <c r="E95" s="35"/>
      <c r="F95" s="170">
        <v>1.97</v>
      </c>
      <c r="G95" s="42"/>
      <c r="H95" s="37"/>
      <c r="I95" s="17"/>
    </row>
    <row r="96" spans="1:9" ht="12.75" x14ac:dyDescent="0.2">
      <c r="A96" s="90">
        <v>44284</v>
      </c>
      <c r="B96" s="89" t="s">
        <v>7614</v>
      </c>
      <c r="C96" s="91" t="s">
        <v>7615</v>
      </c>
      <c r="D96" s="148" t="s">
        <v>3577</v>
      </c>
      <c r="E96" s="35"/>
      <c r="F96" s="170">
        <v>1.68</v>
      </c>
      <c r="G96" s="42"/>
      <c r="H96" s="37"/>
      <c r="I96" s="17"/>
    </row>
    <row r="97" spans="1:9" ht="12.75" x14ac:dyDescent="0.2">
      <c r="A97" s="90">
        <v>44284</v>
      </c>
      <c r="B97" s="89" t="s">
        <v>7612</v>
      </c>
      <c r="C97" s="91" t="s">
        <v>7613</v>
      </c>
      <c r="D97" s="148" t="s">
        <v>3577</v>
      </c>
      <c r="E97" s="35"/>
      <c r="F97" s="170">
        <v>3.83</v>
      </c>
      <c r="G97" s="42"/>
      <c r="H97" s="37"/>
      <c r="I97" s="17"/>
    </row>
    <row r="98" spans="1:9" ht="12.75" x14ac:dyDescent="0.2">
      <c r="A98" s="90">
        <v>44285</v>
      </c>
      <c r="B98" s="89" t="s">
        <v>7598</v>
      </c>
      <c r="C98" s="91" t="s">
        <v>7599</v>
      </c>
      <c r="D98" s="148" t="s">
        <v>3577</v>
      </c>
      <c r="E98" s="35"/>
      <c r="F98" s="170">
        <v>5.04</v>
      </c>
      <c r="G98" s="42"/>
      <c r="H98" s="37"/>
      <c r="I98" s="17"/>
    </row>
    <row r="99" spans="1:9" ht="12.75" x14ac:dyDescent="0.2">
      <c r="A99" s="90">
        <v>44285</v>
      </c>
      <c r="B99" s="89" t="s">
        <v>7596</v>
      </c>
      <c r="C99" s="91" t="s">
        <v>7597</v>
      </c>
      <c r="D99" s="148" t="s">
        <v>3577</v>
      </c>
      <c r="E99" s="35"/>
      <c r="F99" s="170">
        <v>6.17</v>
      </c>
      <c r="G99" s="42"/>
      <c r="H99" s="37"/>
      <c r="I99" s="17"/>
    </row>
    <row r="100" spans="1:9" ht="12.75" x14ac:dyDescent="0.2">
      <c r="A100" s="90">
        <v>44285</v>
      </c>
      <c r="B100" s="89" t="s">
        <v>7594</v>
      </c>
      <c r="C100" s="91" t="s">
        <v>7595</v>
      </c>
      <c r="D100" s="148" t="s">
        <v>3577</v>
      </c>
      <c r="E100" s="35"/>
      <c r="F100" s="170">
        <v>15.1</v>
      </c>
      <c r="G100" s="42"/>
      <c r="H100" s="37"/>
      <c r="I100" s="17"/>
    </row>
    <row r="101" spans="1:9" ht="12.75" x14ac:dyDescent="0.2">
      <c r="A101" s="90">
        <v>44285</v>
      </c>
      <c r="B101" s="89" t="s">
        <v>7592</v>
      </c>
      <c r="C101" s="91" t="s">
        <v>7593</v>
      </c>
      <c r="D101" s="148" t="s">
        <v>3577</v>
      </c>
      <c r="E101" s="35"/>
      <c r="F101" s="170">
        <v>1.76</v>
      </c>
      <c r="G101" s="42"/>
      <c r="H101" s="37"/>
      <c r="I101" s="17"/>
    </row>
    <row r="102" spans="1:9" ht="12.75" x14ac:dyDescent="0.2">
      <c r="A102" s="90">
        <v>44285</v>
      </c>
      <c r="B102" s="89" t="s">
        <v>7590</v>
      </c>
      <c r="C102" s="91" t="s">
        <v>7591</v>
      </c>
      <c r="D102" s="148" t="s">
        <v>3577</v>
      </c>
      <c r="E102" s="35"/>
      <c r="F102" s="170">
        <v>7.49</v>
      </c>
      <c r="G102" s="42"/>
      <c r="H102" s="37"/>
      <c r="I102" s="17"/>
    </row>
    <row r="103" spans="1:9" ht="12.75" x14ac:dyDescent="0.2">
      <c r="A103" s="90">
        <v>44285</v>
      </c>
      <c r="B103" s="89" t="s">
        <v>7588</v>
      </c>
      <c r="C103" s="91" t="s">
        <v>7589</v>
      </c>
      <c r="D103" s="148" t="s">
        <v>3577</v>
      </c>
      <c r="E103" s="35"/>
      <c r="F103" s="170">
        <v>6.56</v>
      </c>
      <c r="G103" s="42"/>
      <c r="H103" s="37"/>
      <c r="I103" s="17"/>
    </row>
    <row r="104" spans="1:9" ht="12.75" x14ac:dyDescent="0.2">
      <c r="A104" s="90">
        <v>44285</v>
      </c>
      <c r="B104" s="89" t="s">
        <v>7586</v>
      </c>
      <c r="C104" s="91" t="s">
        <v>7587</v>
      </c>
      <c r="D104" s="148" t="s">
        <v>3577</v>
      </c>
      <c r="E104" s="35"/>
      <c r="F104" s="170">
        <v>2.4300000000000002</v>
      </c>
      <c r="G104" s="42"/>
      <c r="H104" s="37"/>
      <c r="I104" s="17"/>
    </row>
    <row r="105" spans="1:9" ht="12.75" x14ac:dyDescent="0.2">
      <c r="A105" s="90">
        <v>44285</v>
      </c>
      <c r="B105" s="89" t="s">
        <v>7584</v>
      </c>
      <c r="C105" s="91" t="s">
        <v>7585</v>
      </c>
      <c r="D105" s="148" t="s">
        <v>3577</v>
      </c>
      <c r="E105" s="35"/>
      <c r="F105" s="170">
        <v>7.96</v>
      </c>
      <c r="G105" s="42"/>
      <c r="H105" s="37"/>
      <c r="I105" s="17"/>
    </row>
    <row r="106" spans="1:9" ht="12.75" x14ac:dyDescent="0.2">
      <c r="A106" s="90">
        <v>44285</v>
      </c>
      <c r="B106" s="89" t="s">
        <v>7582</v>
      </c>
      <c r="C106" s="91" t="s">
        <v>7583</v>
      </c>
      <c r="D106" s="148" t="s">
        <v>3577</v>
      </c>
      <c r="E106" s="35"/>
      <c r="F106" s="170">
        <v>3.42</v>
      </c>
      <c r="G106" s="42"/>
      <c r="H106" s="37"/>
      <c r="I106" s="17"/>
    </row>
    <row r="107" spans="1:9" ht="12.75" x14ac:dyDescent="0.2">
      <c r="A107" s="90">
        <v>44285</v>
      </c>
      <c r="B107" s="89" t="s">
        <v>7580</v>
      </c>
      <c r="C107" s="91" t="s">
        <v>7581</v>
      </c>
      <c r="D107" s="148" t="s">
        <v>3577</v>
      </c>
      <c r="E107" s="35"/>
      <c r="F107" s="170">
        <v>5.28</v>
      </c>
      <c r="G107" s="42"/>
      <c r="H107" s="37"/>
      <c r="I107" s="17"/>
    </row>
    <row r="108" spans="1:9" ht="12.75" x14ac:dyDescent="0.2">
      <c r="A108" s="90">
        <v>44285</v>
      </c>
      <c r="B108" s="89" t="s">
        <v>7578</v>
      </c>
      <c r="C108" s="91" t="s">
        <v>7579</v>
      </c>
      <c r="D108" s="148" t="s">
        <v>3577</v>
      </c>
      <c r="E108" s="35"/>
      <c r="F108" s="170">
        <v>1.68</v>
      </c>
      <c r="G108" s="42"/>
      <c r="H108" s="37"/>
      <c r="I108" s="17"/>
    </row>
    <row r="109" spans="1:9" ht="12.75" x14ac:dyDescent="0.2">
      <c r="A109" s="90">
        <v>44285</v>
      </c>
      <c r="B109" s="89" t="s">
        <v>7576</v>
      </c>
      <c r="C109" s="91" t="s">
        <v>7577</v>
      </c>
      <c r="D109" s="148" t="s">
        <v>3577</v>
      </c>
      <c r="E109" s="35"/>
      <c r="F109" s="170">
        <v>16.760000000000002</v>
      </c>
      <c r="G109" s="42"/>
      <c r="H109" s="37"/>
      <c r="I109" s="17"/>
    </row>
    <row r="110" spans="1:9" ht="12.75" x14ac:dyDescent="0.2">
      <c r="A110" s="90">
        <v>44285</v>
      </c>
      <c r="B110" s="89" t="s">
        <v>7574</v>
      </c>
      <c r="C110" s="91" t="s">
        <v>7575</v>
      </c>
      <c r="D110" s="148" t="s">
        <v>3577</v>
      </c>
      <c r="E110" s="35"/>
      <c r="F110" s="170">
        <v>6.03</v>
      </c>
      <c r="G110" s="42"/>
      <c r="H110" s="37"/>
      <c r="I110" s="17"/>
    </row>
    <row r="111" spans="1:9" ht="12.75" x14ac:dyDescent="0.2">
      <c r="A111" s="90">
        <v>44285</v>
      </c>
      <c r="B111" s="89" t="s">
        <v>7572</v>
      </c>
      <c r="C111" s="91" t="s">
        <v>7573</v>
      </c>
      <c r="D111" s="148" t="s">
        <v>3577</v>
      </c>
      <c r="E111" s="35"/>
      <c r="F111" s="170">
        <v>7.46</v>
      </c>
      <c r="G111" s="42"/>
      <c r="H111" s="37"/>
      <c r="I111" s="17"/>
    </row>
    <row r="112" spans="1:9" ht="12.75" x14ac:dyDescent="0.2">
      <c r="A112" s="90">
        <v>44285</v>
      </c>
      <c r="B112" s="89" t="s">
        <v>7570</v>
      </c>
      <c r="C112" s="91" t="s">
        <v>7571</v>
      </c>
      <c r="D112" s="148" t="s">
        <v>3577</v>
      </c>
      <c r="E112" s="35"/>
      <c r="F112" s="170">
        <v>27.04</v>
      </c>
      <c r="G112" s="42"/>
      <c r="H112" s="37"/>
      <c r="I112" s="17"/>
    </row>
    <row r="113" spans="1:9" ht="12.75" x14ac:dyDescent="0.2">
      <c r="A113" s="90">
        <v>44285</v>
      </c>
      <c r="B113" s="89" t="s">
        <v>7568</v>
      </c>
      <c r="C113" s="91" t="s">
        <v>7569</v>
      </c>
      <c r="D113" s="148" t="s">
        <v>3577</v>
      </c>
      <c r="E113" s="35"/>
      <c r="F113" s="170">
        <v>5.62</v>
      </c>
      <c r="G113" s="42"/>
      <c r="H113" s="37"/>
      <c r="I113" s="17"/>
    </row>
    <row r="114" spans="1:9" ht="12.75" x14ac:dyDescent="0.2">
      <c r="A114" s="90">
        <v>44285</v>
      </c>
      <c r="B114" s="89" t="s">
        <v>7566</v>
      </c>
      <c r="C114" s="91" t="s">
        <v>7567</v>
      </c>
      <c r="D114" s="148" t="s">
        <v>3577</v>
      </c>
      <c r="E114" s="35"/>
      <c r="F114" s="170">
        <v>1.95</v>
      </c>
      <c r="G114" s="42"/>
      <c r="H114" s="37"/>
      <c r="I114" s="17"/>
    </row>
    <row r="115" spans="1:9" ht="12.75" x14ac:dyDescent="0.2">
      <c r="A115" s="90">
        <v>44285</v>
      </c>
      <c r="B115" s="89" t="s">
        <v>7554</v>
      </c>
      <c r="C115" s="91" t="s">
        <v>7555</v>
      </c>
      <c r="D115" s="148" t="s">
        <v>3577</v>
      </c>
      <c r="E115" s="35"/>
      <c r="F115" s="170">
        <v>2.5299999999999998</v>
      </c>
      <c r="G115" s="42"/>
      <c r="H115" s="37"/>
      <c r="I115" s="17"/>
    </row>
    <row r="116" spans="1:9" ht="12.75" x14ac:dyDescent="0.2">
      <c r="A116" s="90">
        <v>44286</v>
      </c>
      <c r="B116" s="89" t="s">
        <v>7540</v>
      </c>
      <c r="C116" s="91" t="s">
        <v>7541</v>
      </c>
      <c r="D116" s="148" t="s">
        <v>3577</v>
      </c>
      <c r="E116" s="35"/>
      <c r="F116" s="170">
        <v>1.83</v>
      </c>
      <c r="G116" s="42"/>
      <c r="H116" s="37"/>
      <c r="I116" s="17"/>
    </row>
    <row r="117" spans="1:9" ht="12.75" x14ac:dyDescent="0.2">
      <c r="A117" s="90">
        <v>44286</v>
      </c>
      <c r="B117" s="89" t="s">
        <v>7538</v>
      </c>
      <c r="C117" s="91" t="s">
        <v>7539</v>
      </c>
      <c r="D117" s="148" t="s">
        <v>3577</v>
      </c>
      <c r="E117" s="35"/>
      <c r="F117" s="170">
        <v>6.47</v>
      </c>
      <c r="G117" s="42"/>
      <c r="H117" s="37"/>
      <c r="I117" s="17"/>
    </row>
    <row r="118" spans="1:9" ht="12.75" x14ac:dyDescent="0.2">
      <c r="A118" s="90">
        <v>44286</v>
      </c>
      <c r="B118" s="89" t="s">
        <v>7536</v>
      </c>
      <c r="C118" s="91" t="s">
        <v>7537</v>
      </c>
      <c r="D118" s="148" t="s">
        <v>3577</v>
      </c>
      <c r="E118" s="35"/>
      <c r="F118" s="170">
        <v>2.06</v>
      </c>
      <c r="G118" s="42"/>
      <c r="H118" s="37"/>
      <c r="I118" s="17"/>
    </row>
    <row r="119" spans="1:9" ht="12.75" x14ac:dyDescent="0.2">
      <c r="A119" s="90">
        <v>44286</v>
      </c>
      <c r="B119" s="89" t="s">
        <v>7534</v>
      </c>
      <c r="C119" s="91" t="s">
        <v>7535</v>
      </c>
      <c r="D119" s="148" t="s">
        <v>3577</v>
      </c>
      <c r="E119" s="35"/>
      <c r="F119" s="170">
        <v>5.49</v>
      </c>
      <c r="G119" s="42"/>
      <c r="H119" s="37"/>
      <c r="I119" s="17"/>
    </row>
    <row r="120" spans="1:9" ht="12.75" x14ac:dyDescent="0.2">
      <c r="A120" s="90">
        <v>44286</v>
      </c>
      <c r="B120" s="89" t="s">
        <v>7532</v>
      </c>
      <c r="C120" s="91" t="s">
        <v>7533</v>
      </c>
      <c r="D120" s="148" t="s">
        <v>3577</v>
      </c>
      <c r="E120" s="35"/>
      <c r="F120" s="170">
        <v>5.07</v>
      </c>
      <c r="G120" s="42"/>
      <c r="H120" s="37"/>
      <c r="I120" s="17"/>
    </row>
    <row r="121" spans="1:9" ht="12.75" x14ac:dyDescent="0.2">
      <c r="A121" s="90">
        <v>44286</v>
      </c>
      <c r="B121" s="89" t="s">
        <v>7530</v>
      </c>
      <c r="C121" s="91" t="s">
        <v>7531</v>
      </c>
      <c r="D121" s="148" t="s">
        <v>3577</v>
      </c>
      <c r="E121" s="35"/>
      <c r="F121" s="170">
        <v>5.12</v>
      </c>
      <c r="G121" s="42"/>
      <c r="H121" s="37"/>
      <c r="I121" s="17"/>
    </row>
    <row r="122" spans="1:9" ht="12.75" x14ac:dyDescent="0.2">
      <c r="A122" s="90">
        <v>44286</v>
      </c>
      <c r="B122" s="89" t="s">
        <v>7528</v>
      </c>
      <c r="C122" s="91" t="s">
        <v>7529</v>
      </c>
      <c r="D122" s="148" t="s">
        <v>3577</v>
      </c>
      <c r="E122" s="35"/>
      <c r="F122" s="170">
        <v>130.37</v>
      </c>
      <c r="G122" s="42"/>
      <c r="H122" s="37"/>
      <c r="I122" s="17"/>
    </row>
    <row r="123" spans="1:9" ht="12.75" x14ac:dyDescent="0.2">
      <c r="A123" s="90">
        <v>44286</v>
      </c>
      <c r="B123" s="89" t="s">
        <v>7526</v>
      </c>
      <c r="C123" s="91" t="s">
        <v>7527</v>
      </c>
      <c r="D123" s="148" t="s">
        <v>3577</v>
      </c>
      <c r="E123" s="35"/>
      <c r="F123" s="170">
        <v>3.32</v>
      </c>
      <c r="G123" s="42"/>
      <c r="H123" s="37"/>
      <c r="I123" s="17"/>
    </row>
    <row r="124" spans="1:9" ht="12.75" x14ac:dyDescent="0.2">
      <c r="A124" s="90">
        <v>44286</v>
      </c>
      <c r="B124" s="89" t="s">
        <v>7524</v>
      </c>
      <c r="C124" s="91" t="s">
        <v>7525</v>
      </c>
      <c r="D124" s="148" t="s">
        <v>3577</v>
      </c>
      <c r="E124" s="35"/>
      <c r="F124" s="170">
        <v>5.14</v>
      </c>
      <c r="G124" s="42"/>
      <c r="H124" s="37"/>
      <c r="I124" s="17"/>
    </row>
    <row r="125" spans="1:9" ht="12.75" x14ac:dyDescent="0.2">
      <c r="A125" s="90">
        <v>44286</v>
      </c>
      <c r="B125" s="89" t="s">
        <v>7522</v>
      </c>
      <c r="C125" s="91" t="s">
        <v>7523</v>
      </c>
      <c r="D125" s="148" t="s">
        <v>3577</v>
      </c>
      <c r="E125" s="35"/>
      <c r="F125" s="170">
        <v>5.0599999999999996</v>
      </c>
      <c r="G125" s="42"/>
      <c r="H125" s="37"/>
      <c r="I125" s="17"/>
    </row>
    <row r="126" spans="1:9" ht="12.75" x14ac:dyDescent="0.2">
      <c r="A126" s="90">
        <v>44286</v>
      </c>
      <c r="B126" s="89" t="s">
        <v>7520</v>
      </c>
      <c r="C126" s="91" t="s">
        <v>7521</v>
      </c>
      <c r="D126" s="148" t="s">
        <v>3578</v>
      </c>
      <c r="E126" s="35"/>
      <c r="F126" s="194">
        <v>2.69</v>
      </c>
      <c r="G126" s="42"/>
      <c r="H126" s="37"/>
      <c r="I126" s="17"/>
    </row>
    <row r="127" spans="1:9" ht="12.75" x14ac:dyDescent="0.2">
      <c r="A127" s="90">
        <v>44286</v>
      </c>
      <c r="B127" s="89" t="s">
        <v>7518</v>
      </c>
      <c r="C127" s="91" t="s">
        <v>7519</v>
      </c>
      <c r="D127" s="148" t="s">
        <v>3578</v>
      </c>
      <c r="E127" s="35"/>
      <c r="F127" s="194">
        <v>2.69</v>
      </c>
      <c r="G127" s="42"/>
      <c r="H127" s="37"/>
      <c r="I127" s="17"/>
    </row>
    <row r="128" spans="1:9" ht="12.75" x14ac:dyDescent="0.2">
      <c r="A128" s="90">
        <v>44286</v>
      </c>
      <c r="B128" s="89" t="s">
        <v>7516</v>
      </c>
      <c r="C128" s="91" t="s">
        <v>7517</v>
      </c>
      <c r="D128" s="148" t="s">
        <v>3578</v>
      </c>
      <c r="E128" s="35"/>
      <c r="F128" s="194">
        <v>2.97</v>
      </c>
      <c r="G128" s="42"/>
      <c r="H128" s="37"/>
      <c r="I128" s="17"/>
    </row>
    <row r="129" spans="1:12" ht="12.75" x14ac:dyDescent="0.2">
      <c r="A129" s="90">
        <v>44286</v>
      </c>
      <c r="B129" s="89" t="s">
        <v>7514</v>
      </c>
      <c r="C129" s="91" t="s">
        <v>7515</v>
      </c>
      <c r="D129" s="148" t="s">
        <v>3578</v>
      </c>
      <c r="E129" s="35"/>
      <c r="F129" s="194">
        <v>3.55</v>
      </c>
      <c r="G129" s="42"/>
      <c r="H129" s="37"/>
      <c r="I129" s="17"/>
    </row>
    <row r="130" spans="1:12" ht="12.75" x14ac:dyDescent="0.2">
      <c r="A130" s="90">
        <v>44286</v>
      </c>
      <c r="B130" s="89" t="s">
        <v>7512</v>
      </c>
      <c r="C130" s="91" t="s">
        <v>7513</v>
      </c>
      <c r="D130" s="148" t="s">
        <v>3578</v>
      </c>
      <c r="E130" s="35"/>
      <c r="F130" s="194">
        <v>3.62</v>
      </c>
      <c r="G130" s="42"/>
      <c r="H130" s="37"/>
      <c r="I130" s="17"/>
    </row>
    <row r="131" spans="1:12" ht="12.75" x14ac:dyDescent="0.2">
      <c r="A131" s="90">
        <v>44286</v>
      </c>
      <c r="B131" s="89" t="s">
        <v>7510</v>
      </c>
      <c r="C131" s="91" t="s">
        <v>7511</v>
      </c>
      <c r="D131" s="148" t="s">
        <v>3578</v>
      </c>
      <c r="E131" s="35"/>
      <c r="F131" s="194">
        <v>3.38</v>
      </c>
      <c r="G131" s="42"/>
      <c r="H131" s="37"/>
      <c r="I131" s="17"/>
    </row>
    <row r="132" spans="1:12" ht="12.75" x14ac:dyDescent="0.2">
      <c r="A132" s="90">
        <v>44286</v>
      </c>
      <c r="B132" s="89" t="s">
        <v>7508</v>
      </c>
      <c r="C132" s="91" t="s">
        <v>7509</v>
      </c>
      <c r="D132" s="148" t="s">
        <v>3578</v>
      </c>
      <c r="E132" s="35"/>
      <c r="F132" s="194">
        <v>3.36</v>
      </c>
      <c r="G132" s="42"/>
      <c r="H132" s="37"/>
      <c r="I132" s="17"/>
    </row>
    <row r="133" spans="1:12" ht="12.75" x14ac:dyDescent="0.2">
      <c r="A133" s="90">
        <v>44286</v>
      </c>
      <c r="B133" s="89" t="s">
        <v>7506</v>
      </c>
      <c r="C133" s="91" t="s">
        <v>7507</v>
      </c>
      <c r="D133" s="148" t="s">
        <v>3578</v>
      </c>
      <c r="E133" s="35"/>
      <c r="F133" s="194">
        <v>3.61</v>
      </c>
      <c r="G133" s="42"/>
      <c r="H133" s="37"/>
      <c r="I133" s="17"/>
    </row>
    <row r="134" spans="1:12" ht="12.75" x14ac:dyDescent="0.2">
      <c r="A134" s="90">
        <v>44286</v>
      </c>
      <c r="B134" s="89" t="s">
        <v>7504</v>
      </c>
      <c r="C134" s="91" t="s">
        <v>7505</v>
      </c>
      <c r="D134" s="148" t="s">
        <v>3578</v>
      </c>
      <c r="E134" s="35"/>
      <c r="F134" s="194">
        <v>3.58</v>
      </c>
      <c r="G134" s="42"/>
      <c r="H134" s="37"/>
      <c r="I134" s="17"/>
    </row>
    <row r="135" spans="1:12" ht="12.75" x14ac:dyDescent="0.2">
      <c r="A135" s="90">
        <v>44286</v>
      </c>
      <c r="B135" s="89" t="s">
        <v>7502</v>
      </c>
      <c r="C135" s="91" t="s">
        <v>7503</v>
      </c>
      <c r="D135" s="148" t="s">
        <v>3578</v>
      </c>
      <c r="E135" s="35"/>
      <c r="F135" s="194">
        <v>16.760000000000002</v>
      </c>
      <c r="G135" s="42"/>
      <c r="H135" s="37"/>
      <c r="I135" s="17"/>
    </row>
    <row r="136" spans="1:12" ht="12.75" x14ac:dyDescent="0.2">
      <c r="A136" s="90">
        <v>44286</v>
      </c>
      <c r="B136" s="89" t="s">
        <v>7500</v>
      </c>
      <c r="C136" s="91" t="s">
        <v>7501</v>
      </c>
      <c r="D136" s="148" t="s">
        <v>3578</v>
      </c>
      <c r="E136" s="35"/>
      <c r="F136" s="194">
        <v>16.760000000000002</v>
      </c>
      <c r="G136" s="42"/>
      <c r="H136" s="37"/>
      <c r="I136" s="17"/>
    </row>
    <row r="137" spans="1:12" ht="12.75" x14ac:dyDescent="0.2">
      <c r="A137" s="90">
        <v>44286</v>
      </c>
      <c r="B137" s="89" t="s">
        <v>7498</v>
      </c>
      <c r="C137" s="91" t="s">
        <v>7499</v>
      </c>
      <c r="D137" s="148" t="s">
        <v>3578</v>
      </c>
      <c r="E137" s="35"/>
      <c r="F137" s="270">
        <v>4.57</v>
      </c>
      <c r="G137" s="42"/>
      <c r="H137" s="37"/>
      <c r="I137" s="17"/>
    </row>
    <row r="138" spans="1:12" ht="12.75" x14ac:dyDescent="0.2">
      <c r="A138" s="62"/>
      <c r="B138" s="63"/>
      <c r="C138" s="63"/>
      <c r="D138" s="165"/>
      <c r="E138" s="54"/>
      <c r="F138" s="70"/>
      <c r="G138" s="42"/>
      <c r="H138" s="82">
        <f>SUM(F29:F137)</f>
        <v>850.58000000000015</v>
      </c>
    </row>
    <row r="139" spans="1:12" ht="12.75" x14ac:dyDescent="0.2">
      <c r="A139" s="42"/>
      <c r="B139" s="57"/>
      <c r="C139" s="78"/>
      <c r="D139" s="167"/>
      <c r="E139" s="42"/>
      <c r="F139" s="51"/>
      <c r="G139" s="42"/>
      <c r="H139" s="36"/>
    </row>
    <row r="140" spans="1:12" s="21" customFormat="1" ht="20.25" customHeight="1" thickBot="1" x14ac:dyDescent="0.3">
      <c r="A140" s="64"/>
      <c r="B140" s="65" t="s">
        <v>9028</v>
      </c>
      <c r="C140" s="79"/>
      <c r="D140" s="168"/>
      <c r="E140" s="64"/>
      <c r="F140" s="71"/>
      <c r="G140" s="66" t="s">
        <v>3</v>
      </c>
      <c r="H140" s="81">
        <f>+H9-H16-H21+H25+H138</f>
        <v>64014.33</v>
      </c>
      <c r="I140" s="28"/>
      <c r="J140" s="28"/>
    </row>
    <row r="141" spans="1:12" ht="13.5" thickTop="1" x14ac:dyDescent="0.2">
      <c r="A141" s="42"/>
      <c r="B141" s="57"/>
      <c r="C141" s="78"/>
      <c r="D141" s="167"/>
      <c r="E141" s="42"/>
      <c r="F141" s="51"/>
      <c r="G141" s="42"/>
      <c r="H141" s="36"/>
      <c r="I141" s="30"/>
      <c r="J141" s="31" t="e">
        <f>+#REF!</f>
        <v>#REF!</v>
      </c>
    </row>
    <row r="142" spans="1:12" ht="12.75" x14ac:dyDescent="0.2">
      <c r="A142" s="42"/>
      <c r="B142" s="57"/>
      <c r="C142" s="78"/>
      <c r="D142" s="167"/>
      <c r="E142" s="42"/>
      <c r="F142" s="51"/>
      <c r="G142" s="42"/>
      <c r="H142" s="37"/>
      <c r="I142" s="30"/>
      <c r="J142" s="29"/>
    </row>
    <row r="143" spans="1:12" ht="12.75" x14ac:dyDescent="0.2">
      <c r="A143" s="42"/>
      <c r="B143" s="57"/>
      <c r="C143" s="78"/>
      <c r="D143" s="167"/>
      <c r="E143" s="42"/>
      <c r="F143" s="42"/>
      <c r="G143" s="42"/>
      <c r="H143" s="37"/>
      <c r="I143" s="30"/>
      <c r="J143" s="29"/>
    </row>
    <row r="144" spans="1:12" ht="23.25" customHeight="1" thickBot="1" x14ac:dyDescent="0.25">
      <c r="A144" s="42"/>
      <c r="B144" s="57"/>
      <c r="C144" s="80"/>
      <c r="D144" s="169"/>
      <c r="E144" s="42"/>
      <c r="F144" s="69"/>
      <c r="G144" s="42"/>
      <c r="H144" s="36"/>
      <c r="I144" s="30"/>
      <c r="J144" s="27" t="e">
        <f>+H140-J141</f>
        <v>#REF!</v>
      </c>
      <c r="L144" s="18"/>
    </row>
    <row r="145" spans="1:12" ht="26.25" customHeight="1" thickTop="1" x14ac:dyDescent="0.2">
      <c r="A145" s="42"/>
      <c r="B145" s="57"/>
      <c r="C145" s="293" t="s">
        <v>15</v>
      </c>
      <c r="D145" s="293"/>
      <c r="E145" s="42"/>
      <c r="F145" s="293" t="s">
        <v>16</v>
      </c>
      <c r="G145" s="293"/>
      <c r="H145" s="36"/>
      <c r="I145" s="30"/>
      <c r="J145" s="30"/>
    </row>
    <row r="146" spans="1:12" ht="23.25" customHeight="1" thickBot="1" x14ac:dyDescent="0.25">
      <c r="A146" s="42"/>
      <c r="B146" s="57"/>
      <c r="C146" s="78"/>
      <c r="D146" s="167"/>
      <c r="E146" s="42"/>
      <c r="F146" s="42"/>
      <c r="G146" s="42"/>
      <c r="H146" s="37"/>
      <c r="I146" s="30"/>
      <c r="J146" s="27" t="e">
        <f>+H140-J144</f>
        <v>#REF!</v>
      </c>
    </row>
    <row r="147" spans="1:12" ht="13.5" thickTop="1" x14ac:dyDescent="0.2">
      <c r="B147" s="5"/>
      <c r="E147" s="32"/>
      <c r="F147" s="72"/>
      <c r="G147" s="33"/>
      <c r="I147" s="30"/>
      <c r="J147" s="30"/>
      <c r="L147" s="18"/>
    </row>
    <row r="149" spans="1:12" x14ac:dyDescent="0.2">
      <c r="L149" s="18"/>
    </row>
    <row r="150" spans="1:12" x14ac:dyDescent="0.2">
      <c r="A150" s="5"/>
      <c r="B150" s="5"/>
      <c r="E150" s="5"/>
      <c r="G150" s="5"/>
      <c r="J150" s="18"/>
    </row>
  </sheetData>
  <mergeCells count="2">
    <mergeCell ref="C145:D145"/>
    <mergeCell ref="F145:G145"/>
  </mergeCells>
  <phoneticPr fontId="27" type="noConversion"/>
  <pageMargins left="0.70866141732283472" right="0.70866141732283472" top="0.74803149606299213" bottom="0.74803149606299213" header="0.31496062992125984" footer="0.31496062992125984"/>
  <pageSetup paperSize="9" scale="68" fitToHeight="3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C9A3-93D1-4E81-BF78-70EA8567BC66}">
  <dimension ref="A2:K779"/>
  <sheetViews>
    <sheetView topLeftCell="A757" workbookViewId="0">
      <selection activeCell="D23" sqref="D23"/>
    </sheetView>
  </sheetViews>
  <sheetFormatPr baseColWidth="10" defaultRowHeight="12.75" x14ac:dyDescent="0.2"/>
  <cols>
    <col min="1" max="16384" width="11.42578125" style="22"/>
  </cols>
  <sheetData>
    <row r="2" spans="1:11" ht="19.5" x14ac:dyDescent="0.2">
      <c r="F2" s="95" t="s">
        <v>541</v>
      </c>
      <c r="J2" s="197" t="s">
        <v>540</v>
      </c>
      <c r="K2" s="207">
        <v>1</v>
      </c>
    </row>
    <row r="3" spans="1:11" x14ac:dyDescent="0.2">
      <c r="J3" s="197" t="s">
        <v>539</v>
      </c>
      <c r="K3" s="206">
        <v>44462</v>
      </c>
    </row>
    <row r="5" spans="1:11" x14ac:dyDescent="0.2">
      <c r="E5" s="94" t="s">
        <v>538</v>
      </c>
      <c r="F5" s="92" t="s">
        <v>10519</v>
      </c>
      <c r="G5" s="94" t="s">
        <v>537</v>
      </c>
      <c r="H5" s="92" t="s">
        <v>10519</v>
      </c>
      <c r="J5" s="267">
        <v>0.82207175925925924</v>
      </c>
    </row>
    <row r="7" spans="1:11" x14ac:dyDescent="0.2">
      <c r="J7" s="197" t="s">
        <v>536</v>
      </c>
      <c r="K7" s="201" t="s">
        <v>1579</v>
      </c>
    </row>
    <row r="8" spans="1:11" x14ac:dyDescent="0.2">
      <c r="C8" s="93" t="s">
        <v>535</v>
      </c>
      <c r="D8" s="92" t="s">
        <v>534</v>
      </c>
      <c r="F8" s="93" t="s">
        <v>533</v>
      </c>
      <c r="G8" s="92" t="s">
        <v>531</v>
      </c>
      <c r="I8" s="93" t="s">
        <v>532</v>
      </c>
      <c r="J8" s="92" t="s">
        <v>531</v>
      </c>
    </row>
    <row r="11" spans="1:11" x14ac:dyDescent="0.2">
      <c r="A11" s="205" t="s">
        <v>530</v>
      </c>
      <c r="C11" s="204" t="s">
        <v>529</v>
      </c>
      <c r="D11" s="204" t="s">
        <v>528</v>
      </c>
      <c r="F11" s="203" t="s">
        <v>527</v>
      </c>
      <c r="I11" s="197" t="s">
        <v>21</v>
      </c>
      <c r="J11" s="197" t="s">
        <v>20</v>
      </c>
      <c r="K11" s="197" t="s">
        <v>526</v>
      </c>
    </row>
    <row r="14" spans="1:11" x14ac:dyDescent="0.2">
      <c r="A14" s="205" t="s">
        <v>525</v>
      </c>
      <c r="B14" s="199" t="s">
        <v>524</v>
      </c>
    </row>
    <row r="16" spans="1:11" x14ac:dyDescent="0.2">
      <c r="A16" s="204" t="s">
        <v>523</v>
      </c>
      <c r="B16" s="201" t="s">
        <v>522</v>
      </c>
      <c r="J16" s="197" t="s">
        <v>22</v>
      </c>
      <c r="K16" s="198">
        <v>64014.33</v>
      </c>
    </row>
    <row r="18" spans="3:11" x14ac:dyDescent="0.2">
      <c r="C18" s="201" t="s">
        <v>10518</v>
      </c>
      <c r="D18" s="200">
        <v>44287</v>
      </c>
      <c r="E18" s="199" t="s">
        <v>10517</v>
      </c>
      <c r="J18" s="222">
        <v>69.22</v>
      </c>
      <c r="K18" s="198">
        <v>63945.11</v>
      </c>
    </row>
    <row r="19" spans="3:11" x14ac:dyDescent="0.2">
      <c r="C19" s="201" t="s">
        <v>10516</v>
      </c>
      <c r="D19" s="200">
        <v>44287</v>
      </c>
      <c r="E19" s="199" t="s">
        <v>10515</v>
      </c>
      <c r="I19" s="198">
        <v>4.53</v>
      </c>
      <c r="K19" s="198">
        <v>63949.64</v>
      </c>
    </row>
    <row r="20" spans="3:11" x14ac:dyDescent="0.2">
      <c r="C20" s="201" t="s">
        <v>10514</v>
      </c>
      <c r="D20" s="200">
        <v>44287</v>
      </c>
      <c r="E20" s="199" t="s">
        <v>10513</v>
      </c>
      <c r="I20" s="198">
        <v>8.5299999999999994</v>
      </c>
      <c r="K20" s="198">
        <v>63958.17</v>
      </c>
    </row>
    <row r="21" spans="3:11" x14ac:dyDescent="0.2">
      <c r="C21" s="201" t="s">
        <v>10512</v>
      </c>
      <c r="D21" s="200">
        <v>44287</v>
      </c>
      <c r="E21" s="199" t="s">
        <v>10511</v>
      </c>
      <c r="I21" s="198">
        <v>5.07</v>
      </c>
      <c r="K21" s="198">
        <v>63963.24</v>
      </c>
    </row>
    <row r="22" spans="3:11" x14ac:dyDescent="0.2">
      <c r="C22" s="201" t="s">
        <v>10510</v>
      </c>
      <c r="D22" s="200">
        <v>44287</v>
      </c>
      <c r="E22" s="199" t="s">
        <v>10509</v>
      </c>
      <c r="I22" s="198">
        <v>5.04</v>
      </c>
      <c r="K22" s="198">
        <v>63968.28</v>
      </c>
    </row>
    <row r="23" spans="3:11" x14ac:dyDescent="0.2">
      <c r="C23" s="201" t="s">
        <v>10508</v>
      </c>
      <c r="D23" s="200">
        <v>44287</v>
      </c>
      <c r="E23" s="199" t="s">
        <v>10507</v>
      </c>
      <c r="I23" s="198">
        <v>8.3800000000000008</v>
      </c>
      <c r="K23" s="198">
        <v>63976.66</v>
      </c>
    </row>
    <row r="24" spans="3:11" x14ac:dyDescent="0.2">
      <c r="C24" s="201" t="s">
        <v>10506</v>
      </c>
      <c r="D24" s="200">
        <v>44287</v>
      </c>
      <c r="E24" s="199" t="s">
        <v>10505</v>
      </c>
      <c r="I24" s="198">
        <v>3.6</v>
      </c>
      <c r="K24" s="198">
        <v>63980.26</v>
      </c>
    </row>
    <row r="25" spans="3:11" x14ac:dyDescent="0.2">
      <c r="C25" s="201" t="s">
        <v>10504</v>
      </c>
      <c r="D25" s="200">
        <v>44287</v>
      </c>
      <c r="E25" s="199" t="s">
        <v>10503</v>
      </c>
      <c r="I25" s="198">
        <v>5.04</v>
      </c>
      <c r="K25" s="198">
        <v>63985.3</v>
      </c>
    </row>
    <row r="26" spans="3:11" x14ac:dyDescent="0.2">
      <c r="C26" s="201" t="s">
        <v>10502</v>
      </c>
      <c r="D26" s="200">
        <v>44287</v>
      </c>
      <c r="E26" s="199" t="s">
        <v>10501</v>
      </c>
      <c r="I26" s="198">
        <v>17.03</v>
      </c>
      <c r="K26" s="198">
        <v>64002.33</v>
      </c>
    </row>
    <row r="27" spans="3:11" x14ac:dyDescent="0.2">
      <c r="C27" s="201" t="s">
        <v>10500</v>
      </c>
      <c r="D27" s="200">
        <v>44287</v>
      </c>
      <c r="E27" s="199" t="s">
        <v>10499</v>
      </c>
      <c r="I27" s="198">
        <v>5.04</v>
      </c>
      <c r="K27" s="198">
        <v>64007.37</v>
      </c>
    </row>
    <row r="28" spans="3:11" x14ac:dyDescent="0.2">
      <c r="C28" s="201" t="s">
        <v>10498</v>
      </c>
      <c r="D28" s="200">
        <v>44287</v>
      </c>
      <c r="E28" s="199" t="s">
        <v>10497</v>
      </c>
      <c r="I28" s="198">
        <v>3.36</v>
      </c>
      <c r="K28" s="198">
        <v>64010.73</v>
      </c>
    </row>
    <row r="29" spans="3:11" x14ac:dyDescent="0.2">
      <c r="C29" s="201" t="s">
        <v>10496</v>
      </c>
      <c r="D29" s="200">
        <v>44287</v>
      </c>
      <c r="E29" s="199" t="s">
        <v>10495</v>
      </c>
      <c r="I29" s="198">
        <v>9.1999999999999993</v>
      </c>
      <c r="K29" s="198">
        <v>64019.93</v>
      </c>
    </row>
    <row r="30" spans="3:11" x14ac:dyDescent="0.2">
      <c r="C30" s="201" t="s">
        <v>10494</v>
      </c>
      <c r="D30" s="200">
        <v>44287</v>
      </c>
      <c r="E30" s="199" t="s">
        <v>10493</v>
      </c>
      <c r="I30" s="198">
        <v>1.71</v>
      </c>
      <c r="K30" s="198">
        <v>64021.64</v>
      </c>
    </row>
    <row r="31" spans="3:11" x14ac:dyDescent="0.2">
      <c r="C31" s="201" t="s">
        <v>10492</v>
      </c>
      <c r="D31" s="200">
        <v>44287</v>
      </c>
      <c r="E31" s="199" t="s">
        <v>10491</v>
      </c>
      <c r="I31" s="198">
        <v>1.68</v>
      </c>
      <c r="K31" s="198">
        <v>64023.32</v>
      </c>
    </row>
    <row r="32" spans="3:11" x14ac:dyDescent="0.2">
      <c r="C32" s="201" t="s">
        <v>10490</v>
      </c>
      <c r="D32" s="200">
        <v>44287</v>
      </c>
      <c r="E32" s="199" t="s">
        <v>10489</v>
      </c>
      <c r="I32" s="198">
        <v>1.68</v>
      </c>
      <c r="K32" s="198">
        <v>64025</v>
      </c>
    </row>
    <row r="33" spans="3:11" x14ac:dyDescent="0.2">
      <c r="C33" s="201" t="s">
        <v>10488</v>
      </c>
      <c r="D33" s="200">
        <v>44287</v>
      </c>
      <c r="E33" s="199" t="s">
        <v>10487</v>
      </c>
      <c r="I33" s="198">
        <v>3.06</v>
      </c>
      <c r="K33" s="198">
        <v>64028.06</v>
      </c>
    </row>
    <row r="34" spans="3:11" x14ac:dyDescent="0.2">
      <c r="C34" s="201" t="s">
        <v>10486</v>
      </c>
      <c r="D34" s="200">
        <v>44287</v>
      </c>
      <c r="E34" s="199" t="s">
        <v>10485</v>
      </c>
      <c r="I34" s="198">
        <v>1.85</v>
      </c>
      <c r="K34" s="198">
        <v>64029.91</v>
      </c>
    </row>
    <row r="35" spans="3:11" x14ac:dyDescent="0.2">
      <c r="C35" s="201" t="s">
        <v>10484</v>
      </c>
      <c r="D35" s="200">
        <v>44287</v>
      </c>
      <c r="E35" s="199" t="s">
        <v>10483</v>
      </c>
      <c r="I35" s="198">
        <v>3.4</v>
      </c>
      <c r="K35" s="198">
        <v>64033.31</v>
      </c>
    </row>
    <row r="36" spans="3:11" x14ac:dyDescent="0.2">
      <c r="C36" s="201" t="s">
        <v>10482</v>
      </c>
      <c r="D36" s="200">
        <v>44287</v>
      </c>
      <c r="E36" s="199" t="s">
        <v>10481</v>
      </c>
      <c r="I36" s="198">
        <v>2.14</v>
      </c>
      <c r="K36" s="198">
        <v>64035.45</v>
      </c>
    </row>
    <row r="37" spans="3:11" x14ac:dyDescent="0.2">
      <c r="C37" s="201" t="s">
        <v>10480</v>
      </c>
      <c r="D37" s="200">
        <v>44287</v>
      </c>
      <c r="E37" s="199" t="s">
        <v>10479</v>
      </c>
      <c r="I37" s="198">
        <v>13.88</v>
      </c>
      <c r="K37" s="198">
        <v>64049.33</v>
      </c>
    </row>
    <row r="38" spans="3:11" x14ac:dyDescent="0.2">
      <c r="C38" s="201" t="s">
        <v>10478</v>
      </c>
      <c r="D38" s="200">
        <v>44287</v>
      </c>
      <c r="E38" s="199" t="s">
        <v>10477</v>
      </c>
      <c r="I38" s="198">
        <v>1.68</v>
      </c>
      <c r="K38" s="198">
        <v>64051.01</v>
      </c>
    </row>
    <row r="39" spans="3:11" x14ac:dyDescent="0.2">
      <c r="C39" s="201" t="s">
        <v>10476</v>
      </c>
      <c r="D39" s="200">
        <v>44287</v>
      </c>
      <c r="E39" s="199" t="s">
        <v>10475</v>
      </c>
      <c r="I39" s="198">
        <v>16.22</v>
      </c>
      <c r="K39" s="198">
        <v>64067.23</v>
      </c>
    </row>
    <row r="40" spans="3:11" x14ac:dyDescent="0.2">
      <c r="C40" s="201" t="s">
        <v>10474</v>
      </c>
      <c r="D40" s="200">
        <v>44287</v>
      </c>
      <c r="E40" s="199" t="s">
        <v>10473</v>
      </c>
      <c r="I40" s="198">
        <v>1.68</v>
      </c>
      <c r="K40" s="198">
        <v>64068.91</v>
      </c>
    </row>
    <row r="41" spans="3:11" x14ac:dyDescent="0.2">
      <c r="C41" s="201" t="s">
        <v>10472</v>
      </c>
      <c r="D41" s="200">
        <v>44287</v>
      </c>
      <c r="E41" s="199" t="s">
        <v>10471</v>
      </c>
      <c r="I41" s="198">
        <v>7.45</v>
      </c>
      <c r="K41" s="198">
        <v>64076.36</v>
      </c>
    </row>
    <row r="42" spans="3:11" x14ac:dyDescent="0.2">
      <c r="C42" s="201" t="s">
        <v>10470</v>
      </c>
      <c r="D42" s="200">
        <v>44287</v>
      </c>
      <c r="E42" s="199" t="s">
        <v>10469</v>
      </c>
      <c r="I42" s="198">
        <v>1.94</v>
      </c>
      <c r="K42" s="198">
        <v>64078.3</v>
      </c>
    </row>
    <row r="43" spans="3:11" x14ac:dyDescent="0.2">
      <c r="C43" s="201" t="s">
        <v>10468</v>
      </c>
      <c r="D43" s="200">
        <v>44287</v>
      </c>
      <c r="E43" s="199" t="s">
        <v>10467</v>
      </c>
      <c r="I43" s="198">
        <v>3.91</v>
      </c>
      <c r="K43" s="198">
        <v>64082.21</v>
      </c>
    </row>
    <row r="44" spans="3:11" x14ac:dyDescent="0.2">
      <c r="C44" s="201" t="s">
        <v>10466</v>
      </c>
      <c r="D44" s="200">
        <v>44287</v>
      </c>
      <c r="E44" s="199" t="s">
        <v>10465</v>
      </c>
      <c r="I44" s="198">
        <v>1.68</v>
      </c>
      <c r="K44" s="198">
        <v>64083.89</v>
      </c>
    </row>
    <row r="45" spans="3:11" x14ac:dyDescent="0.2">
      <c r="C45" s="201" t="s">
        <v>10464</v>
      </c>
      <c r="D45" s="200">
        <v>44287</v>
      </c>
      <c r="E45" s="199" t="s">
        <v>10463</v>
      </c>
      <c r="I45" s="198">
        <v>2532.16</v>
      </c>
      <c r="K45" s="198">
        <v>66616.05</v>
      </c>
    </row>
    <row r="46" spans="3:11" x14ac:dyDescent="0.2">
      <c r="C46" s="201" t="s">
        <v>10462</v>
      </c>
      <c r="D46" s="200">
        <v>44288</v>
      </c>
      <c r="E46" s="199" t="s">
        <v>10461</v>
      </c>
      <c r="I46" s="198">
        <v>5.97</v>
      </c>
      <c r="K46" s="198">
        <v>66622.02</v>
      </c>
    </row>
    <row r="47" spans="3:11" x14ac:dyDescent="0.2">
      <c r="C47" s="201" t="s">
        <v>10460</v>
      </c>
      <c r="D47" s="200">
        <v>44288</v>
      </c>
      <c r="E47" s="199" t="s">
        <v>10459</v>
      </c>
      <c r="I47" s="198">
        <v>2.7</v>
      </c>
      <c r="K47" s="198">
        <v>66624.72</v>
      </c>
    </row>
    <row r="48" spans="3:11" x14ac:dyDescent="0.2">
      <c r="C48" s="201" t="s">
        <v>10458</v>
      </c>
      <c r="D48" s="200">
        <v>44288</v>
      </c>
      <c r="E48" s="199" t="s">
        <v>10457</v>
      </c>
      <c r="I48" s="198">
        <v>4.03</v>
      </c>
      <c r="K48" s="198">
        <v>66628.75</v>
      </c>
    </row>
    <row r="49" spans="3:11" x14ac:dyDescent="0.2">
      <c r="C49" s="201" t="s">
        <v>10456</v>
      </c>
      <c r="D49" s="200">
        <v>44288</v>
      </c>
      <c r="E49" s="199" t="s">
        <v>10455</v>
      </c>
      <c r="I49" s="198">
        <v>1.25</v>
      </c>
      <c r="K49" s="198">
        <v>66630</v>
      </c>
    </row>
    <row r="50" spans="3:11" x14ac:dyDescent="0.2">
      <c r="C50" s="201" t="s">
        <v>10454</v>
      </c>
      <c r="D50" s="200">
        <v>44288</v>
      </c>
      <c r="E50" s="199" t="s">
        <v>10453</v>
      </c>
      <c r="I50" s="198">
        <v>2.3199999999999998</v>
      </c>
      <c r="K50" s="198">
        <v>66632.320000000007</v>
      </c>
    </row>
    <row r="51" spans="3:11" x14ac:dyDescent="0.2">
      <c r="C51" s="201" t="s">
        <v>10452</v>
      </c>
      <c r="D51" s="200">
        <v>44288</v>
      </c>
      <c r="E51" s="199" t="s">
        <v>10451</v>
      </c>
      <c r="I51" s="198">
        <v>12.36</v>
      </c>
      <c r="K51" s="198">
        <v>66644.679999999993</v>
      </c>
    </row>
    <row r="52" spans="3:11" x14ac:dyDescent="0.2">
      <c r="C52" s="201" t="s">
        <v>10450</v>
      </c>
      <c r="D52" s="200">
        <v>44288</v>
      </c>
      <c r="E52" s="199" t="s">
        <v>10449</v>
      </c>
      <c r="I52" s="198">
        <v>1.7</v>
      </c>
      <c r="K52" s="198">
        <v>66646.38</v>
      </c>
    </row>
    <row r="53" spans="3:11" x14ac:dyDescent="0.2">
      <c r="C53" s="201" t="s">
        <v>10448</v>
      </c>
      <c r="D53" s="200">
        <v>44288</v>
      </c>
      <c r="E53" s="199" t="s">
        <v>10447</v>
      </c>
      <c r="I53" s="198">
        <v>6.11</v>
      </c>
      <c r="K53" s="198">
        <v>66652.490000000005</v>
      </c>
    </row>
    <row r="54" spans="3:11" x14ac:dyDescent="0.2">
      <c r="C54" s="201" t="s">
        <v>10446</v>
      </c>
      <c r="D54" s="200">
        <v>44288</v>
      </c>
      <c r="E54" s="199" t="s">
        <v>10445</v>
      </c>
      <c r="I54" s="198">
        <v>1.68</v>
      </c>
      <c r="K54" s="198">
        <v>66654.17</v>
      </c>
    </row>
    <row r="55" spans="3:11" x14ac:dyDescent="0.2">
      <c r="C55" s="201" t="s">
        <v>10444</v>
      </c>
      <c r="D55" s="200">
        <v>44288</v>
      </c>
      <c r="E55" s="199" t="s">
        <v>10443</v>
      </c>
      <c r="I55" s="198">
        <v>64.19</v>
      </c>
      <c r="K55" s="198">
        <v>66718.36</v>
      </c>
    </row>
    <row r="56" spans="3:11" x14ac:dyDescent="0.2">
      <c r="C56" s="201" t="s">
        <v>10442</v>
      </c>
      <c r="D56" s="200">
        <v>44288</v>
      </c>
      <c r="E56" s="199" t="s">
        <v>10441</v>
      </c>
      <c r="I56" s="198">
        <v>5.73</v>
      </c>
      <c r="K56" s="198">
        <v>66724.09</v>
      </c>
    </row>
    <row r="57" spans="3:11" x14ac:dyDescent="0.2">
      <c r="C57" s="201" t="s">
        <v>10440</v>
      </c>
      <c r="D57" s="200">
        <v>44288</v>
      </c>
      <c r="E57" s="199" t="s">
        <v>10439</v>
      </c>
      <c r="I57" s="198">
        <v>7.78</v>
      </c>
      <c r="K57" s="198">
        <v>66731.87</v>
      </c>
    </row>
    <row r="58" spans="3:11" x14ac:dyDescent="0.2">
      <c r="C58" s="201" t="s">
        <v>10438</v>
      </c>
      <c r="D58" s="200">
        <v>44289</v>
      </c>
      <c r="E58" s="199" t="s">
        <v>10437</v>
      </c>
      <c r="I58" s="198">
        <v>3.36</v>
      </c>
      <c r="K58" s="198">
        <v>66735.23</v>
      </c>
    </row>
    <row r="59" spans="3:11" x14ac:dyDescent="0.2">
      <c r="C59" s="201" t="s">
        <v>10436</v>
      </c>
      <c r="D59" s="200">
        <v>44289</v>
      </c>
      <c r="E59" s="199" t="s">
        <v>10435</v>
      </c>
      <c r="I59" s="198">
        <v>8.26</v>
      </c>
      <c r="K59" s="198">
        <v>66743.490000000005</v>
      </c>
    </row>
    <row r="60" spans="3:11" x14ac:dyDescent="0.2">
      <c r="C60" s="201" t="s">
        <v>10434</v>
      </c>
      <c r="D60" s="200">
        <v>44289</v>
      </c>
      <c r="E60" s="199" t="s">
        <v>10433</v>
      </c>
      <c r="I60" s="198">
        <v>1.75</v>
      </c>
      <c r="K60" s="198">
        <v>66745.240000000005</v>
      </c>
    </row>
    <row r="61" spans="3:11" x14ac:dyDescent="0.2">
      <c r="C61" s="201" t="s">
        <v>10432</v>
      </c>
      <c r="D61" s="200">
        <v>44289</v>
      </c>
      <c r="E61" s="199" t="s">
        <v>10431</v>
      </c>
      <c r="I61" s="198">
        <v>2.2799999999999998</v>
      </c>
      <c r="K61" s="198">
        <v>66747.520000000004</v>
      </c>
    </row>
    <row r="62" spans="3:11" x14ac:dyDescent="0.2">
      <c r="C62" s="201" t="s">
        <v>10430</v>
      </c>
      <c r="D62" s="200">
        <v>44289</v>
      </c>
      <c r="E62" s="199" t="s">
        <v>10429</v>
      </c>
      <c r="I62" s="198">
        <v>3.43</v>
      </c>
      <c r="K62" s="198">
        <v>66750.95</v>
      </c>
    </row>
    <row r="63" spans="3:11" x14ac:dyDescent="0.2">
      <c r="C63" s="201" t="s">
        <v>10428</v>
      </c>
      <c r="D63" s="200">
        <v>44289</v>
      </c>
      <c r="E63" s="199" t="s">
        <v>10427</v>
      </c>
      <c r="I63" s="198">
        <v>5.85</v>
      </c>
      <c r="K63" s="198">
        <v>66756.800000000003</v>
      </c>
    </row>
    <row r="64" spans="3:11" x14ac:dyDescent="0.2">
      <c r="C64" s="201" t="s">
        <v>10426</v>
      </c>
      <c r="D64" s="200">
        <v>44289</v>
      </c>
      <c r="E64" s="199" t="s">
        <v>10425</v>
      </c>
      <c r="I64" s="198">
        <v>17.87</v>
      </c>
      <c r="K64" s="198">
        <v>66774.67</v>
      </c>
    </row>
    <row r="65" spans="3:11" x14ac:dyDescent="0.2">
      <c r="C65" s="201" t="s">
        <v>10424</v>
      </c>
      <c r="D65" s="200">
        <v>44289</v>
      </c>
      <c r="E65" s="199" t="s">
        <v>10423</v>
      </c>
      <c r="I65" s="198">
        <v>1.76</v>
      </c>
      <c r="K65" s="198">
        <v>66776.429999999993</v>
      </c>
    </row>
    <row r="66" spans="3:11" x14ac:dyDescent="0.2">
      <c r="C66" s="201" t="s">
        <v>10422</v>
      </c>
      <c r="D66" s="200">
        <v>44289</v>
      </c>
      <c r="E66" s="199" t="s">
        <v>10421</v>
      </c>
      <c r="I66" s="198">
        <v>1.72</v>
      </c>
      <c r="K66" s="198">
        <v>66778.149999999994</v>
      </c>
    </row>
    <row r="67" spans="3:11" x14ac:dyDescent="0.2">
      <c r="C67" s="201" t="s">
        <v>10420</v>
      </c>
      <c r="D67" s="200">
        <v>44289</v>
      </c>
      <c r="E67" s="199" t="s">
        <v>10419</v>
      </c>
      <c r="I67" s="198">
        <v>4.3099999999999996</v>
      </c>
      <c r="K67" s="198">
        <v>66782.460000000006</v>
      </c>
    </row>
    <row r="68" spans="3:11" x14ac:dyDescent="0.2">
      <c r="C68" s="201" t="s">
        <v>10418</v>
      </c>
      <c r="D68" s="200">
        <v>44289</v>
      </c>
      <c r="E68" s="199" t="s">
        <v>10417</v>
      </c>
      <c r="I68" s="198">
        <v>16.760000000000002</v>
      </c>
      <c r="K68" s="198">
        <v>66799.22</v>
      </c>
    </row>
    <row r="69" spans="3:11" x14ac:dyDescent="0.2">
      <c r="C69" s="201" t="s">
        <v>10416</v>
      </c>
      <c r="D69" s="200">
        <v>44289</v>
      </c>
      <c r="E69" s="199" t="s">
        <v>10415</v>
      </c>
      <c r="I69" s="198">
        <v>4.22</v>
      </c>
      <c r="K69" s="198">
        <v>66803.44</v>
      </c>
    </row>
    <row r="70" spans="3:11" x14ac:dyDescent="0.2">
      <c r="C70" s="201" t="s">
        <v>10414</v>
      </c>
      <c r="D70" s="200">
        <v>44289</v>
      </c>
      <c r="E70" s="199" t="s">
        <v>10413</v>
      </c>
      <c r="I70" s="198">
        <v>4.79</v>
      </c>
      <c r="K70" s="198">
        <v>66808.23</v>
      </c>
    </row>
    <row r="71" spans="3:11" x14ac:dyDescent="0.2">
      <c r="C71" s="201" t="s">
        <v>10412</v>
      </c>
      <c r="D71" s="200">
        <v>44289</v>
      </c>
      <c r="E71" s="199" t="s">
        <v>10411</v>
      </c>
      <c r="I71" s="198">
        <v>41.91</v>
      </c>
      <c r="K71" s="198">
        <v>66850.14</v>
      </c>
    </row>
    <row r="72" spans="3:11" x14ac:dyDescent="0.2">
      <c r="C72" s="201" t="s">
        <v>10410</v>
      </c>
      <c r="D72" s="200">
        <v>44289</v>
      </c>
      <c r="E72" s="199" t="s">
        <v>10409</v>
      </c>
      <c r="I72" s="198">
        <v>34.58</v>
      </c>
      <c r="K72" s="198">
        <v>66884.72</v>
      </c>
    </row>
    <row r="73" spans="3:11" x14ac:dyDescent="0.2">
      <c r="C73" s="201" t="s">
        <v>10408</v>
      </c>
      <c r="D73" s="200">
        <v>44289</v>
      </c>
      <c r="E73" s="199" t="s">
        <v>10407</v>
      </c>
      <c r="I73" s="198">
        <v>1.68</v>
      </c>
      <c r="K73" s="198">
        <v>66886.399999999994</v>
      </c>
    </row>
    <row r="74" spans="3:11" x14ac:dyDescent="0.2">
      <c r="C74" s="201" t="s">
        <v>10406</v>
      </c>
      <c r="D74" s="200">
        <v>44289</v>
      </c>
      <c r="E74" s="199" t="s">
        <v>10405</v>
      </c>
      <c r="I74" s="198">
        <v>9.49</v>
      </c>
      <c r="K74" s="198">
        <v>66895.89</v>
      </c>
    </row>
    <row r="75" spans="3:11" x14ac:dyDescent="0.2">
      <c r="C75" s="201" t="s">
        <v>10404</v>
      </c>
      <c r="D75" s="200">
        <v>44289</v>
      </c>
      <c r="E75" s="199" t="s">
        <v>10403</v>
      </c>
      <c r="I75" s="198">
        <v>2.4900000000000002</v>
      </c>
      <c r="K75" s="198">
        <v>66898.38</v>
      </c>
    </row>
    <row r="76" spans="3:11" x14ac:dyDescent="0.2">
      <c r="C76" s="201" t="s">
        <v>10402</v>
      </c>
      <c r="D76" s="200">
        <v>44290</v>
      </c>
      <c r="E76" s="199" t="s">
        <v>10401</v>
      </c>
      <c r="I76" s="198">
        <v>5.04</v>
      </c>
      <c r="K76" s="198">
        <v>66903.42</v>
      </c>
    </row>
    <row r="77" spans="3:11" x14ac:dyDescent="0.2">
      <c r="C77" s="201" t="s">
        <v>10400</v>
      </c>
      <c r="D77" s="200">
        <v>44290</v>
      </c>
      <c r="E77" s="199" t="s">
        <v>10399</v>
      </c>
      <c r="I77" s="198">
        <v>1.85</v>
      </c>
      <c r="K77" s="198">
        <v>66905.27</v>
      </c>
    </row>
    <row r="78" spans="3:11" x14ac:dyDescent="0.2">
      <c r="C78" s="201" t="s">
        <v>10398</v>
      </c>
      <c r="D78" s="200">
        <v>44290</v>
      </c>
      <c r="E78" s="199" t="s">
        <v>10397</v>
      </c>
      <c r="I78" s="198">
        <v>1.85</v>
      </c>
      <c r="K78" s="198">
        <v>66907.12</v>
      </c>
    </row>
    <row r="79" spans="3:11" x14ac:dyDescent="0.2">
      <c r="C79" s="201" t="s">
        <v>10396</v>
      </c>
      <c r="D79" s="200">
        <v>44290</v>
      </c>
      <c r="E79" s="199" t="s">
        <v>10395</v>
      </c>
      <c r="I79" s="198">
        <v>1.69</v>
      </c>
      <c r="K79" s="198">
        <v>66908.81</v>
      </c>
    </row>
    <row r="80" spans="3:11" x14ac:dyDescent="0.2">
      <c r="C80" s="201" t="s">
        <v>10394</v>
      </c>
      <c r="D80" s="200">
        <v>44290</v>
      </c>
      <c r="E80" s="199" t="s">
        <v>10393</v>
      </c>
      <c r="I80" s="198">
        <v>3.36</v>
      </c>
      <c r="K80" s="198">
        <v>66912.17</v>
      </c>
    </row>
    <row r="81" spans="3:11" x14ac:dyDescent="0.2">
      <c r="C81" s="201" t="s">
        <v>10392</v>
      </c>
      <c r="D81" s="200">
        <v>44290</v>
      </c>
      <c r="E81" s="199" t="s">
        <v>10391</v>
      </c>
      <c r="I81" s="198">
        <v>4.47</v>
      </c>
      <c r="K81" s="198">
        <v>66916.639999999999</v>
      </c>
    </row>
    <row r="82" spans="3:11" x14ac:dyDescent="0.2">
      <c r="C82" s="201" t="s">
        <v>10390</v>
      </c>
      <c r="D82" s="200">
        <v>44291</v>
      </c>
      <c r="E82" s="199" t="s">
        <v>10389</v>
      </c>
      <c r="I82" s="198">
        <v>67.2</v>
      </c>
      <c r="K82" s="198">
        <v>66983.839999999997</v>
      </c>
    </row>
    <row r="83" spans="3:11" x14ac:dyDescent="0.2">
      <c r="C83" s="201" t="s">
        <v>10388</v>
      </c>
      <c r="D83" s="200">
        <v>44291</v>
      </c>
      <c r="E83" s="199" t="s">
        <v>10387</v>
      </c>
      <c r="I83" s="198">
        <v>5.26</v>
      </c>
      <c r="K83" s="198">
        <v>66989.100000000006</v>
      </c>
    </row>
    <row r="84" spans="3:11" x14ac:dyDescent="0.2">
      <c r="C84" s="201" t="s">
        <v>10386</v>
      </c>
      <c r="D84" s="200">
        <v>44291</v>
      </c>
      <c r="E84" s="199" t="s">
        <v>10385</v>
      </c>
      <c r="I84" s="198">
        <v>3.71</v>
      </c>
      <c r="K84" s="198">
        <v>66992.81</v>
      </c>
    </row>
    <row r="85" spans="3:11" x14ac:dyDescent="0.2">
      <c r="C85" s="201" t="s">
        <v>10384</v>
      </c>
      <c r="D85" s="200">
        <v>44291</v>
      </c>
      <c r="E85" s="199" t="s">
        <v>10383</v>
      </c>
      <c r="I85" s="198">
        <v>2.99</v>
      </c>
      <c r="K85" s="198">
        <v>66995.8</v>
      </c>
    </row>
    <row r="86" spans="3:11" x14ac:dyDescent="0.2">
      <c r="C86" s="201" t="s">
        <v>10382</v>
      </c>
      <c r="D86" s="200">
        <v>44291</v>
      </c>
      <c r="E86" s="199" t="s">
        <v>10381</v>
      </c>
      <c r="I86" s="198">
        <v>2.69</v>
      </c>
      <c r="K86" s="198">
        <v>66998.490000000005</v>
      </c>
    </row>
    <row r="87" spans="3:11" x14ac:dyDescent="0.2">
      <c r="C87" s="201" t="s">
        <v>10380</v>
      </c>
      <c r="D87" s="200">
        <v>44291</v>
      </c>
      <c r="E87" s="199" t="s">
        <v>10379</v>
      </c>
      <c r="I87" s="198">
        <v>2.15</v>
      </c>
      <c r="K87" s="198">
        <v>67000.639999999999</v>
      </c>
    </row>
    <row r="88" spans="3:11" x14ac:dyDescent="0.2">
      <c r="C88" s="201" t="s">
        <v>10378</v>
      </c>
      <c r="D88" s="200">
        <v>44291</v>
      </c>
      <c r="E88" s="199" t="s">
        <v>10377</v>
      </c>
      <c r="I88" s="198">
        <v>5.29</v>
      </c>
      <c r="K88" s="198">
        <v>67005.929999999993</v>
      </c>
    </row>
    <row r="89" spans="3:11" x14ac:dyDescent="0.2">
      <c r="C89" s="201" t="s">
        <v>10376</v>
      </c>
      <c r="D89" s="200">
        <v>44291</v>
      </c>
      <c r="E89" s="199" t="s">
        <v>10375</v>
      </c>
      <c r="I89" s="198">
        <v>1.03</v>
      </c>
      <c r="K89" s="198">
        <v>67006.960000000006</v>
      </c>
    </row>
    <row r="90" spans="3:11" x14ac:dyDescent="0.2">
      <c r="C90" s="201" t="s">
        <v>10374</v>
      </c>
      <c r="D90" s="200">
        <v>44291</v>
      </c>
      <c r="E90" s="199" t="s">
        <v>10373</v>
      </c>
      <c r="I90" s="198">
        <v>3.92</v>
      </c>
      <c r="K90" s="198">
        <v>67010.880000000005</v>
      </c>
    </row>
    <row r="91" spans="3:11" x14ac:dyDescent="0.2">
      <c r="C91" s="201" t="s">
        <v>10372</v>
      </c>
      <c r="D91" s="200">
        <v>44291</v>
      </c>
      <c r="E91" s="199" t="s">
        <v>10371</v>
      </c>
      <c r="I91" s="198">
        <v>1.68</v>
      </c>
      <c r="K91" s="198">
        <v>67012.56</v>
      </c>
    </row>
    <row r="92" spans="3:11" x14ac:dyDescent="0.2">
      <c r="C92" s="201" t="s">
        <v>10370</v>
      </c>
      <c r="D92" s="200">
        <v>44291</v>
      </c>
      <c r="E92" s="199" t="s">
        <v>10369</v>
      </c>
      <c r="I92" s="198">
        <v>5.61</v>
      </c>
      <c r="K92" s="198">
        <v>67018.17</v>
      </c>
    </row>
    <row r="93" spans="3:11" x14ac:dyDescent="0.2">
      <c r="C93" s="201" t="s">
        <v>10368</v>
      </c>
      <c r="D93" s="200">
        <v>44291</v>
      </c>
      <c r="E93" s="199" t="s">
        <v>10367</v>
      </c>
      <c r="I93" s="198">
        <v>2.14</v>
      </c>
      <c r="K93" s="198">
        <v>67020.31</v>
      </c>
    </row>
    <row r="94" spans="3:11" x14ac:dyDescent="0.2">
      <c r="C94" s="201" t="s">
        <v>10366</v>
      </c>
      <c r="D94" s="200">
        <v>44291</v>
      </c>
      <c r="E94" s="199" t="s">
        <v>10365</v>
      </c>
      <c r="I94" s="198">
        <v>0.27</v>
      </c>
      <c r="K94" s="198">
        <v>67020.58</v>
      </c>
    </row>
    <row r="95" spans="3:11" x14ac:dyDescent="0.2">
      <c r="C95" s="201" t="s">
        <v>10364</v>
      </c>
      <c r="D95" s="200">
        <v>44291</v>
      </c>
      <c r="E95" s="199" t="s">
        <v>10363</v>
      </c>
      <c r="I95" s="198">
        <v>7.32</v>
      </c>
      <c r="K95" s="198">
        <v>67027.899999999994</v>
      </c>
    </row>
    <row r="96" spans="3:11" x14ac:dyDescent="0.2">
      <c r="C96" s="201" t="s">
        <v>10362</v>
      </c>
      <c r="D96" s="200">
        <v>44291</v>
      </c>
      <c r="E96" s="199" t="s">
        <v>10361</v>
      </c>
      <c r="I96" s="198">
        <v>4.32</v>
      </c>
      <c r="K96" s="198">
        <v>67032.22</v>
      </c>
    </row>
    <row r="97" spans="3:11" x14ac:dyDescent="0.2">
      <c r="C97" s="201" t="s">
        <v>10360</v>
      </c>
      <c r="D97" s="200">
        <v>44291</v>
      </c>
      <c r="E97" s="199" t="s">
        <v>10359</v>
      </c>
      <c r="I97" s="198">
        <v>1.69</v>
      </c>
      <c r="K97" s="198">
        <v>67033.91</v>
      </c>
    </row>
    <row r="98" spans="3:11" x14ac:dyDescent="0.2">
      <c r="C98" s="201" t="s">
        <v>10358</v>
      </c>
      <c r="D98" s="200">
        <v>44291</v>
      </c>
      <c r="E98" s="199" t="s">
        <v>10357</v>
      </c>
      <c r="I98" s="198">
        <v>3.91</v>
      </c>
      <c r="K98" s="198">
        <v>67037.820000000007</v>
      </c>
    </row>
    <row r="99" spans="3:11" x14ac:dyDescent="0.2">
      <c r="C99" s="201" t="s">
        <v>10356</v>
      </c>
      <c r="D99" s="200">
        <v>44291</v>
      </c>
      <c r="E99" s="199" t="s">
        <v>10355</v>
      </c>
      <c r="I99" s="198">
        <v>5.88</v>
      </c>
      <c r="K99" s="198">
        <v>67043.7</v>
      </c>
    </row>
    <row r="100" spans="3:11" x14ac:dyDescent="0.2">
      <c r="C100" s="201" t="s">
        <v>10354</v>
      </c>
      <c r="D100" s="200">
        <v>44291</v>
      </c>
      <c r="E100" s="199" t="s">
        <v>10353</v>
      </c>
      <c r="I100" s="198">
        <v>1.68</v>
      </c>
      <c r="K100" s="198">
        <v>67045.38</v>
      </c>
    </row>
    <row r="101" spans="3:11" x14ac:dyDescent="0.2">
      <c r="C101" s="201" t="s">
        <v>10352</v>
      </c>
      <c r="D101" s="200">
        <v>44291</v>
      </c>
      <c r="E101" s="199" t="s">
        <v>10351</v>
      </c>
      <c r="I101" s="198">
        <v>1.52</v>
      </c>
      <c r="K101" s="198">
        <v>67046.899999999994</v>
      </c>
    </row>
    <row r="102" spans="3:11" x14ac:dyDescent="0.2">
      <c r="C102" s="201" t="s">
        <v>10350</v>
      </c>
      <c r="D102" s="200">
        <v>44291</v>
      </c>
      <c r="E102" s="199" t="s">
        <v>10349</v>
      </c>
      <c r="I102" s="198">
        <v>5.7</v>
      </c>
      <c r="K102" s="198">
        <v>67052.600000000006</v>
      </c>
    </row>
    <row r="103" spans="3:11" x14ac:dyDescent="0.2">
      <c r="C103" s="201" t="s">
        <v>10348</v>
      </c>
      <c r="D103" s="200">
        <v>44291</v>
      </c>
      <c r="E103" s="199" t="s">
        <v>10347</v>
      </c>
      <c r="I103" s="198">
        <v>5.52</v>
      </c>
      <c r="K103" s="198">
        <v>67058.12</v>
      </c>
    </row>
    <row r="104" spans="3:11" x14ac:dyDescent="0.2">
      <c r="C104" s="201" t="s">
        <v>10346</v>
      </c>
      <c r="D104" s="200">
        <v>44291</v>
      </c>
      <c r="E104" s="199" t="s">
        <v>10345</v>
      </c>
      <c r="I104" s="198">
        <v>5.3</v>
      </c>
      <c r="K104" s="198">
        <v>67063.42</v>
      </c>
    </row>
    <row r="105" spans="3:11" x14ac:dyDescent="0.2">
      <c r="C105" s="201" t="s">
        <v>10344</v>
      </c>
      <c r="D105" s="200">
        <v>44291</v>
      </c>
      <c r="E105" s="199" t="s">
        <v>10343</v>
      </c>
      <c r="I105" s="198">
        <v>4.2</v>
      </c>
      <c r="K105" s="198">
        <v>67067.62</v>
      </c>
    </row>
    <row r="106" spans="3:11" x14ac:dyDescent="0.2">
      <c r="C106" s="201" t="s">
        <v>10342</v>
      </c>
      <c r="D106" s="200">
        <v>44291</v>
      </c>
      <c r="E106" s="199" t="s">
        <v>10341</v>
      </c>
      <c r="I106" s="198">
        <v>5.71</v>
      </c>
      <c r="K106" s="198">
        <v>67073.33</v>
      </c>
    </row>
    <row r="107" spans="3:11" x14ac:dyDescent="0.2">
      <c r="C107" s="201" t="s">
        <v>10340</v>
      </c>
      <c r="D107" s="200">
        <v>44291</v>
      </c>
      <c r="E107" s="199" t="s">
        <v>10339</v>
      </c>
      <c r="I107" s="198">
        <v>3.92</v>
      </c>
      <c r="K107" s="198">
        <v>67077.25</v>
      </c>
    </row>
    <row r="108" spans="3:11" x14ac:dyDescent="0.2">
      <c r="C108" s="201" t="s">
        <v>10338</v>
      </c>
      <c r="D108" s="200">
        <v>44291</v>
      </c>
      <c r="E108" s="199" t="s">
        <v>10337</v>
      </c>
      <c r="I108" s="198">
        <v>5.41</v>
      </c>
      <c r="K108" s="198">
        <v>67082.66</v>
      </c>
    </row>
    <row r="109" spans="3:11" x14ac:dyDescent="0.2">
      <c r="C109" s="201" t="s">
        <v>10336</v>
      </c>
      <c r="D109" s="200">
        <v>44291</v>
      </c>
      <c r="E109" s="199" t="s">
        <v>10335</v>
      </c>
      <c r="I109" s="198">
        <v>7.51</v>
      </c>
      <c r="K109" s="198">
        <v>67090.17</v>
      </c>
    </row>
    <row r="110" spans="3:11" x14ac:dyDescent="0.2">
      <c r="C110" s="201" t="s">
        <v>10334</v>
      </c>
      <c r="D110" s="200">
        <v>44291</v>
      </c>
      <c r="E110" s="199" t="s">
        <v>10333</v>
      </c>
      <c r="I110" s="198">
        <v>11.77</v>
      </c>
      <c r="K110" s="198">
        <v>67101.94</v>
      </c>
    </row>
    <row r="111" spans="3:11" x14ac:dyDescent="0.2">
      <c r="C111" s="201" t="s">
        <v>10332</v>
      </c>
      <c r="D111" s="200">
        <v>44291</v>
      </c>
      <c r="E111" s="199" t="s">
        <v>10331</v>
      </c>
      <c r="I111" s="198">
        <v>12.17</v>
      </c>
      <c r="K111" s="198">
        <v>67114.11</v>
      </c>
    </row>
    <row r="112" spans="3:11" x14ac:dyDescent="0.2">
      <c r="C112" s="201" t="s">
        <v>10330</v>
      </c>
      <c r="D112" s="200">
        <v>44291</v>
      </c>
      <c r="E112" s="199" t="s">
        <v>10329</v>
      </c>
      <c r="I112" s="198">
        <v>1.97</v>
      </c>
      <c r="K112" s="198">
        <v>67116.08</v>
      </c>
    </row>
    <row r="113" spans="3:11" x14ac:dyDescent="0.2">
      <c r="C113" s="201" t="s">
        <v>10328</v>
      </c>
      <c r="D113" s="200">
        <v>44291</v>
      </c>
      <c r="E113" s="199" t="s">
        <v>10327</v>
      </c>
      <c r="I113" s="198">
        <v>3.51</v>
      </c>
      <c r="K113" s="198">
        <v>67119.59</v>
      </c>
    </row>
    <row r="114" spans="3:11" x14ac:dyDescent="0.2">
      <c r="C114" s="201" t="s">
        <v>10326</v>
      </c>
      <c r="D114" s="200">
        <v>44291</v>
      </c>
      <c r="E114" s="199" t="s">
        <v>10325</v>
      </c>
      <c r="I114" s="198">
        <v>6.75</v>
      </c>
      <c r="K114" s="198">
        <v>67126.34</v>
      </c>
    </row>
    <row r="115" spans="3:11" x14ac:dyDescent="0.2">
      <c r="C115" s="201" t="s">
        <v>10324</v>
      </c>
      <c r="D115" s="200">
        <v>44291</v>
      </c>
      <c r="E115" s="199" t="s">
        <v>10323</v>
      </c>
      <c r="I115" s="198">
        <v>9.6</v>
      </c>
      <c r="K115" s="198">
        <v>67135.94</v>
      </c>
    </row>
    <row r="116" spans="3:11" x14ac:dyDescent="0.2">
      <c r="C116" s="201" t="s">
        <v>10322</v>
      </c>
      <c r="D116" s="200">
        <v>44291</v>
      </c>
      <c r="E116" s="199" t="s">
        <v>10321</v>
      </c>
      <c r="I116" s="198">
        <v>3.36</v>
      </c>
      <c r="K116" s="198">
        <v>67139.3</v>
      </c>
    </row>
    <row r="117" spans="3:11" x14ac:dyDescent="0.2">
      <c r="C117" s="201" t="s">
        <v>10320</v>
      </c>
      <c r="D117" s="200">
        <v>44291</v>
      </c>
      <c r="E117" s="199" t="s">
        <v>10319</v>
      </c>
      <c r="I117" s="198">
        <v>7.82</v>
      </c>
      <c r="K117" s="198">
        <v>67147.12</v>
      </c>
    </row>
    <row r="118" spans="3:11" x14ac:dyDescent="0.2">
      <c r="C118" s="201" t="s">
        <v>10318</v>
      </c>
      <c r="D118" s="200">
        <v>44291</v>
      </c>
      <c r="E118" s="199" t="s">
        <v>10317</v>
      </c>
      <c r="I118" s="198">
        <v>2.73</v>
      </c>
      <c r="K118" s="198">
        <v>67149.850000000006</v>
      </c>
    </row>
    <row r="119" spans="3:11" x14ac:dyDescent="0.2">
      <c r="C119" s="201" t="s">
        <v>10316</v>
      </c>
      <c r="D119" s="200">
        <v>44291</v>
      </c>
      <c r="E119" s="199" t="s">
        <v>10315</v>
      </c>
      <c r="I119" s="198">
        <v>12.3</v>
      </c>
      <c r="K119" s="198">
        <v>67162.149999999994</v>
      </c>
    </row>
    <row r="120" spans="3:11" x14ac:dyDescent="0.2">
      <c r="C120" s="201" t="s">
        <v>10314</v>
      </c>
      <c r="D120" s="200">
        <v>44291</v>
      </c>
      <c r="E120" s="199" t="s">
        <v>10313</v>
      </c>
      <c r="I120" s="198">
        <v>4.1900000000000004</v>
      </c>
      <c r="K120" s="198">
        <v>67166.34</v>
      </c>
    </row>
    <row r="121" spans="3:11" x14ac:dyDescent="0.2">
      <c r="C121" s="201" t="s">
        <v>10312</v>
      </c>
      <c r="D121" s="200">
        <v>44291</v>
      </c>
      <c r="E121" s="199" t="s">
        <v>10311</v>
      </c>
      <c r="I121" s="198">
        <v>7.82</v>
      </c>
      <c r="K121" s="198">
        <v>67174.16</v>
      </c>
    </row>
    <row r="122" spans="3:11" x14ac:dyDescent="0.2">
      <c r="C122" s="201" t="s">
        <v>10310</v>
      </c>
      <c r="D122" s="200">
        <v>44291</v>
      </c>
      <c r="E122" s="199" t="s">
        <v>10309</v>
      </c>
      <c r="I122" s="198">
        <v>4.1900000000000004</v>
      </c>
      <c r="K122" s="198">
        <v>67178.350000000006</v>
      </c>
    </row>
    <row r="123" spans="3:11" x14ac:dyDescent="0.2">
      <c r="C123" s="201" t="s">
        <v>10308</v>
      </c>
      <c r="D123" s="200">
        <v>44291</v>
      </c>
      <c r="E123" s="199" t="s">
        <v>10307</v>
      </c>
      <c r="I123" s="198">
        <v>1.72</v>
      </c>
      <c r="K123" s="198">
        <v>67180.070000000007</v>
      </c>
    </row>
    <row r="124" spans="3:11" x14ac:dyDescent="0.2">
      <c r="C124" s="201" t="s">
        <v>10306</v>
      </c>
      <c r="D124" s="200">
        <v>44291</v>
      </c>
      <c r="E124" s="199" t="s">
        <v>10305</v>
      </c>
      <c r="I124" s="198">
        <v>1.75</v>
      </c>
      <c r="K124" s="198">
        <v>67181.820000000007</v>
      </c>
    </row>
    <row r="125" spans="3:11" x14ac:dyDescent="0.2">
      <c r="C125" s="201" t="s">
        <v>10304</v>
      </c>
      <c r="D125" s="200">
        <v>44291</v>
      </c>
      <c r="E125" s="199" t="s">
        <v>10303</v>
      </c>
      <c r="I125" s="198">
        <v>1.78</v>
      </c>
      <c r="K125" s="198">
        <v>67183.600000000006</v>
      </c>
    </row>
    <row r="126" spans="3:11" x14ac:dyDescent="0.2">
      <c r="C126" s="201" t="s">
        <v>10302</v>
      </c>
      <c r="D126" s="200">
        <v>44291</v>
      </c>
      <c r="E126" s="199" t="s">
        <v>10301</v>
      </c>
      <c r="I126" s="198">
        <v>16.739999999999998</v>
      </c>
      <c r="K126" s="198">
        <v>67200.34</v>
      </c>
    </row>
    <row r="127" spans="3:11" x14ac:dyDescent="0.2">
      <c r="C127" s="201" t="s">
        <v>10300</v>
      </c>
      <c r="D127" s="200">
        <v>44291</v>
      </c>
      <c r="E127" s="199" t="s">
        <v>10299</v>
      </c>
      <c r="I127" s="198">
        <v>1.68</v>
      </c>
      <c r="K127" s="198">
        <v>67202.02</v>
      </c>
    </row>
    <row r="128" spans="3:11" x14ac:dyDescent="0.2">
      <c r="C128" s="201" t="s">
        <v>10298</v>
      </c>
      <c r="D128" s="200">
        <v>44291</v>
      </c>
      <c r="E128" s="199" t="s">
        <v>10297</v>
      </c>
      <c r="I128" s="198">
        <v>17.899999999999999</v>
      </c>
      <c r="K128" s="198">
        <v>67219.92</v>
      </c>
    </row>
    <row r="129" spans="3:11" x14ac:dyDescent="0.2">
      <c r="C129" s="201" t="s">
        <v>10296</v>
      </c>
      <c r="D129" s="200">
        <v>44291</v>
      </c>
      <c r="E129" s="199" t="s">
        <v>10295</v>
      </c>
      <c r="I129" s="198">
        <v>2.0099999999999998</v>
      </c>
      <c r="K129" s="198">
        <v>67221.929999999993</v>
      </c>
    </row>
    <row r="130" spans="3:11" x14ac:dyDescent="0.2">
      <c r="C130" s="201" t="s">
        <v>10294</v>
      </c>
      <c r="D130" s="200">
        <v>44291</v>
      </c>
      <c r="E130" s="199" t="s">
        <v>10293</v>
      </c>
      <c r="I130" s="198">
        <v>6.94</v>
      </c>
      <c r="K130" s="198">
        <v>67228.87</v>
      </c>
    </row>
    <row r="131" spans="3:11" x14ac:dyDescent="0.2">
      <c r="C131" s="201" t="s">
        <v>10292</v>
      </c>
      <c r="D131" s="200">
        <v>44291</v>
      </c>
      <c r="E131" s="199" t="s">
        <v>10291</v>
      </c>
      <c r="I131" s="198">
        <v>5.48</v>
      </c>
      <c r="K131" s="198">
        <v>67234.350000000006</v>
      </c>
    </row>
    <row r="132" spans="3:11" x14ac:dyDescent="0.2">
      <c r="C132" s="201" t="s">
        <v>10290</v>
      </c>
      <c r="D132" s="200">
        <v>44291</v>
      </c>
      <c r="E132" s="199" t="s">
        <v>10289</v>
      </c>
      <c r="I132" s="198">
        <v>1.68</v>
      </c>
      <c r="K132" s="198">
        <v>67236.03</v>
      </c>
    </row>
    <row r="133" spans="3:11" x14ac:dyDescent="0.2">
      <c r="C133" s="201" t="s">
        <v>10288</v>
      </c>
      <c r="D133" s="200">
        <v>44291</v>
      </c>
      <c r="E133" s="199" t="s">
        <v>10287</v>
      </c>
      <c r="I133" s="198">
        <v>2.16</v>
      </c>
      <c r="K133" s="198">
        <v>67238.19</v>
      </c>
    </row>
    <row r="134" spans="3:11" x14ac:dyDescent="0.2">
      <c r="C134" s="201" t="s">
        <v>10286</v>
      </c>
      <c r="D134" s="200">
        <v>44291</v>
      </c>
      <c r="E134" s="199" t="s">
        <v>10285</v>
      </c>
      <c r="I134" s="198">
        <v>7.82</v>
      </c>
      <c r="K134" s="198">
        <v>67246.009999999995</v>
      </c>
    </row>
    <row r="135" spans="3:11" x14ac:dyDescent="0.2">
      <c r="C135" s="201" t="s">
        <v>10284</v>
      </c>
      <c r="D135" s="200">
        <v>44291</v>
      </c>
      <c r="E135" s="199" t="s">
        <v>10283</v>
      </c>
      <c r="I135" s="198">
        <v>11.5</v>
      </c>
      <c r="K135" s="198">
        <v>67257.509999999995</v>
      </c>
    </row>
    <row r="136" spans="3:11" x14ac:dyDescent="0.2">
      <c r="C136" s="201" t="s">
        <v>10282</v>
      </c>
      <c r="D136" s="200">
        <v>44291</v>
      </c>
      <c r="E136" s="199" t="s">
        <v>10281</v>
      </c>
      <c r="I136" s="198">
        <v>8.3800000000000008</v>
      </c>
      <c r="K136" s="198">
        <v>67265.89</v>
      </c>
    </row>
    <row r="137" spans="3:11" x14ac:dyDescent="0.2">
      <c r="C137" s="201" t="s">
        <v>10280</v>
      </c>
      <c r="D137" s="200">
        <v>44291</v>
      </c>
      <c r="E137" s="199" t="s">
        <v>10279</v>
      </c>
      <c r="I137" s="198">
        <v>1.68</v>
      </c>
      <c r="K137" s="198">
        <v>67267.570000000007</v>
      </c>
    </row>
    <row r="138" spans="3:11" x14ac:dyDescent="0.2">
      <c r="C138" s="201" t="s">
        <v>10278</v>
      </c>
      <c r="D138" s="200">
        <v>44291</v>
      </c>
      <c r="E138" s="199" t="s">
        <v>10277</v>
      </c>
      <c r="I138" s="198">
        <v>8.3800000000000008</v>
      </c>
      <c r="K138" s="198">
        <v>67275.95</v>
      </c>
    </row>
    <row r="139" spans="3:11" x14ac:dyDescent="0.2">
      <c r="C139" s="201" t="s">
        <v>10276</v>
      </c>
      <c r="D139" s="200">
        <v>44291</v>
      </c>
      <c r="E139" s="199" t="s">
        <v>10275</v>
      </c>
      <c r="I139" s="198">
        <v>7.47</v>
      </c>
      <c r="K139" s="198">
        <v>67283.42</v>
      </c>
    </row>
    <row r="140" spans="3:11" x14ac:dyDescent="0.2">
      <c r="C140" s="201" t="s">
        <v>10274</v>
      </c>
      <c r="D140" s="200">
        <v>44291</v>
      </c>
      <c r="E140" s="199" t="s">
        <v>10273</v>
      </c>
      <c r="I140" s="198">
        <v>8.3800000000000008</v>
      </c>
      <c r="K140" s="198">
        <v>67291.8</v>
      </c>
    </row>
    <row r="141" spans="3:11" x14ac:dyDescent="0.2">
      <c r="C141" s="201" t="s">
        <v>10272</v>
      </c>
      <c r="D141" s="200">
        <v>44291</v>
      </c>
      <c r="E141" s="199" t="s">
        <v>10271</v>
      </c>
      <c r="I141" s="198">
        <v>8.3800000000000008</v>
      </c>
      <c r="K141" s="198">
        <v>67300.179999999993</v>
      </c>
    </row>
    <row r="142" spans="3:11" x14ac:dyDescent="0.2">
      <c r="C142" s="201" t="s">
        <v>10270</v>
      </c>
      <c r="D142" s="200">
        <v>44291</v>
      </c>
      <c r="E142" s="199" t="s">
        <v>10269</v>
      </c>
      <c r="I142" s="198">
        <v>7.94</v>
      </c>
      <c r="K142" s="198">
        <v>67308.12</v>
      </c>
    </row>
    <row r="143" spans="3:11" x14ac:dyDescent="0.2">
      <c r="C143" s="201" t="s">
        <v>10268</v>
      </c>
      <c r="D143" s="200">
        <v>44291</v>
      </c>
      <c r="E143" s="199" t="s">
        <v>10267</v>
      </c>
      <c r="I143" s="198">
        <v>6.12</v>
      </c>
      <c r="K143" s="198">
        <v>67314.240000000005</v>
      </c>
    </row>
    <row r="144" spans="3:11" x14ac:dyDescent="0.2">
      <c r="C144" s="201" t="s">
        <v>10266</v>
      </c>
      <c r="D144" s="200">
        <v>44291</v>
      </c>
      <c r="E144" s="199" t="s">
        <v>10265</v>
      </c>
      <c r="I144" s="198">
        <v>2.72</v>
      </c>
      <c r="K144" s="198">
        <v>67316.960000000006</v>
      </c>
    </row>
    <row r="145" spans="3:11" x14ac:dyDescent="0.2">
      <c r="C145" s="201" t="s">
        <v>10264</v>
      </c>
      <c r="D145" s="200">
        <v>44291</v>
      </c>
      <c r="E145" s="199" t="s">
        <v>10263</v>
      </c>
      <c r="I145" s="198">
        <v>3.75</v>
      </c>
      <c r="K145" s="198">
        <v>67320.710000000006</v>
      </c>
    </row>
    <row r="146" spans="3:11" x14ac:dyDescent="0.2">
      <c r="C146" s="201" t="s">
        <v>10262</v>
      </c>
      <c r="D146" s="200">
        <v>44291</v>
      </c>
      <c r="E146" s="199" t="s">
        <v>10261</v>
      </c>
      <c r="I146" s="198">
        <v>2.98</v>
      </c>
      <c r="K146" s="198">
        <v>67323.69</v>
      </c>
    </row>
    <row r="147" spans="3:11" x14ac:dyDescent="0.2">
      <c r="C147" s="201" t="s">
        <v>10260</v>
      </c>
      <c r="D147" s="200">
        <v>44291</v>
      </c>
      <c r="E147" s="199" t="s">
        <v>10259</v>
      </c>
      <c r="I147" s="198">
        <v>8.3800000000000008</v>
      </c>
      <c r="K147" s="198">
        <v>67332.070000000007</v>
      </c>
    </row>
    <row r="148" spans="3:11" x14ac:dyDescent="0.2">
      <c r="C148" s="201" t="s">
        <v>10258</v>
      </c>
      <c r="D148" s="200">
        <v>44291</v>
      </c>
      <c r="E148" s="199" t="s">
        <v>10257</v>
      </c>
      <c r="I148" s="198">
        <v>6.68</v>
      </c>
      <c r="K148" s="198">
        <v>67338.75</v>
      </c>
    </row>
    <row r="149" spans="3:11" x14ac:dyDescent="0.2">
      <c r="C149" s="201" t="s">
        <v>10256</v>
      </c>
      <c r="D149" s="200">
        <v>44291</v>
      </c>
      <c r="E149" s="199" t="s">
        <v>10255</v>
      </c>
      <c r="I149" s="198">
        <v>5.36</v>
      </c>
      <c r="K149" s="198">
        <v>67344.11</v>
      </c>
    </row>
    <row r="150" spans="3:11" x14ac:dyDescent="0.2">
      <c r="C150" s="201" t="s">
        <v>10254</v>
      </c>
      <c r="D150" s="200">
        <v>44291</v>
      </c>
      <c r="E150" s="199" t="s">
        <v>10253</v>
      </c>
      <c r="I150" s="198">
        <v>4.6900000000000004</v>
      </c>
      <c r="K150" s="198">
        <v>67348.800000000003</v>
      </c>
    </row>
    <row r="151" spans="3:11" x14ac:dyDescent="0.2">
      <c r="C151" s="201" t="s">
        <v>10252</v>
      </c>
      <c r="D151" s="200">
        <v>44291</v>
      </c>
      <c r="E151" s="199" t="s">
        <v>10251</v>
      </c>
      <c r="I151" s="198">
        <v>8.3800000000000008</v>
      </c>
      <c r="K151" s="198">
        <v>67357.179999999993</v>
      </c>
    </row>
    <row r="152" spans="3:11" x14ac:dyDescent="0.2">
      <c r="C152" s="201" t="s">
        <v>10250</v>
      </c>
      <c r="D152" s="200">
        <v>44291</v>
      </c>
      <c r="E152" s="199" t="s">
        <v>10249</v>
      </c>
      <c r="I152" s="198">
        <v>15.3</v>
      </c>
      <c r="K152" s="198">
        <v>67372.479999999996</v>
      </c>
    </row>
    <row r="153" spans="3:11" x14ac:dyDescent="0.2">
      <c r="C153" s="201" t="s">
        <v>10248</v>
      </c>
      <c r="D153" s="200">
        <v>44291</v>
      </c>
      <c r="E153" s="199" t="s">
        <v>10247</v>
      </c>
      <c r="I153" s="198">
        <v>15.3</v>
      </c>
      <c r="K153" s="198">
        <v>67387.78</v>
      </c>
    </row>
    <row r="154" spans="3:11" x14ac:dyDescent="0.2">
      <c r="C154" s="201" t="s">
        <v>10246</v>
      </c>
      <c r="D154" s="200">
        <v>44291</v>
      </c>
      <c r="E154" s="199" t="s">
        <v>10245</v>
      </c>
      <c r="I154" s="198">
        <v>15.3</v>
      </c>
      <c r="K154" s="198">
        <v>67403.08</v>
      </c>
    </row>
    <row r="155" spans="3:11" x14ac:dyDescent="0.2">
      <c r="C155" s="201" t="s">
        <v>10244</v>
      </c>
      <c r="D155" s="200">
        <v>44291</v>
      </c>
      <c r="E155" s="199" t="s">
        <v>10243</v>
      </c>
      <c r="I155" s="198">
        <v>2.5</v>
      </c>
      <c r="K155" s="198">
        <v>67405.58</v>
      </c>
    </row>
    <row r="156" spans="3:11" x14ac:dyDescent="0.2">
      <c r="C156" s="201" t="s">
        <v>10242</v>
      </c>
      <c r="D156" s="200">
        <v>44291</v>
      </c>
      <c r="E156" s="199" t="s">
        <v>10241</v>
      </c>
      <c r="I156" s="198">
        <v>1.94</v>
      </c>
      <c r="K156" s="198">
        <v>67407.520000000004</v>
      </c>
    </row>
    <row r="157" spans="3:11" x14ac:dyDescent="0.2">
      <c r="C157" s="201" t="s">
        <v>10240</v>
      </c>
      <c r="D157" s="200">
        <v>44291</v>
      </c>
      <c r="E157" s="199" t="s">
        <v>10239</v>
      </c>
      <c r="I157" s="198">
        <v>15.3</v>
      </c>
      <c r="K157" s="198">
        <v>67422.820000000007</v>
      </c>
    </row>
    <row r="158" spans="3:11" x14ac:dyDescent="0.2">
      <c r="C158" s="201" t="s">
        <v>10238</v>
      </c>
      <c r="D158" s="200">
        <v>44291</v>
      </c>
      <c r="E158" s="199" t="s">
        <v>10237</v>
      </c>
      <c r="I158" s="198">
        <v>32.1</v>
      </c>
      <c r="K158" s="198">
        <v>67454.92</v>
      </c>
    </row>
    <row r="159" spans="3:11" x14ac:dyDescent="0.2">
      <c r="C159" s="201" t="s">
        <v>10236</v>
      </c>
      <c r="D159" s="200">
        <v>44291</v>
      </c>
      <c r="E159" s="199" t="s">
        <v>10235</v>
      </c>
      <c r="I159" s="198">
        <v>4.22</v>
      </c>
      <c r="K159" s="198">
        <v>67459.14</v>
      </c>
    </row>
    <row r="160" spans="3:11" x14ac:dyDescent="0.2">
      <c r="C160" s="201" t="s">
        <v>10234</v>
      </c>
      <c r="D160" s="200">
        <v>44291</v>
      </c>
      <c r="E160" s="199" t="s">
        <v>10233</v>
      </c>
      <c r="I160" s="198">
        <v>1.98</v>
      </c>
      <c r="K160" s="198">
        <v>67461.119999999995</v>
      </c>
    </row>
    <row r="161" spans="3:11" x14ac:dyDescent="0.2">
      <c r="C161" s="201" t="s">
        <v>10232</v>
      </c>
      <c r="D161" s="200">
        <v>44291</v>
      </c>
      <c r="E161" s="199" t="s">
        <v>10231</v>
      </c>
      <c r="I161" s="198">
        <v>10.25</v>
      </c>
      <c r="K161" s="198">
        <v>67471.37</v>
      </c>
    </row>
    <row r="162" spans="3:11" x14ac:dyDescent="0.2">
      <c r="C162" s="201" t="s">
        <v>10230</v>
      </c>
      <c r="D162" s="200">
        <v>44291</v>
      </c>
      <c r="E162" s="199" t="s">
        <v>10229</v>
      </c>
      <c r="I162" s="198">
        <v>2.8</v>
      </c>
      <c r="K162" s="198">
        <v>67474.17</v>
      </c>
    </row>
    <row r="163" spans="3:11" x14ac:dyDescent="0.2">
      <c r="C163" s="201" t="s">
        <v>10228</v>
      </c>
      <c r="D163" s="200">
        <v>44291</v>
      </c>
      <c r="E163" s="199" t="s">
        <v>10227</v>
      </c>
      <c r="I163" s="198">
        <v>180.11</v>
      </c>
      <c r="K163" s="198">
        <v>67654.28</v>
      </c>
    </row>
    <row r="164" spans="3:11" x14ac:dyDescent="0.2">
      <c r="C164" s="201" t="s">
        <v>10226</v>
      </c>
      <c r="D164" s="200">
        <v>44291</v>
      </c>
      <c r="E164" s="199" t="s">
        <v>10225</v>
      </c>
      <c r="I164" s="198">
        <v>3.06</v>
      </c>
      <c r="K164" s="198">
        <v>67657.34</v>
      </c>
    </row>
    <row r="165" spans="3:11" x14ac:dyDescent="0.2">
      <c r="C165" s="201" t="s">
        <v>6817</v>
      </c>
      <c r="D165" s="200">
        <v>44291</v>
      </c>
      <c r="E165" s="199" t="s">
        <v>20190</v>
      </c>
      <c r="J165" s="222">
        <v>5.32</v>
      </c>
      <c r="K165" s="198">
        <v>67652.02</v>
      </c>
    </row>
    <row r="166" spans="3:11" x14ac:dyDescent="0.2">
      <c r="C166" s="201" t="s">
        <v>10224</v>
      </c>
      <c r="D166" s="200">
        <v>44292</v>
      </c>
      <c r="E166" s="199" t="s">
        <v>10223</v>
      </c>
      <c r="I166" s="198">
        <v>1.68</v>
      </c>
      <c r="K166" s="198">
        <v>67653.7</v>
      </c>
    </row>
    <row r="167" spans="3:11" x14ac:dyDescent="0.2">
      <c r="C167" s="201" t="s">
        <v>10222</v>
      </c>
      <c r="D167" s="200">
        <v>44292</v>
      </c>
      <c r="E167" s="199" t="s">
        <v>10221</v>
      </c>
      <c r="I167" s="198">
        <v>21.38</v>
      </c>
      <c r="K167" s="198">
        <v>67675.08</v>
      </c>
    </row>
    <row r="168" spans="3:11" x14ac:dyDescent="0.2">
      <c r="C168" s="201" t="s">
        <v>10220</v>
      </c>
      <c r="D168" s="200">
        <v>44292</v>
      </c>
      <c r="E168" s="199" t="s">
        <v>10219</v>
      </c>
      <c r="I168" s="198">
        <v>2410.59</v>
      </c>
      <c r="K168" s="198">
        <v>70085.67</v>
      </c>
    </row>
    <row r="169" spans="3:11" x14ac:dyDescent="0.2">
      <c r="C169" s="201" t="s">
        <v>10218</v>
      </c>
      <c r="D169" s="200">
        <v>44292</v>
      </c>
      <c r="E169" s="199" t="s">
        <v>10217</v>
      </c>
      <c r="I169" s="198">
        <v>5.62</v>
      </c>
      <c r="K169" s="198">
        <v>70091.289999999994</v>
      </c>
    </row>
    <row r="170" spans="3:11" x14ac:dyDescent="0.2">
      <c r="C170" s="201" t="s">
        <v>10216</v>
      </c>
      <c r="D170" s="200">
        <v>44292</v>
      </c>
      <c r="E170" s="199" t="s">
        <v>10215</v>
      </c>
      <c r="I170" s="198">
        <v>28.93</v>
      </c>
      <c r="K170" s="198">
        <v>70120.22</v>
      </c>
    </row>
    <row r="171" spans="3:11" x14ac:dyDescent="0.2">
      <c r="C171" s="201" t="s">
        <v>10214</v>
      </c>
      <c r="D171" s="200">
        <v>44292</v>
      </c>
      <c r="E171" s="199" t="s">
        <v>10213</v>
      </c>
      <c r="I171" s="198">
        <v>21.16</v>
      </c>
      <c r="K171" s="198">
        <v>70141.38</v>
      </c>
    </row>
    <row r="172" spans="3:11" x14ac:dyDescent="0.2">
      <c r="C172" s="201" t="s">
        <v>10212</v>
      </c>
      <c r="D172" s="200">
        <v>44292</v>
      </c>
      <c r="E172" s="199" t="s">
        <v>10211</v>
      </c>
      <c r="I172" s="198">
        <v>3.37</v>
      </c>
      <c r="K172" s="198">
        <v>70144.75</v>
      </c>
    </row>
    <row r="173" spans="3:11" x14ac:dyDescent="0.2">
      <c r="C173" s="201" t="s">
        <v>10210</v>
      </c>
      <c r="D173" s="200">
        <v>44292</v>
      </c>
      <c r="E173" s="199" t="s">
        <v>10209</v>
      </c>
      <c r="I173" s="198">
        <v>6.39</v>
      </c>
      <c r="K173" s="198">
        <v>70151.14</v>
      </c>
    </row>
    <row r="174" spans="3:11" x14ac:dyDescent="0.2">
      <c r="C174" s="201" t="s">
        <v>10208</v>
      </c>
      <c r="D174" s="200">
        <v>44292</v>
      </c>
      <c r="E174" s="199" t="s">
        <v>10207</v>
      </c>
      <c r="I174" s="198">
        <v>13.66</v>
      </c>
      <c r="K174" s="198">
        <v>70164.800000000003</v>
      </c>
    </row>
    <row r="175" spans="3:11" x14ac:dyDescent="0.2">
      <c r="C175" s="201" t="s">
        <v>10206</v>
      </c>
      <c r="D175" s="200">
        <v>44292</v>
      </c>
      <c r="E175" s="199" t="s">
        <v>10205</v>
      </c>
      <c r="I175" s="198">
        <v>10.45</v>
      </c>
      <c r="K175" s="198">
        <v>70175.25</v>
      </c>
    </row>
    <row r="176" spans="3:11" x14ac:dyDescent="0.2">
      <c r="C176" s="201" t="s">
        <v>10204</v>
      </c>
      <c r="D176" s="200">
        <v>44292</v>
      </c>
      <c r="E176" s="199" t="s">
        <v>10203</v>
      </c>
      <c r="I176" s="198">
        <v>3.97</v>
      </c>
      <c r="K176" s="198">
        <v>70179.22</v>
      </c>
    </row>
    <row r="177" spans="3:11" x14ac:dyDescent="0.2">
      <c r="C177" s="201" t="s">
        <v>10202</v>
      </c>
      <c r="D177" s="200">
        <v>44292</v>
      </c>
      <c r="E177" s="199" t="s">
        <v>10201</v>
      </c>
      <c r="I177" s="198">
        <v>3.73</v>
      </c>
      <c r="K177" s="198">
        <v>70182.95</v>
      </c>
    </row>
    <row r="178" spans="3:11" x14ac:dyDescent="0.2">
      <c r="C178" s="201" t="s">
        <v>10200</v>
      </c>
      <c r="D178" s="200">
        <v>44292</v>
      </c>
      <c r="E178" s="199" t="s">
        <v>10199</v>
      </c>
      <c r="I178" s="198">
        <v>35</v>
      </c>
      <c r="K178" s="198">
        <v>70217.95</v>
      </c>
    </row>
    <row r="179" spans="3:11" x14ac:dyDescent="0.2">
      <c r="C179" s="201" t="s">
        <v>10198</v>
      </c>
      <c r="D179" s="200">
        <v>44292</v>
      </c>
      <c r="E179" s="199" t="s">
        <v>10197</v>
      </c>
      <c r="I179" s="198">
        <v>6.04</v>
      </c>
      <c r="K179" s="198">
        <v>70223.990000000005</v>
      </c>
    </row>
    <row r="180" spans="3:11" x14ac:dyDescent="0.2">
      <c r="C180" s="201" t="s">
        <v>10196</v>
      </c>
      <c r="D180" s="200">
        <v>44292</v>
      </c>
      <c r="E180" s="199" t="s">
        <v>10195</v>
      </c>
      <c r="I180" s="198">
        <v>8.82</v>
      </c>
      <c r="K180" s="198">
        <v>70232.81</v>
      </c>
    </row>
    <row r="181" spans="3:11" x14ac:dyDescent="0.2">
      <c r="C181" s="201" t="s">
        <v>10194</v>
      </c>
      <c r="D181" s="200">
        <v>44292</v>
      </c>
      <c r="E181" s="199" t="s">
        <v>10193</v>
      </c>
      <c r="I181" s="198">
        <v>25.87</v>
      </c>
      <c r="K181" s="198">
        <v>70258.679999999993</v>
      </c>
    </row>
    <row r="182" spans="3:11" x14ac:dyDescent="0.2">
      <c r="C182" s="201" t="s">
        <v>10192</v>
      </c>
      <c r="D182" s="200">
        <v>44292</v>
      </c>
      <c r="E182" s="199" t="s">
        <v>10191</v>
      </c>
      <c r="I182" s="198">
        <v>11.2</v>
      </c>
      <c r="K182" s="198">
        <v>70269.88</v>
      </c>
    </row>
    <row r="183" spans="3:11" x14ac:dyDescent="0.2">
      <c r="C183" s="201" t="s">
        <v>10190</v>
      </c>
      <c r="D183" s="200">
        <v>44292</v>
      </c>
      <c r="E183" s="199" t="s">
        <v>10189</v>
      </c>
      <c r="I183" s="198">
        <v>13.21</v>
      </c>
      <c r="K183" s="198">
        <v>70283.09</v>
      </c>
    </row>
    <row r="184" spans="3:11" x14ac:dyDescent="0.2">
      <c r="C184" s="201" t="s">
        <v>10188</v>
      </c>
      <c r="D184" s="200">
        <v>44292</v>
      </c>
      <c r="E184" s="199" t="s">
        <v>10187</v>
      </c>
      <c r="I184" s="198">
        <v>5.13</v>
      </c>
      <c r="K184" s="198">
        <v>70288.22</v>
      </c>
    </row>
    <row r="185" spans="3:11" x14ac:dyDescent="0.2">
      <c r="C185" s="201" t="s">
        <v>10186</v>
      </c>
      <c r="D185" s="200">
        <v>44292</v>
      </c>
      <c r="E185" s="199" t="s">
        <v>10185</v>
      </c>
      <c r="I185" s="198">
        <v>1.69</v>
      </c>
      <c r="K185" s="198">
        <v>70289.91</v>
      </c>
    </row>
    <row r="186" spans="3:11" x14ac:dyDescent="0.2">
      <c r="C186" s="201" t="s">
        <v>10184</v>
      </c>
      <c r="D186" s="200">
        <v>44292</v>
      </c>
      <c r="E186" s="199" t="s">
        <v>10183</v>
      </c>
      <c r="I186" s="198">
        <v>9.7899999999999991</v>
      </c>
      <c r="K186" s="198">
        <v>70299.7</v>
      </c>
    </row>
    <row r="187" spans="3:11" x14ac:dyDescent="0.2">
      <c r="C187" s="201" t="s">
        <v>10182</v>
      </c>
      <c r="D187" s="200">
        <v>44292</v>
      </c>
      <c r="E187" s="199" t="s">
        <v>10181</v>
      </c>
      <c r="I187" s="198">
        <v>35.5</v>
      </c>
      <c r="K187" s="198">
        <v>70335.199999999997</v>
      </c>
    </row>
    <row r="188" spans="3:11" x14ac:dyDescent="0.2">
      <c r="C188" s="201" t="s">
        <v>10180</v>
      </c>
      <c r="D188" s="200">
        <v>44292</v>
      </c>
      <c r="E188" s="199" t="s">
        <v>10179</v>
      </c>
      <c r="I188" s="198">
        <v>4.82</v>
      </c>
      <c r="K188" s="198">
        <v>70340.02</v>
      </c>
    </row>
    <row r="189" spans="3:11" x14ac:dyDescent="0.2">
      <c r="C189" s="201" t="s">
        <v>10178</v>
      </c>
      <c r="D189" s="200">
        <v>44292</v>
      </c>
      <c r="E189" s="199" t="s">
        <v>10177</v>
      </c>
      <c r="I189" s="198">
        <v>3.52</v>
      </c>
      <c r="K189" s="198">
        <v>70343.539999999994</v>
      </c>
    </row>
    <row r="190" spans="3:11" x14ac:dyDescent="0.2">
      <c r="C190" s="201" t="s">
        <v>10176</v>
      </c>
      <c r="D190" s="200">
        <v>44292</v>
      </c>
      <c r="E190" s="199" t="s">
        <v>10175</v>
      </c>
      <c r="I190" s="198">
        <v>7.41</v>
      </c>
      <c r="K190" s="198">
        <v>70350.95</v>
      </c>
    </row>
    <row r="191" spans="3:11" x14ac:dyDescent="0.2">
      <c r="C191" s="201" t="s">
        <v>10174</v>
      </c>
      <c r="D191" s="200">
        <v>44292</v>
      </c>
      <c r="E191" s="199" t="s">
        <v>10173</v>
      </c>
      <c r="I191" s="198">
        <v>4.75</v>
      </c>
      <c r="K191" s="198">
        <v>70355.7</v>
      </c>
    </row>
    <row r="192" spans="3:11" x14ac:dyDescent="0.2">
      <c r="C192" s="201" t="s">
        <v>10172</v>
      </c>
      <c r="D192" s="200">
        <v>44292</v>
      </c>
      <c r="E192" s="199" t="s">
        <v>10171</v>
      </c>
      <c r="I192" s="198">
        <v>10.65</v>
      </c>
      <c r="K192" s="198">
        <v>70366.350000000006</v>
      </c>
    </row>
    <row r="193" spans="3:11" x14ac:dyDescent="0.2">
      <c r="C193" s="201" t="s">
        <v>10170</v>
      </c>
      <c r="D193" s="200">
        <v>44292</v>
      </c>
      <c r="E193" s="199" t="s">
        <v>10169</v>
      </c>
      <c r="I193" s="198">
        <v>4.6399999999999997</v>
      </c>
      <c r="K193" s="198">
        <v>70370.990000000005</v>
      </c>
    </row>
    <row r="194" spans="3:11" x14ac:dyDescent="0.2">
      <c r="C194" s="201" t="s">
        <v>10168</v>
      </c>
      <c r="D194" s="200">
        <v>44292</v>
      </c>
      <c r="E194" s="199" t="s">
        <v>10167</v>
      </c>
      <c r="I194" s="198">
        <v>8.3800000000000008</v>
      </c>
      <c r="K194" s="198">
        <v>70379.37</v>
      </c>
    </row>
    <row r="195" spans="3:11" x14ac:dyDescent="0.2">
      <c r="C195" s="201" t="s">
        <v>10166</v>
      </c>
      <c r="D195" s="200">
        <v>44292</v>
      </c>
      <c r="E195" s="199" t="s">
        <v>10165</v>
      </c>
      <c r="I195" s="198">
        <v>3.15</v>
      </c>
      <c r="K195" s="198">
        <v>70382.52</v>
      </c>
    </row>
    <row r="196" spans="3:11" x14ac:dyDescent="0.2">
      <c r="C196" s="201" t="s">
        <v>10164</v>
      </c>
      <c r="D196" s="200">
        <v>44292</v>
      </c>
      <c r="E196" s="199" t="s">
        <v>10163</v>
      </c>
      <c r="I196" s="198">
        <v>6.97</v>
      </c>
      <c r="K196" s="198">
        <v>70389.490000000005</v>
      </c>
    </row>
    <row r="197" spans="3:11" x14ac:dyDescent="0.2">
      <c r="C197" s="201" t="s">
        <v>10162</v>
      </c>
      <c r="D197" s="200">
        <v>44292</v>
      </c>
      <c r="E197" s="199" t="s">
        <v>10161</v>
      </c>
      <c r="I197" s="198">
        <v>3.18</v>
      </c>
      <c r="K197" s="198">
        <v>70392.67</v>
      </c>
    </row>
    <row r="198" spans="3:11" x14ac:dyDescent="0.2">
      <c r="C198" s="201" t="s">
        <v>10160</v>
      </c>
      <c r="D198" s="200">
        <v>44292</v>
      </c>
      <c r="E198" s="199" t="s">
        <v>10159</v>
      </c>
      <c r="I198" s="198">
        <v>1.93</v>
      </c>
      <c r="K198" s="198">
        <v>70394.600000000006</v>
      </c>
    </row>
    <row r="199" spans="3:11" x14ac:dyDescent="0.2">
      <c r="C199" s="201" t="s">
        <v>10158</v>
      </c>
      <c r="D199" s="200">
        <v>44292</v>
      </c>
      <c r="E199" s="199" t="s">
        <v>10157</v>
      </c>
      <c r="I199" s="198">
        <v>7.41</v>
      </c>
      <c r="K199" s="198">
        <v>70402.009999999995</v>
      </c>
    </row>
    <row r="200" spans="3:11" x14ac:dyDescent="0.2">
      <c r="C200" s="201" t="s">
        <v>10156</v>
      </c>
      <c r="D200" s="200">
        <v>44292</v>
      </c>
      <c r="E200" s="199" t="s">
        <v>10155</v>
      </c>
      <c r="I200" s="198">
        <v>13.57</v>
      </c>
      <c r="K200" s="198">
        <v>70415.58</v>
      </c>
    </row>
    <row r="201" spans="3:11" x14ac:dyDescent="0.2">
      <c r="C201" s="201" t="s">
        <v>10154</v>
      </c>
      <c r="D201" s="200">
        <v>44292</v>
      </c>
      <c r="E201" s="199" t="s">
        <v>10153</v>
      </c>
      <c r="I201" s="198">
        <v>11.4</v>
      </c>
      <c r="K201" s="198">
        <v>70426.98</v>
      </c>
    </row>
    <row r="202" spans="3:11" x14ac:dyDescent="0.2">
      <c r="C202" s="201" t="s">
        <v>10152</v>
      </c>
      <c r="D202" s="200">
        <v>44292</v>
      </c>
      <c r="E202" s="199" t="s">
        <v>10151</v>
      </c>
      <c r="I202" s="198">
        <v>13.41</v>
      </c>
      <c r="K202" s="198">
        <v>70440.39</v>
      </c>
    </row>
    <row r="203" spans="3:11" x14ac:dyDescent="0.2">
      <c r="C203" s="201" t="s">
        <v>10150</v>
      </c>
      <c r="D203" s="200">
        <v>44292</v>
      </c>
      <c r="E203" s="199" t="s">
        <v>10149</v>
      </c>
      <c r="I203" s="198">
        <v>10.31</v>
      </c>
      <c r="K203" s="198">
        <v>70450.7</v>
      </c>
    </row>
    <row r="204" spans="3:11" x14ac:dyDescent="0.2">
      <c r="C204" s="201" t="s">
        <v>10148</v>
      </c>
      <c r="D204" s="200">
        <v>44292</v>
      </c>
      <c r="E204" s="199" t="s">
        <v>10147</v>
      </c>
      <c r="I204" s="198">
        <v>30.6</v>
      </c>
      <c r="K204" s="198">
        <v>70481.3</v>
      </c>
    </row>
    <row r="205" spans="3:11" x14ac:dyDescent="0.2">
      <c r="C205" s="201" t="s">
        <v>10146</v>
      </c>
      <c r="D205" s="200">
        <v>44292</v>
      </c>
      <c r="E205" s="199" t="s">
        <v>10145</v>
      </c>
      <c r="I205" s="198">
        <v>6.94</v>
      </c>
      <c r="K205" s="198">
        <v>70488.240000000005</v>
      </c>
    </row>
    <row r="206" spans="3:11" x14ac:dyDescent="0.2">
      <c r="C206" s="201" t="s">
        <v>10144</v>
      </c>
      <c r="D206" s="200">
        <v>44292</v>
      </c>
      <c r="E206" s="199" t="s">
        <v>10143</v>
      </c>
      <c r="I206" s="198">
        <v>3.64</v>
      </c>
      <c r="K206" s="198">
        <v>70491.88</v>
      </c>
    </row>
    <row r="207" spans="3:11" x14ac:dyDescent="0.2">
      <c r="C207" s="201" t="s">
        <v>10142</v>
      </c>
      <c r="D207" s="200">
        <v>44292</v>
      </c>
      <c r="E207" s="199" t="s">
        <v>10141</v>
      </c>
      <c r="I207" s="198">
        <v>8.91</v>
      </c>
      <c r="K207" s="198">
        <v>70500.789999999994</v>
      </c>
    </row>
    <row r="208" spans="3:11" x14ac:dyDescent="0.2">
      <c r="C208" s="201" t="s">
        <v>10140</v>
      </c>
      <c r="D208" s="200">
        <v>44292</v>
      </c>
      <c r="E208" s="199" t="s">
        <v>10139</v>
      </c>
      <c r="I208" s="198">
        <v>17.010000000000002</v>
      </c>
      <c r="K208" s="198">
        <v>70517.8</v>
      </c>
    </row>
    <row r="209" spans="3:11" x14ac:dyDescent="0.2">
      <c r="C209" s="201" t="s">
        <v>10138</v>
      </c>
      <c r="D209" s="200">
        <v>44292</v>
      </c>
      <c r="E209" s="199" t="s">
        <v>10137</v>
      </c>
      <c r="I209" s="198">
        <v>15.28</v>
      </c>
      <c r="K209" s="198">
        <v>70533.08</v>
      </c>
    </row>
    <row r="210" spans="3:11" x14ac:dyDescent="0.2">
      <c r="C210" s="201" t="s">
        <v>10136</v>
      </c>
      <c r="D210" s="200">
        <v>44292</v>
      </c>
      <c r="E210" s="199" t="s">
        <v>10135</v>
      </c>
      <c r="I210" s="198">
        <v>10</v>
      </c>
      <c r="K210" s="198">
        <v>70543.08</v>
      </c>
    </row>
    <row r="211" spans="3:11" x14ac:dyDescent="0.2">
      <c r="C211" s="201" t="s">
        <v>10134</v>
      </c>
      <c r="D211" s="200">
        <v>44292</v>
      </c>
      <c r="E211" s="199" t="s">
        <v>10133</v>
      </c>
      <c r="I211" s="198">
        <v>3.1</v>
      </c>
      <c r="K211" s="198">
        <v>70546.179999999993</v>
      </c>
    </row>
    <row r="212" spans="3:11" x14ac:dyDescent="0.2">
      <c r="C212" s="201" t="s">
        <v>10132</v>
      </c>
      <c r="D212" s="200">
        <v>44293</v>
      </c>
      <c r="E212" s="199" t="s">
        <v>10131</v>
      </c>
      <c r="I212" s="198">
        <v>30.6</v>
      </c>
      <c r="K212" s="198">
        <v>70576.78</v>
      </c>
    </row>
    <row r="213" spans="3:11" x14ac:dyDescent="0.2">
      <c r="C213" s="201" t="s">
        <v>10130</v>
      </c>
      <c r="D213" s="200">
        <v>44293</v>
      </c>
      <c r="E213" s="199" t="s">
        <v>10129</v>
      </c>
      <c r="I213" s="198">
        <v>2.59</v>
      </c>
      <c r="K213" s="198">
        <v>70579.37</v>
      </c>
    </row>
    <row r="214" spans="3:11" x14ac:dyDescent="0.2">
      <c r="C214" s="201" t="s">
        <v>10128</v>
      </c>
      <c r="D214" s="200">
        <v>44293</v>
      </c>
      <c r="E214" s="199" t="s">
        <v>10127</v>
      </c>
      <c r="I214" s="198">
        <v>3.91</v>
      </c>
      <c r="K214" s="198">
        <v>70583.28</v>
      </c>
    </row>
    <row r="215" spans="3:11" x14ac:dyDescent="0.2">
      <c r="C215" s="201" t="s">
        <v>10126</v>
      </c>
      <c r="D215" s="200">
        <v>44293</v>
      </c>
      <c r="E215" s="199" t="s">
        <v>10125</v>
      </c>
      <c r="I215" s="198">
        <v>8.5</v>
      </c>
      <c r="K215" s="198">
        <v>70591.78</v>
      </c>
    </row>
    <row r="216" spans="3:11" x14ac:dyDescent="0.2">
      <c r="C216" s="201" t="s">
        <v>10124</v>
      </c>
      <c r="D216" s="200">
        <v>44293</v>
      </c>
      <c r="E216" s="199" t="s">
        <v>10123</v>
      </c>
      <c r="I216" s="198">
        <v>6.01</v>
      </c>
      <c r="K216" s="198">
        <v>70597.789999999994</v>
      </c>
    </row>
    <row r="217" spans="3:11" x14ac:dyDescent="0.2">
      <c r="C217" s="201" t="s">
        <v>10122</v>
      </c>
      <c r="D217" s="200">
        <v>44293</v>
      </c>
      <c r="E217" s="199" t="s">
        <v>10121</v>
      </c>
      <c r="I217" s="198">
        <v>7.54</v>
      </c>
      <c r="K217" s="198">
        <v>70605.33</v>
      </c>
    </row>
    <row r="218" spans="3:11" x14ac:dyDescent="0.2">
      <c r="C218" s="201" t="s">
        <v>10120</v>
      </c>
      <c r="D218" s="200">
        <v>44293</v>
      </c>
      <c r="E218" s="199" t="s">
        <v>10119</v>
      </c>
      <c r="I218" s="198">
        <v>3.36</v>
      </c>
      <c r="K218" s="198">
        <v>70608.69</v>
      </c>
    </row>
    <row r="219" spans="3:11" x14ac:dyDescent="0.2">
      <c r="C219" s="201" t="s">
        <v>10118</v>
      </c>
      <c r="D219" s="200">
        <v>44293</v>
      </c>
      <c r="E219" s="199" t="s">
        <v>10117</v>
      </c>
      <c r="I219" s="198">
        <v>3.76</v>
      </c>
      <c r="K219" s="198">
        <v>70612.45</v>
      </c>
    </row>
    <row r="220" spans="3:11" x14ac:dyDescent="0.2">
      <c r="C220" s="201" t="s">
        <v>10116</v>
      </c>
      <c r="D220" s="200">
        <v>44293</v>
      </c>
      <c r="E220" s="199" t="s">
        <v>10115</v>
      </c>
      <c r="I220" s="198">
        <v>16.38</v>
      </c>
      <c r="K220" s="198">
        <v>70628.83</v>
      </c>
    </row>
    <row r="221" spans="3:11" x14ac:dyDescent="0.2">
      <c r="C221" s="201" t="s">
        <v>10114</v>
      </c>
      <c r="D221" s="200">
        <v>44293</v>
      </c>
      <c r="E221" s="199" t="s">
        <v>10113</v>
      </c>
      <c r="I221" s="198">
        <v>15.3</v>
      </c>
      <c r="K221" s="198">
        <v>70644.13</v>
      </c>
    </row>
    <row r="222" spans="3:11" x14ac:dyDescent="0.2">
      <c r="C222" s="201" t="s">
        <v>10112</v>
      </c>
      <c r="D222" s="200">
        <v>44293</v>
      </c>
      <c r="E222" s="199" t="s">
        <v>10111</v>
      </c>
      <c r="I222" s="198">
        <v>6.67</v>
      </c>
      <c r="K222" s="198">
        <v>70650.8</v>
      </c>
    </row>
    <row r="223" spans="3:11" x14ac:dyDescent="0.2">
      <c r="C223" s="201" t="s">
        <v>10110</v>
      </c>
      <c r="D223" s="200">
        <v>44293</v>
      </c>
      <c r="E223" s="199" t="s">
        <v>10109</v>
      </c>
      <c r="I223" s="198">
        <v>5.92</v>
      </c>
      <c r="K223" s="198">
        <v>70656.72</v>
      </c>
    </row>
    <row r="224" spans="3:11" x14ac:dyDescent="0.2">
      <c r="C224" s="201" t="s">
        <v>10108</v>
      </c>
      <c r="D224" s="200">
        <v>44293</v>
      </c>
      <c r="E224" s="199" t="s">
        <v>10107</v>
      </c>
      <c r="I224" s="198">
        <v>5.28</v>
      </c>
      <c r="K224" s="198">
        <v>70662</v>
      </c>
    </row>
    <row r="225" spans="3:11" x14ac:dyDescent="0.2">
      <c r="C225" s="201" t="s">
        <v>10106</v>
      </c>
      <c r="D225" s="200">
        <v>44293</v>
      </c>
      <c r="E225" s="199" t="s">
        <v>10105</v>
      </c>
      <c r="I225" s="198">
        <v>2.9</v>
      </c>
      <c r="K225" s="198">
        <v>70664.899999999994</v>
      </c>
    </row>
    <row r="226" spans="3:11" x14ac:dyDescent="0.2">
      <c r="C226" s="201" t="s">
        <v>10104</v>
      </c>
      <c r="D226" s="200">
        <v>44293</v>
      </c>
      <c r="E226" s="199" t="s">
        <v>10103</v>
      </c>
      <c r="I226" s="198">
        <v>11.23</v>
      </c>
      <c r="K226" s="198">
        <v>70676.13</v>
      </c>
    </row>
    <row r="227" spans="3:11" x14ac:dyDescent="0.2">
      <c r="C227" s="201" t="s">
        <v>10102</v>
      </c>
      <c r="D227" s="200">
        <v>44293</v>
      </c>
      <c r="E227" s="199" t="s">
        <v>10101</v>
      </c>
      <c r="I227" s="198">
        <v>11.5</v>
      </c>
      <c r="K227" s="198">
        <v>70687.63</v>
      </c>
    </row>
    <row r="228" spans="3:11" x14ac:dyDescent="0.2">
      <c r="C228" s="201" t="s">
        <v>10100</v>
      </c>
      <c r="D228" s="200">
        <v>44293</v>
      </c>
      <c r="E228" s="199" t="s">
        <v>10099</v>
      </c>
      <c r="I228" s="198">
        <v>0.88</v>
      </c>
      <c r="K228" s="198">
        <v>70688.509999999995</v>
      </c>
    </row>
    <row r="229" spans="3:11" x14ac:dyDescent="0.2">
      <c r="C229" s="201" t="s">
        <v>10098</v>
      </c>
      <c r="D229" s="200">
        <v>44293</v>
      </c>
      <c r="E229" s="199" t="s">
        <v>10097</v>
      </c>
      <c r="I229" s="198">
        <v>4.1900000000000004</v>
      </c>
      <c r="K229" s="198">
        <v>70692.7</v>
      </c>
    </row>
    <row r="230" spans="3:11" x14ac:dyDescent="0.2">
      <c r="C230" s="201" t="s">
        <v>10096</v>
      </c>
      <c r="D230" s="200">
        <v>44293</v>
      </c>
      <c r="E230" s="199" t="s">
        <v>10095</v>
      </c>
      <c r="I230" s="198">
        <v>3.36</v>
      </c>
      <c r="K230" s="198">
        <v>70696.06</v>
      </c>
    </row>
    <row r="231" spans="3:11" x14ac:dyDescent="0.2">
      <c r="C231" s="201" t="s">
        <v>10094</v>
      </c>
      <c r="D231" s="200">
        <v>44293</v>
      </c>
      <c r="E231" s="199" t="s">
        <v>10093</v>
      </c>
      <c r="I231" s="198">
        <v>3.26</v>
      </c>
      <c r="K231" s="198">
        <v>70699.320000000007</v>
      </c>
    </row>
    <row r="232" spans="3:11" x14ac:dyDescent="0.2">
      <c r="C232" s="201" t="s">
        <v>10092</v>
      </c>
      <c r="D232" s="200">
        <v>44293</v>
      </c>
      <c r="E232" s="199" t="s">
        <v>10091</v>
      </c>
      <c r="I232" s="198">
        <v>1.8</v>
      </c>
      <c r="K232" s="198">
        <v>70701.119999999995</v>
      </c>
    </row>
    <row r="233" spans="3:11" x14ac:dyDescent="0.2">
      <c r="C233" s="201" t="s">
        <v>10090</v>
      </c>
      <c r="D233" s="200">
        <v>44293</v>
      </c>
      <c r="E233" s="199" t="s">
        <v>10089</v>
      </c>
      <c r="I233" s="198">
        <v>3.36</v>
      </c>
      <c r="K233" s="198">
        <v>70704.479999999996</v>
      </c>
    </row>
    <row r="234" spans="3:11" x14ac:dyDescent="0.2">
      <c r="C234" s="201" t="s">
        <v>10088</v>
      </c>
      <c r="D234" s="200">
        <v>44293</v>
      </c>
      <c r="E234" s="199" t="s">
        <v>10087</v>
      </c>
      <c r="I234" s="198">
        <v>3.36</v>
      </c>
      <c r="K234" s="198">
        <v>70707.839999999997</v>
      </c>
    </row>
    <row r="235" spans="3:11" x14ac:dyDescent="0.2">
      <c r="C235" s="201" t="s">
        <v>10086</v>
      </c>
      <c r="D235" s="200">
        <v>44293</v>
      </c>
      <c r="E235" s="199" t="s">
        <v>10085</v>
      </c>
      <c r="I235" s="198">
        <v>8.51</v>
      </c>
      <c r="K235" s="198">
        <v>70716.350000000006</v>
      </c>
    </row>
    <row r="236" spans="3:11" x14ac:dyDescent="0.2">
      <c r="C236" s="201" t="s">
        <v>10084</v>
      </c>
      <c r="D236" s="200">
        <v>44293</v>
      </c>
      <c r="E236" s="199" t="s">
        <v>10083</v>
      </c>
      <c r="I236" s="198">
        <v>2.2000000000000002</v>
      </c>
      <c r="K236" s="198">
        <v>70718.55</v>
      </c>
    </row>
    <row r="237" spans="3:11" x14ac:dyDescent="0.2">
      <c r="C237" s="201" t="s">
        <v>10082</v>
      </c>
      <c r="D237" s="200">
        <v>44293</v>
      </c>
      <c r="E237" s="199" t="s">
        <v>10081</v>
      </c>
      <c r="I237" s="198">
        <v>6.43</v>
      </c>
      <c r="K237" s="198">
        <v>70724.98</v>
      </c>
    </row>
    <row r="238" spans="3:11" x14ac:dyDescent="0.2">
      <c r="C238" s="201" t="s">
        <v>10080</v>
      </c>
      <c r="D238" s="200">
        <v>44293</v>
      </c>
      <c r="E238" s="199" t="s">
        <v>10079</v>
      </c>
      <c r="I238" s="198">
        <v>30.24</v>
      </c>
      <c r="K238" s="198">
        <v>70755.22</v>
      </c>
    </row>
    <row r="239" spans="3:11" x14ac:dyDescent="0.2">
      <c r="C239" s="201" t="s">
        <v>10078</v>
      </c>
      <c r="D239" s="200">
        <v>44293</v>
      </c>
      <c r="E239" s="199" t="s">
        <v>10077</v>
      </c>
      <c r="I239" s="198">
        <v>0.77</v>
      </c>
      <c r="K239" s="198">
        <v>70755.990000000005</v>
      </c>
    </row>
    <row r="240" spans="3:11" x14ac:dyDescent="0.2">
      <c r="C240" s="201" t="s">
        <v>10076</v>
      </c>
      <c r="D240" s="200">
        <v>44293</v>
      </c>
      <c r="E240" s="199" t="s">
        <v>10075</v>
      </c>
      <c r="I240" s="198">
        <v>2.16</v>
      </c>
      <c r="K240" s="198">
        <v>70758.149999999994</v>
      </c>
    </row>
    <row r="241" spans="3:11" x14ac:dyDescent="0.2">
      <c r="C241" s="201" t="s">
        <v>10074</v>
      </c>
      <c r="D241" s="200">
        <v>44293</v>
      </c>
      <c r="E241" s="199" t="s">
        <v>10073</v>
      </c>
      <c r="I241" s="198">
        <v>2.9</v>
      </c>
      <c r="K241" s="198">
        <v>70761.05</v>
      </c>
    </row>
    <row r="242" spans="3:11" x14ac:dyDescent="0.2">
      <c r="C242" s="201" t="s">
        <v>10072</v>
      </c>
      <c r="D242" s="200">
        <v>44293</v>
      </c>
      <c r="E242" s="199" t="s">
        <v>10071</v>
      </c>
      <c r="I242" s="198">
        <v>10.91</v>
      </c>
      <c r="K242" s="198">
        <v>70771.960000000006</v>
      </c>
    </row>
    <row r="243" spans="3:11" x14ac:dyDescent="0.2">
      <c r="C243" s="201" t="s">
        <v>10070</v>
      </c>
      <c r="D243" s="200">
        <v>44293</v>
      </c>
      <c r="E243" s="199" t="s">
        <v>10069</v>
      </c>
      <c r="I243" s="198">
        <v>8.3800000000000008</v>
      </c>
      <c r="K243" s="198">
        <v>70780.34</v>
      </c>
    </row>
    <row r="244" spans="3:11" x14ac:dyDescent="0.2">
      <c r="C244" s="201" t="s">
        <v>10068</v>
      </c>
      <c r="D244" s="200">
        <v>44293</v>
      </c>
      <c r="E244" s="199" t="s">
        <v>10067</v>
      </c>
      <c r="I244" s="198">
        <v>1.68</v>
      </c>
      <c r="K244" s="198">
        <v>70782.02</v>
      </c>
    </row>
    <row r="245" spans="3:11" x14ac:dyDescent="0.2">
      <c r="C245" s="201" t="s">
        <v>10066</v>
      </c>
      <c r="D245" s="200">
        <v>44293</v>
      </c>
      <c r="E245" s="199" t="s">
        <v>10065</v>
      </c>
      <c r="I245" s="198">
        <v>15.44</v>
      </c>
      <c r="K245" s="198">
        <v>70797.460000000006</v>
      </c>
    </row>
    <row r="246" spans="3:11" x14ac:dyDescent="0.2">
      <c r="C246" s="201" t="s">
        <v>10064</v>
      </c>
      <c r="D246" s="200">
        <v>44293</v>
      </c>
      <c r="E246" s="199" t="s">
        <v>10063</v>
      </c>
      <c r="I246" s="198">
        <v>4.1900000000000004</v>
      </c>
      <c r="K246" s="198">
        <v>70801.649999999994</v>
      </c>
    </row>
    <row r="247" spans="3:11" x14ac:dyDescent="0.2">
      <c r="C247" s="201" t="s">
        <v>10062</v>
      </c>
      <c r="D247" s="200">
        <v>44293</v>
      </c>
      <c r="E247" s="199" t="s">
        <v>10061</v>
      </c>
      <c r="I247" s="198">
        <v>5.04</v>
      </c>
      <c r="K247" s="198">
        <v>70806.69</v>
      </c>
    </row>
    <row r="248" spans="3:11" x14ac:dyDescent="0.2">
      <c r="C248" s="201" t="s">
        <v>10060</v>
      </c>
      <c r="D248" s="200">
        <v>44293</v>
      </c>
      <c r="E248" s="199" t="s">
        <v>10059</v>
      </c>
      <c r="I248" s="198">
        <v>5.08</v>
      </c>
      <c r="K248" s="198">
        <v>70811.77</v>
      </c>
    </row>
    <row r="249" spans="3:11" x14ac:dyDescent="0.2">
      <c r="C249" s="201" t="s">
        <v>10058</v>
      </c>
      <c r="D249" s="200">
        <v>44293</v>
      </c>
      <c r="E249" s="199" t="s">
        <v>10057</v>
      </c>
      <c r="I249" s="198">
        <v>172.48</v>
      </c>
      <c r="K249" s="198">
        <v>70984.25</v>
      </c>
    </row>
    <row r="250" spans="3:11" x14ac:dyDescent="0.2">
      <c r="C250" s="201" t="s">
        <v>10056</v>
      </c>
      <c r="D250" s="200">
        <v>44293</v>
      </c>
      <c r="E250" s="199" t="s">
        <v>10055</v>
      </c>
      <c r="I250" s="198">
        <v>5.05</v>
      </c>
      <c r="K250" s="198">
        <v>70989.3</v>
      </c>
    </row>
    <row r="251" spans="3:11" x14ac:dyDescent="0.2">
      <c r="C251" s="201" t="s">
        <v>10054</v>
      </c>
      <c r="D251" s="200">
        <v>44293</v>
      </c>
      <c r="E251" s="199" t="s">
        <v>10053</v>
      </c>
      <c r="I251" s="198">
        <v>8.33</v>
      </c>
      <c r="K251" s="198">
        <v>70997.63</v>
      </c>
    </row>
    <row r="252" spans="3:11" x14ac:dyDescent="0.2">
      <c r="C252" s="201" t="s">
        <v>10052</v>
      </c>
      <c r="D252" s="200">
        <v>44293</v>
      </c>
      <c r="E252" s="199" t="s">
        <v>10051</v>
      </c>
      <c r="I252" s="198">
        <v>2</v>
      </c>
      <c r="K252" s="198">
        <v>70999.63</v>
      </c>
    </row>
    <row r="253" spans="3:11" x14ac:dyDescent="0.2">
      <c r="C253" s="201" t="s">
        <v>10050</v>
      </c>
      <c r="D253" s="200">
        <v>44293</v>
      </c>
      <c r="E253" s="199" t="s">
        <v>10049</v>
      </c>
      <c r="I253" s="198">
        <v>2.64</v>
      </c>
      <c r="K253" s="198">
        <v>71002.27</v>
      </c>
    </row>
    <row r="254" spans="3:11" x14ac:dyDescent="0.2">
      <c r="C254" s="201" t="s">
        <v>10048</v>
      </c>
      <c r="D254" s="200">
        <v>44293</v>
      </c>
      <c r="E254" s="199" t="s">
        <v>10047</v>
      </c>
      <c r="I254" s="198">
        <v>2.64</v>
      </c>
      <c r="K254" s="198">
        <v>71004.91</v>
      </c>
    </row>
    <row r="255" spans="3:11" x14ac:dyDescent="0.2">
      <c r="C255" s="201" t="s">
        <v>10046</v>
      </c>
      <c r="D255" s="200">
        <v>44293</v>
      </c>
      <c r="E255" s="199" t="s">
        <v>10045</v>
      </c>
      <c r="I255" s="198">
        <v>289.95</v>
      </c>
      <c r="K255" s="198">
        <v>71294.86</v>
      </c>
    </row>
    <row r="256" spans="3:11" x14ac:dyDescent="0.2">
      <c r="C256" s="201" t="s">
        <v>1532</v>
      </c>
      <c r="D256" s="200">
        <v>44293</v>
      </c>
      <c r="E256" s="199" t="s">
        <v>10044</v>
      </c>
      <c r="I256" s="198">
        <v>95.36</v>
      </c>
      <c r="K256" s="198">
        <v>71390.22</v>
      </c>
    </row>
    <row r="257" spans="3:11" x14ac:dyDescent="0.2">
      <c r="C257" s="201" t="s">
        <v>7217</v>
      </c>
      <c r="D257" s="200">
        <v>44293</v>
      </c>
      <c r="E257" s="199" t="s">
        <v>10043</v>
      </c>
      <c r="I257" s="198">
        <v>3.54</v>
      </c>
      <c r="K257" s="198">
        <v>71393.759999999995</v>
      </c>
    </row>
    <row r="258" spans="3:11" x14ac:dyDescent="0.2">
      <c r="C258" s="201" t="s">
        <v>10042</v>
      </c>
      <c r="D258" s="200">
        <v>44293</v>
      </c>
      <c r="E258" s="199" t="s">
        <v>10041</v>
      </c>
      <c r="I258" s="198">
        <v>456.92</v>
      </c>
      <c r="K258" s="198">
        <v>71850.679999999993</v>
      </c>
    </row>
    <row r="259" spans="3:11" x14ac:dyDescent="0.2">
      <c r="C259" s="201" t="s">
        <v>7479</v>
      </c>
      <c r="D259" s="200">
        <v>44293</v>
      </c>
      <c r="E259" s="199" t="s">
        <v>10040</v>
      </c>
      <c r="J259" s="222">
        <v>4047.74</v>
      </c>
      <c r="K259" s="198">
        <v>67802.94</v>
      </c>
    </row>
    <row r="260" spans="3:11" x14ac:dyDescent="0.2">
      <c r="C260" s="201" t="s">
        <v>10039</v>
      </c>
      <c r="D260" s="200">
        <v>44294</v>
      </c>
      <c r="E260" s="199" t="s">
        <v>10038</v>
      </c>
      <c r="I260" s="198">
        <v>5.47</v>
      </c>
      <c r="K260" s="198">
        <v>67808.41</v>
      </c>
    </row>
    <row r="261" spans="3:11" x14ac:dyDescent="0.2">
      <c r="C261" s="201" t="s">
        <v>10037</v>
      </c>
      <c r="D261" s="200">
        <v>44294</v>
      </c>
      <c r="E261" s="199" t="s">
        <v>10036</v>
      </c>
      <c r="I261" s="198">
        <v>5.61</v>
      </c>
      <c r="K261" s="198">
        <v>67814.02</v>
      </c>
    </row>
    <row r="262" spans="3:11" x14ac:dyDescent="0.2">
      <c r="C262" s="201" t="s">
        <v>10035</v>
      </c>
      <c r="D262" s="200">
        <v>44294</v>
      </c>
      <c r="E262" s="199" t="s">
        <v>10034</v>
      </c>
      <c r="I262" s="198">
        <v>43</v>
      </c>
      <c r="K262" s="198">
        <v>67857.02</v>
      </c>
    </row>
    <row r="263" spans="3:11" x14ac:dyDescent="0.2">
      <c r="C263" s="201" t="s">
        <v>10033</v>
      </c>
      <c r="D263" s="200">
        <v>44294</v>
      </c>
      <c r="E263" s="199" t="s">
        <v>10032</v>
      </c>
      <c r="I263" s="198">
        <v>3.36</v>
      </c>
      <c r="K263" s="198">
        <v>67860.38</v>
      </c>
    </row>
    <row r="264" spans="3:11" x14ac:dyDescent="0.2">
      <c r="C264" s="201" t="s">
        <v>10031</v>
      </c>
      <c r="D264" s="200">
        <v>44294</v>
      </c>
      <c r="E264" s="199" t="s">
        <v>10030</v>
      </c>
      <c r="I264" s="198">
        <v>5.23</v>
      </c>
      <c r="K264" s="198">
        <v>67865.61</v>
      </c>
    </row>
    <row r="265" spans="3:11" x14ac:dyDescent="0.2">
      <c r="C265" s="201" t="s">
        <v>10029</v>
      </c>
      <c r="D265" s="200">
        <v>44294</v>
      </c>
      <c r="E265" s="199" t="s">
        <v>10028</v>
      </c>
      <c r="I265" s="198">
        <v>93.27</v>
      </c>
      <c r="K265" s="198">
        <v>67958.880000000005</v>
      </c>
    </row>
    <row r="266" spans="3:11" x14ac:dyDescent="0.2">
      <c r="C266" s="201" t="s">
        <v>10027</v>
      </c>
      <c r="D266" s="200">
        <v>44294</v>
      </c>
      <c r="E266" s="199" t="s">
        <v>10026</v>
      </c>
      <c r="I266" s="198">
        <v>5.54</v>
      </c>
      <c r="K266" s="198">
        <v>67964.42</v>
      </c>
    </row>
    <row r="267" spans="3:11" x14ac:dyDescent="0.2">
      <c r="C267" s="201" t="s">
        <v>10025</v>
      </c>
      <c r="D267" s="200">
        <v>44294</v>
      </c>
      <c r="E267" s="199" t="s">
        <v>10024</v>
      </c>
      <c r="I267" s="198">
        <v>5.0199999999999996</v>
      </c>
      <c r="K267" s="198">
        <v>67969.440000000002</v>
      </c>
    </row>
    <row r="268" spans="3:11" x14ac:dyDescent="0.2">
      <c r="C268" s="201" t="s">
        <v>10023</v>
      </c>
      <c r="D268" s="200">
        <v>44294</v>
      </c>
      <c r="E268" s="199" t="s">
        <v>10022</v>
      </c>
      <c r="I268" s="198">
        <v>5.2</v>
      </c>
      <c r="K268" s="198">
        <v>67974.64</v>
      </c>
    </row>
    <row r="269" spans="3:11" x14ac:dyDescent="0.2">
      <c r="C269" s="201" t="s">
        <v>10021</v>
      </c>
      <c r="D269" s="200">
        <v>44294</v>
      </c>
      <c r="E269" s="199" t="s">
        <v>10020</v>
      </c>
      <c r="I269" s="198">
        <v>3.08</v>
      </c>
      <c r="K269" s="198">
        <v>67977.72</v>
      </c>
    </row>
    <row r="270" spans="3:11" x14ac:dyDescent="0.2">
      <c r="C270" s="201" t="s">
        <v>10019</v>
      </c>
      <c r="D270" s="200">
        <v>44294</v>
      </c>
      <c r="E270" s="199" t="s">
        <v>10018</v>
      </c>
      <c r="I270" s="198">
        <v>3.36</v>
      </c>
      <c r="K270" s="198">
        <v>67981.08</v>
      </c>
    </row>
    <row r="271" spans="3:11" x14ac:dyDescent="0.2">
      <c r="C271" s="201" t="s">
        <v>10017</v>
      </c>
      <c r="D271" s="200">
        <v>44294</v>
      </c>
      <c r="E271" s="199" t="s">
        <v>10016</v>
      </c>
      <c r="I271" s="198">
        <v>1.32</v>
      </c>
      <c r="K271" s="198">
        <v>67982.399999999994</v>
      </c>
    </row>
    <row r="272" spans="3:11" x14ac:dyDescent="0.2">
      <c r="C272" s="201" t="s">
        <v>10015</v>
      </c>
      <c r="D272" s="200">
        <v>44294</v>
      </c>
      <c r="E272" s="199" t="s">
        <v>10014</v>
      </c>
      <c r="I272" s="198">
        <v>4.67</v>
      </c>
      <c r="K272" s="198">
        <v>67987.070000000007</v>
      </c>
    </row>
    <row r="273" spans="3:11" x14ac:dyDescent="0.2">
      <c r="C273" s="201" t="s">
        <v>10013</v>
      </c>
      <c r="D273" s="200">
        <v>44294</v>
      </c>
      <c r="E273" s="199" t="s">
        <v>10012</v>
      </c>
      <c r="I273" s="198">
        <v>71.36</v>
      </c>
      <c r="K273" s="198">
        <v>68058.429999999993</v>
      </c>
    </row>
    <row r="274" spans="3:11" x14ac:dyDescent="0.2">
      <c r="C274" s="201" t="s">
        <v>10011</v>
      </c>
      <c r="D274" s="200">
        <v>44294</v>
      </c>
      <c r="E274" s="199" t="s">
        <v>10010</v>
      </c>
      <c r="I274" s="198">
        <v>3.14</v>
      </c>
      <c r="K274" s="198">
        <v>68061.570000000007</v>
      </c>
    </row>
    <row r="275" spans="3:11" x14ac:dyDescent="0.2">
      <c r="C275" s="201" t="s">
        <v>10009</v>
      </c>
      <c r="D275" s="200">
        <v>44294</v>
      </c>
      <c r="E275" s="199" t="s">
        <v>10008</v>
      </c>
      <c r="I275" s="198">
        <v>0.73</v>
      </c>
      <c r="K275" s="198">
        <v>68062.3</v>
      </c>
    </row>
    <row r="276" spans="3:11" x14ac:dyDescent="0.2">
      <c r="C276" s="201" t="s">
        <v>10007</v>
      </c>
      <c r="D276" s="200">
        <v>44294</v>
      </c>
      <c r="E276" s="199" t="s">
        <v>10006</v>
      </c>
      <c r="I276" s="198">
        <v>1</v>
      </c>
      <c r="K276" s="198">
        <v>68063.3</v>
      </c>
    </row>
    <row r="277" spans="3:11" x14ac:dyDescent="0.2">
      <c r="C277" s="201" t="s">
        <v>10005</v>
      </c>
      <c r="D277" s="200">
        <v>44294</v>
      </c>
      <c r="E277" s="199" t="s">
        <v>10004</v>
      </c>
      <c r="I277" s="198">
        <v>23.66</v>
      </c>
      <c r="K277" s="198">
        <v>68086.960000000006</v>
      </c>
    </row>
    <row r="278" spans="3:11" x14ac:dyDescent="0.2">
      <c r="C278" s="201" t="s">
        <v>10003</v>
      </c>
      <c r="D278" s="200">
        <v>44294</v>
      </c>
      <c r="E278" s="199" t="s">
        <v>10002</v>
      </c>
      <c r="I278" s="198">
        <v>10.3</v>
      </c>
      <c r="K278" s="198">
        <v>68097.259999999995</v>
      </c>
    </row>
    <row r="279" spans="3:11" x14ac:dyDescent="0.2">
      <c r="C279" s="201" t="s">
        <v>10001</v>
      </c>
      <c r="D279" s="200">
        <v>44294</v>
      </c>
      <c r="E279" s="199" t="s">
        <v>10000</v>
      </c>
      <c r="I279" s="198">
        <v>7.0000000000000007E-2</v>
      </c>
      <c r="K279" s="198">
        <v>68097.33</v>
      </c>
    </row>
    <row r="280" spans="3:11" x14ac:dyDescent="0.2">
      <c r="C280" s="201" t="s">
        <v>9999</v>
      </c>
      <c r="D280" s="200">
        <v>44294</v>
      </c>
      <c r="E280" s="199" t="s">
        <v>9998</v>
      </c>
      <c r="I280" s="198">
        <v>9.93</v>
      </c>
      <c r="K280" s="198">
        <v>68107.259999999995</v>
      </c>
    </row>
    <row r="281" spans="3:11" x14ac:dyDescent="0.2">
      <c r="C281" s="201" t="s">
        <v>9997</v>
      </c>
      <c r="D281" s="200">
        <v>44294</v>
      </c>
      <c r="E281" s="199" t="s">
        <v>9996</v>
      </c>
      <c r="I281" s="198">
        <v>5.56</v>
      </c>
      <c r="K281" s="198">
        <v>68112.820000000007</v>
      </c>
    </row>
    <row r="282" spans="3:11" x14ac:dyDescent="0.2">
      <c r="C282" s="201" t="s">
        <v>9995</v>
      </c>
      <c r="D282" s="200">
        <v>44294</v>
      </c>
      <c r="E282" s="199" t="s">
        <v>9994</v>
      </c>
      <c r="I282" s="198">
        <v>33.090000000000003</v>
      </c>
      <c r="K282" s="198">
        <v>68145.91</v>
      </c>
    </row>
    <row r="283" spans="3:11" x14ac:dyDescent="0.2">
      <c r="C283" s="201" t="s">
        <v>9993</v>
      </c>
      <c r="D283" s="200">
        <v>44294</v>
      </c>
      <c r="E283" s="199" t="s">
        <v>9992</v>
      </c>
      <c r="I283" s="198">
        <v>16.760000000000002</v>
      </c>
      <c r="K283" s="198">
        <v>68162.67</v>
      </c>
    </row>
    <row r="284" spans="3:11" x14ac:dyDescent="0.2">
      <c r="C284" s="201" t="s">
        <v>9991</v>
      </c>
      <c r="D284" s="200">
        <v>44294</v>
      </c>
      <c r="E284" s="199" t="s">
        <v>9990</v>
      </c>
      <c r="I284" s="198">
        <v>14.15</v>
      </c>
      <c r="K284" s="198">
        <v>68176.820000000007</v>
      </c>
    </row>
    <row r="285" spans="3:11" x14ac:dyDescent="0.2">
      <c r="C285" s="201" t="s">
        <v>9989</v>
      </c>
      <c r="D285" s="200">
        <v>44294</v>
      </c>
      <c r="E285" s="199" t="s">
        <v>9988</v>
      </c>
      <c r="I285" s="198">
        <v>10.38</v>
      </c>
      <c r="K285" s="198">
        <v>68187.199999999997</v>
      </c>
    </row>
    <row r="286" spans="3:11" x14ac:dyDescent="0.2">
      <c r="C286" s="201" t="s">
        <v>9987</v>
      </c>
      <c r="D286" s="200">
        <v>44295</v>
      </c>
      <c r="E286" s="199" t="s">
        <v>9986</v>
      </c>
      <c r="I286" s="198">
        <v>2</v>
      </c>
      <c r="K286" s="198">
        <v>68189.2</v>
      </c>
    </row>
    <row r="287" spans="3:11" x14ac:dyDescent="0.2">
      <c r="C287" s="201" t="s">
        <v>9985</v>
      </c>
      <c r="D287" s="200">
        <v>44295</v>
      </c>
      <c r="E287" s="199" t="s">
        <v>9984</v>
      </c>
      <c r="I287" s="198">
        <v>33.840000000000003</v>
      </c>
      <c r="K287" s="198">
        <v>68223.039999999994</v>
      </c>
    </row>
    <row r="288" spans="3:11" x14ac:dyDescent="0.2">
      <c r="C288" s="201" t="s">
        <v>9983</v>
      </c>
      <c r="D288" s="200">
        <v>44295</v>
      </c>
      <c r="E288" s="199" t="s">
        <v>9982</v>
      </c>
      <c r="I288" s="198">
        <v>21.67</v>
      </c>
      <c r="K288" s="198">
        <v>68244.710000000006</v>
      </c>
    </row>
    <row r="289" spans="3:11" x14ac:dyDescent="0.2">
      <c r="C289" s="201" t="s">
        <v>9981</v>
      </c>
      <c r="D289" s="200">
        <v>44295</v>
      </c>
      <c r="E289" s="199" t="s">
        <v>9980</v>
      </c>
      <c r="I289" s="198">
        <v>2</v>
      </c>
      <c r="K289" s="198">
        <v>68246.710000000006</v>
      </c>
    </row>
    <row r="290" spans="3:11" x14ac:dyDescent="0.2">
      <c r="C290" s="201" t="s">
        <v>9979</v>
      </c>
      <c r="D290" s="200">
        <v>44295</v>
      </c>
      <c r="E290" s="199" t="s">
        <v>9978</v>
      </c>
      <c r="I290" s="198">
        <v>3.88</v>
      </c>
      <c r="K290" s="198">
        <v>68250.59</v>
      </c>
    </row>
    <row r="291" spans="3:11" x14ac:dyDescent="0.2">
      <c r="C291" s="201" t="s">
        <v>9977</v>
      </c>
      <c r="D291" s="200">
        <v>44295</v>
      </c>
      <c r="E291" s="199" t="s">
        <v>9976</v>
      </c>
      <c r="I291" s="198">
        <v>37.47</v>
      </c>
      <c r="K291" s="198">
        <v>68288.06</v>
      </c>
    </row>
    <row r="292" spans="3:11" x14ac:dyDescent="0.2">
      <c r="C292" s="201" t="s">
        <v>9975</v>
      </c>
      <c r="D292" s="200">
        <v>44295</v>
      </c>
      <c r="E292" s="199" t="s">
        <v>9974</v>
      </c>
      <c r="I292" s="198">
        <v>5.1100000000000003</v>
      </c>
      <c r="K292" s="198">
        <v>68293.17</v>
      </c>
    </row>
    <row r="293" spans="3:11" x14ac:dyDescent="0.2">
      <c r="C293" s="201" t="s">
        <v>9973</v>
      </c>
      <c r="D293" s="200">
        <v>44295</v>
      </c>
      <c r="E293" s="199" t="s">
        <v>9972</v>
      </c>
      <c r="I293" s="198">
        <v>9.07</v>
      </c>
      <c r="K293" s="198">
        <v>68302.240000000005</v>
      </c>
    </row>
    <row r="294" spans="3:11" x14ac:dyDescent="0.2">
      <c r="C294" s="201" t="s">
        <v>9971</v>
      </c>
      <c r="D294" s="200">
        <v>44295</v>
      </c>
      <c r="E294" s="199" t="s">
        <v>9970</v>
      </c>
      <c r="I294" s="198">
        <v>3.4</v>
      </c>
      <c r="K294" s="198">
        <v>68305.64</v>
      </c>
    </row>
    <row r="295" spans="3:11" x14ac:dyDescent="0.2">
      <c r="C295" s="201" t="s">
        <v>9969</v>
      </c>
      <c r="D295" s="200">
        <v>44295</v>
      </c>
      <c r="E295" s="199" t="s">
        <v>9968</v>
      </c>
      <c r="I295" s="198">
        <v>5.25</v>
      </c>
      <c r="K295" s="198">
        <v>68310.89</v>
      </c>
    </row>
    <row r="296" spans="3:11" x14ac:dyDescent="0.2">
      <c r="C296" s="201" t="s">
        <v>9967</v>
      </c>
      <c r="D296" s="200">
        <v>44295</v>
      </c>
      <c r="E296" s="199" t="s">
        <v>9966</v>
      </c>
      <c r="I296" s="198">
        <v>4.25</v>
      </c>
      <c r="K296" s="198">
        <v>68315.14</v>
      </c>
    </row>
    <row r="297" spans="3:11" x14ac:dyDescent="0.2">
      <c r="C297" s="201" t="s">
        <v>9965</v>
      </c>
      <c r="D297" s="200">
        <v>44295</v>
      </c>
      <c r="E297" s="199" t="s">
        <v>9964</v>
      </c>
      <c r="I297" s="198">
        <v>2.36</v>
      </c>
      <c r="K297" s="198">
        <v>68317.5</v>
      </c>
    </row>
    <row r="298" spans="3:11" x14ac:dyDescent="0.2">
      <c r="C298" s="201" t="s">
        <v>9963</v>
      </c>
      <c r="D298" s="200">
        <v>44295</v>
      </c>
      <c r="E298" s="199" t="s">
        <v>9962</v>
      </c>
      <c r="I298" s="198">
        <v>5.21</v>
      </c>
      <c r="K298" s="198">
        <v>68322.710000000006</v>
      </c>
    </row>
    <row r="299" spans="3:11" x14ac:dyDescent="0.2">
      <c r="C299" s="201" t="s">
        <v>9961</v>
      </c>
      <c r="D299" s="200">
        <v>44295</v>
      </c>
      <c r="E299" s="199" t="s">
        <v>9960</v>
      </c>
      <c r="I299" s="198">
        <v>7.93</v>
      </c>
      <c r="K299" s="198">
        <v>68330.64</v>
      </c>
    </row>
    <row r="300" spans="3:11" x14ac:dyDescent="0.2">
      <c r="C300" s="201" t="s">
        <v>9959</v>
      </c>
      <c r="D300" s="200">
        <v>44295</v>
      </c>
      <c r="E300" s="199" t="s">
        <v>9958</v>
      </c>
      <c r="I300" s="198">
        <v>4.3099999999999996</v>
      </c>
      <c r="K300" s="198">
        <v>68334.95</v>
      </c>
    </row>
    <row r="301" spans="3:11" x14ac:dyDescent="0.2">
      <c r="C301" s="201" t="s">
        <v>9957</v>
      </c>
      <c r="D301" s="200">
        <v>44295</v>
      </c>
      <c r="E301" s="199" t="s">
        <v>9956</v>
      </c>
      <c r="I301" s="198">
        <v>3.39</v>
      </c>
      <c r="K301" s="198">
        <v>68338.34</v>
      </c>
    </row>
    <row r="302" spans="3:11" x14ac:dyDescent="0.2">
      <c r="C302" s="201" t="s">
        <v>9955</v>
      </c>
      <c r="D302" s="200">
        <v>44295</v>
      </c>
      <c r="E302" s="199" t="s">
        <v>9954</v>
      </c>
      <c r="I302" s="198">
        <v>3.54</v>
      </c>
      <c r="K302" s="198">
        <v>68341.88</v>
      </c>
    </row>
    <row r="303" spans="3:11" x14ac:dyDescent="0.2">
      <c r="C303" s="201" t="s">
        <v>9953</v>
      </c>
      <c r="D303" s="200">
        <v>44295</v>
      </c>
      <c r="E303" s="199" t="s">
        <v>9952</v>
      </c>
      <c r="I303" s="198">
        <v>6.27</v>
      </c>
      <c r="K303" s="198">
        <v>68348.149999999994</v>
      </c>
    </row>
    <row r="304" spans="3:11" x14ac:dyDescent="0.2">
      <c r="C304" s="201" t="s">
        <v>9951</v>
      </c>
      <c r="D304" s="200">
        <v>44295</v>
      </c>
      <c r="E304" s="199" t="s">
        <v>9950</v>
      </c>
      <c r="I304" s="198">
        <v>7.05</v>
      </c>
      <c r="K304" s="198">
        <v>68355.199999999997</v>
      </c>
    </row>
    <row r="305" spans="3:11" x14ac:dyDescent="0.2">
      <c r="C305" s="201" t="s">
        <v>9949</v>
      </c>
      <c r="D305" s="200">
        <v>44295</v>
      </c>
      <c r="E305" s="199" t="s">
        <v>9948</v>
      </c>
      <c r="I305" s="198">
        <v>5.04</v>
      </c>
      <c r="K305" s="198">
        <v>68360.240000000005</v>
      </c>
    </row>
    <row r="306" spans="3:11" x14ac:dyDescent="0.2">
      <c r="C306" s="201" t="s">
        <v>9947</v>
      </c>
      <c r="D306" s="200">
        <v>44295</v>
      </c>
      <c r="E306" s="199" t="s">
        <v>9946</v>
      </c>
      <c r="I306" s="198">
        <v>22</v>
      </c>
      <c r="K306" s="198">
        <v>68382.240000000005</v>
      </c>
    </row>
    <row r="307" spans="3:11" x14ac:dyDescent="0.2">
      <c r="C307" s="201" t="s">
        <v>9945</v>
      </c>
      <c r="D307" s="200">
        <v>44295</v>
      </c>
      <c r="E307" s="199" t="s">
        <v>9944</v>
      </c>
      <c r="I307" s="198">
        <v>16.760000000000002</v>
      </c>
      <c r="K307" s="198">
        <v>68399</v>
      </c>
    </row>
    <row r="308" spans="3:11" x14ac:dyDescent="0.2">
      <c r="C308" s="201" t="s">
        <v>9943</v>
      </c>
      <c r="D308" s="200">
        <v>44295</v>
      </c>
      <c r="E308" s="199" t="s">
        <v>9942</v>
      </c>
      <c r="I308" s="198">
        <v>2.1800000000000002</v>
      </c>
      <c r="K308" s="198">
        <v>68401.179999999993</v>
      </c>
    </row>
    <row r="309" spans="3:11" x14ac:dyDescent="0.2">
      <c r="C309" s="201" t="s">
        <v>9941</v>
      </c>
      <c r="D309" s="200">
        <v>44295</v>
      </c>
      <c r="E309" s="199" t="s">
        <v>9940</v>
      </c>
      <c r="I309" s="198">
        <v>37.76</v>
      </c>
      <c r="K309" s="198">
        <v>68438.94</v>
      </c>
    </row>
    <row r="310" spans="3:11" x14ac:dyDescent="0.2">
      <c r="C310" s="201" t="s">
        <v>9939</v>
      </c>
      <c r="D310" s="200">
        <v>44295</v>
      </c>
      <c r="E310" s="199" t="s">
        <v>9938</v>
      </c>
      <c r="I310" s="198">
        <v>4.21</v>
      </c>
      <c r="K310" s="198">
        <v>68443.149999999994</v>
      </c>
    </row>
    <row r="311" spans="3:11" x14ac:dyDescent="0.2">
      <c r="C311" s="201" t="s">
        <v>9937</v>
      </c>
      <c r="D311" s="200">
        <v>44295</v>
      </c>
      <c r="E311" s="199" t="s">
        <v>9936</v>
      </c>
      <c r="I311" s="198">
        <v>4.2300000000000004</v>
      </c>
      <c r="K311" s="198">
        <v>68447.38</v>
      </c>
    </row>
    <row r="312" spans="3:11" x14ac:dyDescent="0.2">
      <c r="C312" s="201" t="s">
        <v>9935</v>
      </c>
      <c r="D312" s="200">
        <v>44295</v>
      </c>
      <c r="E312" s="199" t="s">
        <v>9934</v>
      </c>
      <c r="I312" s="198">
        <v>2.0499999999999998</v>
      </c>
      <c r="K312" s="198">
        <v>68449.429999999993</v>
      </c>
    </row>
    <row r="313" spans="3:11" x14ac:dyDescent="0.2">
      <c r="C313" s="201" t="s">
        <v>9933</v>
      </c>
      <c r="D313" s="200">
        <v>44295</v>
      </c>
      <c r="E313" s="199" t="s">
        <v>9932</v>
      </c>
      <c r="I313" s="198">
        <v>5.44</v>
      </c>
      <c r="K313" s="198">
        <v>68454.87</v>
      </c>
    </row>
    <row r="314" spans="3:11" x14ac:dyDescent="0.2">
      <c r="C314" s="201" t="s">
        <v>9931</v>
      </c>
      <c r="D314" s="200">
        <v>44295</v>
      </c>
      <c r="E314" s="199" t="s">
        <v>9930</v>
      </c>
      <c r="I314" s="198">
        <v>4.3499999999999996</v>
      </c>
      <c r="K314" s="198">
        <v>68459.22</v>
      </c>
    </row>
    <row r="315" spans="3:11" x14ac:dyDescent="0.2">
      <c r="C315" s="201" t="s">
        <v>9929</v>
      </c>
      <c r="D315" s="200">
        <v>44295</v>
      </c>
      <c r="E315" s="199" t="s">
        <v>9928</v>
      </c>
      <c r="I315" s="198">
        <v>1.89</v>
      </c>
      <c r="K315" s="198">
        <v>68461.11</v>
      </c>
    </row>
    <row r="316" spans="3:11" x14ac:dyDescent="0.2">
      <c r="C316" s="201" t="s">
        <v>9927</v>
      </c>
      <c r="D316" s="200">
        <v>44295</v>
      </c>
      <c r="E316" s="199" t="s">
        <v>9926</v>
      </c>
      <c r="I316" s="198">
        <v>29.5</v>
      </c>
      <c r="K316" s="198">
        <v>68490.61</v>
      </c>
    </row>
    <row r="317" spans="3:11" x14ac:dyDescent="0.2">
      <c r="C317" s="201" t="s">
        <v>9925</v>
      </c>
      <c r="D317" s="200">
        <v>44295</v>
      </c>
      <c r="E317" s="199" t="s">
        <v>9924</v>
      </c>
      <c r="I317" s="198">
        <v>16.760000000000002</v>
      </c>
      <c r="K317" s="198">
        <v>68507.37</v>
      </c>
    </row>
    <row r="318" spans="3:11" x14ac:dyDescent="0.2">
      <c r="C318" s="201" t="s">
        <v>9923</v>
      </c>
      <c r="D318" s="200">
        <v>44296</v>
      </c>
      <c r="E318" s="199" t="s">
        <v>9922</v>
      </c>
      <c r="I318" s="198">
        <v>4.37</v>
      </c>
      <c r="K318" s="198">
        <v>68511.740000000005</v>
      </c>
    </row>
    <row r="319" spans="3:11" x14ac:dyDescent="0.2">
      <c r="C319" s="201" t="s">
        <v>9921</v>
      </c>
      <c r="D319" s="200">
        <v>44296</v>
      </c>
      <c r="E319" s="199" t="s">
        <v>9920</v>
      </c>
      <c r="I319" s="198">
        <v>6.69</v>
      </c>
      <c r="K319" s="198">
        <v>68518.429999999993</v>
      </c>
    </row>
    <row r="320" spans="3:11" x14ac:dyDescent="0.2">
      <c r="C320" s="201" t="s">
        <v>9919</v>
      </c>
      <c r="D320" s="200">
        <v>44296</v>
      </c>
      <c r="E320" s="199" t="s">
        <v>9918</v>
      </c>
      <c r="I320" s="198">
        <v>5.81</v>
      </c>
      <c r="K320" s="198">
        <v>68524.240000000005</v>
      </c>
    </row>
    <row r="321" spans="3:11" x14ac:dyDescent="0.2">
      <c r="C321" s="201" t="s">
        <v>9917</v>
      </c>
      <c r="D321" s="200">
        <v>44296</v>
      </c>
      <c r="E321" s="199" t="s">
        <v>9916</v>
      </c>
      <c r="I321" s="198">
        <v>14.62</v>
      </c>
      <c r="K321" s="198">
        <v>68538.86</v>
      </c>
    </row>
    <row r="322" spans="3:11" x14ac:dyDescent="0.2">
      <c r="C322" s="201" t="s">
        <v>9915</v>
      </c>
      <c r="D322" s="200">
        <v>44296</v>
      </c>
      <c r="E322" s="199" t="s">
        <v>9914</v>
      </c>
      <c r="I322" s="198">
        <v>3.64</v>
      </c>
      <c r="K322" s="198">
        <v>68542.5</v>
      </c>
    </row>
    <row r="323" spans="3:11" x14ac:dyDescent="0.2">
      <c r="C323" s="201" t="s">
        <v>9913</v>
      </c>
      <c r="D323" s="200">
        <v>44296</v>
      </c>
      <c r="E323" s="199" t="s">
        <v>9912</v>
      </c>
      <c r="I323" s="198">
        <v>19.23</v>
      </c>
      <c r="K323" s="198">
        <v>68561.73</v>
      </c>
    </row>
    <row r="324" spans="3:11" x14ac:dyDescent="0.2">
      <c r="C324" s="201" t="s">
        <v>9911</v>
      </c>
      <c r="D324" s="200">
        <v>44296</v>
      </c>
      <c r="E324" s="199" t="s">
        <v>9910</v>
      </c>
      <c r="I324" s="198">
        <v>11.4</v>
      </c>
      <c r="K324" s="198">
        <v>68573.13</v>
      </c>
    </row>
    <row r="325" spans="3:11" x14ac:dyDescent="0.2">
      <c r="C325" s="201" t="s">
        <v>9909</v>
      </c>
      <c r="D325" s="200">
        <v>44296</v>
      </c>
      <c r="E325" s="199" t="s">
        <v>9908</v>
      </c>
      <c r="I325" s="198">
        <v>5.61</v>
      </c>
      <c r="K325" s="198">
        <v>68578.740000000005</v>
      </c>
    </row>
    <row r="326" spans="3:11" x14ac:dyDescent="0.2">
      <c r="C326" s="201" t="s">
        <v>9907</v>
      </c>
      <c r="D326" s="200">
        <v>44296</v>
      </c>
      <c r="E326" s="199" t="s">
        <v>9906</v>
      </c>
      <c r="I326" s="198">
        <v>9.99</v>
      </c>
      <c r="K326" s="198">
        <v>68588.73</v>
      </c>
    </row>
    <row r="327" spans="3:11" x14ac:dyDescent="0.2">
      <c r="C327" s="201" t="s">
        <v>9905</v>
      </c>
      <c r="D327" s="200">
        <v>44296</v>
      </c>
      <c r="E327" s="199" t="s">
        <v>9904</v>
      </c>
      <c r="I327" s="198">
        <v>2.6</v>
      </c>
      <c r="K327" s="198">
        <v>68591.33</v>
      </c>
    </row>
    <row r="328" spans="3:11" x14ac:dyDescent="0.2">
      <c r="C328" s="201" t="s">
        <v>9903</v>
      </c>
      <c r="D328" s="200">
        <v>44296</v>
      </c>
      <c r="E328" s="199" t="s">
        <v>9902</v>
      </c>
      <c r="I328" s="198">
        <v>5.04</v>
      </c>
      <c r="K328" s="198">
        <v>68596.37</v>
      </c>
    </row>
    <row r="329" spans="3:11" x14ac:dyDescent="0.2">
      <c r="C329" s="201" t="s">
        <v>9901</v>
      </c>
      <c r="D329" s="200">
        <v>44296</v>
      </c>
      <c r="E329" s="199" t="s">
        <v>9900</v>
      </c>
      <c r="I329" s="198">
        <v>9.36</v>
      </c>
      <c r="K329" s="198">
        <v>68605.73</v>
      </c>
    </row>
    <row r="330" spans="3:11" x14ac:dyDescent="0.2">
      <c r="C330" s="201" t="s">
        <v>9899</v>
      </c>
      <c r="D330" s="200">
        <v>44296</v>
      </c>
      <c r="E330" s="199" t="s">
        <v>9898</v>
      </c>
      <c r="I330" s="198">
        <v>1.68</v>
      </c>
      <c r="K330" s="198">
        <v>68607.41</v>
      </c>
    </row>
    <row r="331" spans="3:11" x14ac:dyDescent="0.2">
      <c r="C331" s="201" t="s">
        <v>9897</v>
      </c>
      <c r="D331" s="200">
        <v>44297</v>
      </c>
      <c r="E331" s="199" t="s">
        <v>9896</v>
      </c>
      <c r="I331" s="198">
        <v>30.3</v>
      </c>
      <c r="K331" s="198">
        <v>68637.710000000006</v>
      </c>
    </row>
    <row r="332" spans="3:11" x14ac:dyDescent="0.2">
      <c r="C332" s="201" t="s">
        <v>9895</v>
      </c>
      <c r="D332" s="200">
        <v>44297</v>
      </c>
      <c r="E332" s="199" t="s">
        <v>9894</v>
      </c>
      <c r="I332" s="198">
        <v>1.33</v>
      </c>
      <c r="K332" s="198">
        <v>68639.039999999994</v>
      </c>
    </row>
    <row r="333" spans="3:11" x14ac:dyDescent="0.2">
      <c r="C333" s="201" t="s">
        <v>9893</v>
      </c>
      <c r="D333" s="200">
        <v>44297</v>
      </c>
      <c r="E333" s="199" t="s">
        <v>9892</v>
      </c>
      <c r="I333" s="198">
        <v>6.67</v>
      </c>
      <c r="K333" s="198">
        <v>68645.710000000006</v>
      </c>
    </row>
    <row r="334" spans="3:11" x14ac:dyDescent="0.2">
      <c r="C334" s="201" t="s">
        <v>9891</v>
      </c>
      <c r="D334" s="200">
        <v>44297</v>
      </c>
      <c r="E334" s="199" t="s">
        <v>9890</v>
      </c>
      <c r="I334" s="198">
        <v>4.7699999999999996</v>
      </c>
      <c r="K334" s="198">
        <v>68650.48</v>
      </c>
    </row>
    <row r="335" spans="3:11" x14ac:dyDescent="0.2">
      <c r="C335" s="201" t="s">
        <v>9889</v>
      </c>
      <c r="D335" s="200">
        <v>44297</v>
      </c>
      <c r="E335" s="199" t="s">
        <v>9888</v>
      </c>
      <c r="I335" s="198">
        <v>4.12</v>
      </c>
      <c r="K335" s="198">
        <v>68654.600000000006</v>
      </c>
    </row>
    <row r="336" spans="3:11" x14ac:dyDescent="0.2">
      <c r="C336" s="201" t="s">
        <v>9887</v>
      </c>
      <c r="D336" s="200">
        <v>44297</v>
      </c>
      <c r="E336" s="199" t="s">
        <v>9886</v>
      </c>
      <c r="I336" s="198">
        <v>11.61</v>
      </c>
      <c r="K336" s="198">
        <v>68666.210000000006</v>
      </c>
    </row>
    <row r="337" spans="3:11" x14ac:dyDescent="0.2">
      <c r="C337" s="201" t="s">
        <v>9885</v>
      </c>
      <c r="D337" s="200">
        <v>44298</v>
      </c>
      <c r="E337" s="199" t="s">
        <v>9463</v>
      </c>
      <c r="I337" s="198">
        <v>5.62</v>
      </c>
      <c r="K337" s="198">
        <v>68671.83</v>
      </c>
    </row>
    <row r="338" spans="3:11" x14ac:dyDescent="0.2">
      <c r="C338" s="201" t="s">
        <v>9884</v>
      </c>
      <c r="D338" s="200">
        <v>44298</v>
      </c>
      <c r="E338" s="199" t="s">
        <v>9883</v>
      </c>
      <c r="I338" s="198">
        <v>47.99</v>
      </c>
      <c r="K338" s="198">
        <v>68719.820000000007</v>
      </c>
    </row>
    <row r="339" spans="3:11" x14ac:dyDescent="0.2">
      <c r="C339" s="201" t="s">
        <v>9882</v>
      </c>
      <c r="D339" s="200">
        <v>44298</v>
      </c>
      <c r="E339" s="199" t="s">
        <v>9881</v>
      </c>
      <c r="I339" s="198">
        <v>4.87</v>
      </c>
      <c r="K339" s="198">
        <v>68724.69</v>
      </c>
    </row>
    <row r="340" spans="3:11" x14ac:dyDescent="0.2">
      <c r="C340" s="201" t="s">
        <v>9880</v>
      </c>
      <c r="D340" s="200">
        <v>44298</v>
      </c>
      <c r="E340" s="199" t="s">
        <v>9879</v>
      </c>
      <c r="I340" s="198">
        <v>25</v>
      </c>
      <c r="K340" s="198">
        <v>68749.69</v>
      </c>
    </row>
    <row r="341" spans="3:11" x14ac:dyDescent="0.2">
      <c r="C341" s="201" t="s">
        <v>9878</v>
      </c>
      <c r="D341" s="200">
        <v>44298</v>
      </c>
      <c r="E341" s="199" t="s">
        <v>9877</v>
      </c>
      <c r="I341" s="198">
        <v>15.19</v>
      </c>
      <c r="K341" s="198">
        <v>68764.88</v>
      </c>
    </row>
    <row r="342" spans="3:11" x14ac:dyDescent="0.2">
      <c r="C342" s="201" t="s">
        <v>9876</v>
      </c>
      <c r="D342" s="200">
        <v>44298</v>
      </c>
      <c r="E342" s="199" t="s">
        <v>9875</v>
      </c>
      <c r="I342" s="198">
        <v>6.22</v>
      </c>
      <c r="K342" s="198">
        <v>68771.100000000006</v>
      </c>
    </row>
    <row r="343" spans="3:11" x14ac:dyDescent="0.2">
      <c r="C343" s="201" t="s">
        <v>9874</v>
      </c>
      <c r="D343" s="200">
        <v>44298</v>
      </c>
      <c r="E343" s="199" t="s">
        <v>9873</v>
      </c>
      <c r="I343" s="198">
        <v>5.56</v>
      </c>
      <c r="K343" s="198">
        <v>68776.66</v>
      </c>
    </row>
    <row r="344" spans="3:11" x14ac:dyDescent="0.2">
      <c r="C344" s="201" t="s">
        <v>9872</v>
      </c>
      <c r="D344" s="200">
        <v>44298</v>
      </c>
      <c r="E344" s="199" t="s">
        <v>9871</v>
      </c>
      <c r="I344" s="198">
        <v>25.43</v>
      </c>
      <c r="K344" s="198">
        <v>68802.09</v>
      </c>
    </row>
    <row r="345" spans="3:11" x14ac:dyDescent="0.2">
      <c r="C345" s="201" t="s">
        <v>9870</v>
      </c>
      <c r="D345" s="200">
        <v>44298</v>
      </c>
      <c r="E345" s="199" t="s">
        <v>9869</v>
      </c>
      <c r="I345" s="198">
        <v>6.62</v>
      </c>
      <c r="K345" s="198">
        <v>68808.710000000006</v>
      </c>
    </row>
    <row r="346" spans="3:11" x14ac:dyDescent="0.2">
      <c r="C346" s="201" t="s">
        <v>9868</v>
      </c>
      <c r="D346" s="200">
        <v>44298</v>
      </c>
      <c r="E346" s="199" t="s">
        <v>9867</v>
      </c>
      <c r="I346" s="198">
        <v>3.61</v>
      </c>
      <c r="K346" s="198">
        <v>68812.320000000007</v>
      </c>
    </row>
    <row r="347" spans="3:11" x14ac:dyDescent="0.2">
      <c r="C347" s="201" t="s">
        <v>9866</v>
      </c>
      <c r="D347" s="200">
        <v>44298</v>
      </c>
      <c r="E347" s="199" t="s">
        <v>9865</v>
      </c>
      <c r="I347" s="198">
        <v>4.49</v>
      </c>
      <c r="K347" s="198">
        <v>68816.81</v>
      </c>
    </row>
    <row r="348" spans="3:11" x14ac:dyDescent="0.2">
      <c r="C348" s="201" t="s">
        <v>9864</v>
      </c>
      <c r="D348" s="200">
        <v>44298</v>
      </c>
      <c r="E348" s="199" t="s">
        <v>9863</v>
      </c>
      <c r="I348" s="198">
        <v>17.98</v>
      </c>
      <c r="K348" s="198">
        <v>68834.789999999994</v>
      </c>
    </row>
    <row r="349" spans="3:11" x14ac:dyDescent="0.2">
      <c r="C349" s="201" t="s">
        <v>9862</v>
      </c>
      <c r="D349" s="200">
        <v>44298</v>
      </c>
      <c r="E349" s="199" t="s">
        <v>9861</v>
      </c>
      <c r="I349" s="198">
        <v>2.78</v>
      </c>
      <c r="K349" s="198">
        <v>68837.570000000007</v>
      </c>
    </row>
    <row r="350" spans="3:11" x14ac:dyDescent="0.2">
      <c r="C350" s="201" t="s">
        <v>9860</v>
      </c>
      <c r="D350" s="200">
        <v>44298</v>
      </c>
      <c r="E350" s="199" t="s">
        <v>9859</v>
      </c>
      <c r="I350" s="198">
        <v>10.55</v>
      </c>
      <c r="K350" s="198">
        <v>68848.12</v>
      </c>
    </row>
    <row r="351" spans="3:11" x14ac:dyDescent="0.2">
      <c r="C351" s="201" t="s">
        <v>9858</v>
      </c>
      <c r="D351" s="200">
        <v>44298</v>
      </c>
      <c r="E351" s="199" t="s">
        <v>9857</v>
      </c>
      <c r="I351" s="198">
        <v>15.12</v>
      </c>
      <c r="K351" s="198">
        <v>68863.240000000005</v>
      </c>
    </row>
    <row r="352" spans="3:11" x14ac:dyDescent="0.2">
      <c r="C352" s="201" t="s">
        <v>9856</v>
      </c>
      <c r="D352" s="200">
        <v>44298</v>
      </c>
      <c r="E352" s="199" t="s">
        <v>9855</v>
      </c>
      <c r="I352" s="198">
        <v>3.79</v>
      </c>
      <c r="K352" s="198">
        <v>68867.03</v>
      </c>
    </row>
    <row r="353" spans="3:11" x14ac:dyDescent="0.2">
      <c r="C353" s="201" t="s">
        <v>9854</v>
      </c>
      <c r="D353" s="200">
        <v>44298</v>
      </c>
      <c r="E353" s="199" t="s">
        <v>9853</v>
      </c>
      <c r="I353" s="198">
        <v>3.97</v>
      </c>
      <c r="K353" s="198">
        <v>68871</v>
      </c>
    </row>
    <row r="354" spans="3:11" x14ac:dyDescent="0.2">
      <c r="C354" s="201" t="s">
        <v>9852</v>
      </c>
      <c r="D354" s="200">
        <v>44298</v>
      </c>
      <c r="E354" s="199" t="s">
        <v>9851</v>
      </c>
      <c r="I354" s="198">
        <v>17.899999999999999</v>
      </c>
      <c r="K354" s="198">
        <v>68888.899999999994</v>
      </c>
    </row>
    <row r="355" spans="3:11" x14ac:dyDescent="0.2">
      <c r="C355" s="201" t="s">
        <v>9850</v>
      </c>
      <c r="D355" s="200">
        <v>44298</v>
      </c>
      <c r="E355" s="199" t="s">
        <v>9849</v>
      </c>
      <c r="I355" s="198">
        <v>11.42</v>
      </c>
      <c r="K355" s="198">
        <v>68900.320000000007</v>
      </c>
    </row>
    <row r="356" spans="3:11" x14ac:dyDescent="0.2">
      <c r="C356" s="201" t="s">
        <v>9848</v>
      </c>
      <c r="D356" s="200">
        <v>44298</v>
      </c>
      <c r="E356" s="199" t="s">
        <v>9847</v>
      </c>
      <c r="I356" s="198">
        <v>8.4700000000000006</v>
      </c>
      <c r="K356" s="198">
        <v>68908.789999999994</v>
      </c>
    </row>
    <row r="357" spans="3:11" x14ac:dyDescent="0.2">
      <c r="C357" s="201" t="s">
        <v>9846</v>
      </c>
      <c r="D357" s="200">
        <v>44298</v>
      </c>
      <c r="E357" s="199" t="s">
        <v>9845</v>
      </c>
      <c r="I357" s="198">
        <v>0.47</v>
      </c>
      <c r="K357" s="198">
        <v>68909.259999999995</v>
      </c>
    </row>
    <row r="358" spans="3:11" x14ac:dyDescent="0.2">
      <c r="C358" s="201" t="s">
        <v>9844</v>
      </c>
      <c r="D358" s="200">
        <v>44298</v>
      </c>
      <c r="E358" s="199" t="s">
        <v>9843</v>
      </c>
      <c r="I358" s="198">
        <v>25.38</v>
      </c>
      <c r="K358" s="198">
        <v>68934.64</v>
      </c>
    </row>
    <row r="359" spans="3:11" x14ac:dyDescent="0.2">
      <c r="C359" s="201" t="s">
        <v>9842</v>
      </c>
      <c r="D359" s="200">
        <v>44298</v>
      </c>
      <c r="E359" s="199" t="s">
        <v>9841</v>
      </c>
      <c r="I359" s="198">
        <v>2.68</v>
      </c>
      <c r="K359" s="198">
        <v>68937.320000000007</v>
      </c>
    </row>
    <row r="360" spans="3:11" x14ac:dyDescent="0.2">
      <c r="C360" s="201" t="s">
        <v>9840</v>
      </c>
      <c r="D360" s="200">
        <v>44298</v>
      </c>
      <c r="E360" s="199" t="s">
        <v>9839</v>
      </c>
      <c r="I360" s="198">
        <v>1.94</v>
      </c>
      <c r="K360" s="198">
        <v>68939.259999999995</v>
      </c>
    </row>
    <row r="361" spans="3:11" x14ac:dyDescent="0.2">
      <c r="C361" s="201" t="s">
        <v>9838</v>
      </c>
      <c r="D361" s="200">
        <v>44298</v>
      </c>
      <c r="E361" s="199" t="s">
        <v>9837</v>
      </c>
      <c r="I361" s="198">
        <v>4.63</v>
      </c>
      <c r="K361" s="198">
        <v>68943.89</v>
      </c>
    </row>
    <row r="362" spans="3:11" x14ac:dyDescent="0.2">
      <c r="C362" s="201" t="s">
        <v>9836</v>
      </c>
      <c r="D362" s="200">
        <v>44298</v>
      </c>
      <c r="E362" s="199" t="s">
        <v>9835</v>
      </c>
      <c r="I362" s="198">
        <v>14.77</v>
      </c>
      <c r="K362" s="198">
        <v>68958.66</v>
      </c>
    </row>
    <row r="363" spans="3:11" x14ac:dyDescent="0.2">
      <c r="C363" s="201" t="s">
        <v>9834</v>
      </c>
      <c r="D363" s="200">
        <v>44298</v>
      </c>
      <c r="E363" s="199" t="s">
        <v>9833</v>
      </c>
      <c r="I363" s="198">
        <v>5.16</v>
      </c>
      <c r="K363" s="198">
        <v>68963.820000000007</v>
      </c>
    </row>
    <row r="364" spans="3:11" x14ac:dyDescent="0.2">
      <c r="C364" s="201" t="s">
        <v>9832</v>
      </c>
      <c r="D364" s="200">
        <v>44298</v>
      </c>
      <c r="E364" s="199" t="s">
        <v>9831</v>
      </c>
      <c r="I364" s="198">
        <v>3.36</v>
      </c>
      <c r="K364" s="198">
        <v>68967.179999999993</v>
      </c>
    </row>
    <row r="365" spans="3:11" x14ac:dyDescent="0.2">
      <c r="C365" s="201" t="s">
        <v>9830</v>
      </c>
      <c r="D365" s="200">
        <v>44298</v>
      </c>
      <c r="E365" s="199" t="s">
        <v>9829</v>
      </c>
      <c r="I365" s="198">
        <v>5.04</v>
      </c>
      <c r="K365" s="198">
        <v>68972.22</v>
      </c>
    </row>
    <row r="366" spans="3:11" x14ac:dyDescent="0.2">
      <c r="C366" s="201" t="s">
        <v>9828</v>
      </c>
      <c r="D366" s="200">
        <v>44299</v>
      </c>
      <c r="E366" s="199" t="s">
        <v>9827</v>
      </c>
      <c r="I366" s="198">
        <v>3.49</v>
      </c>
      <c r="K366" s="198">
        <v>68975.710000000006</v>
      </c>
    </row>
    <row r="367" spans="3:11" x14ac:dyDescent="0.2">
      <c r="C367" s="201" t="s">
        <v>9826</v>
      </c>
      <c r="D367" s="200">
        <v>44299</v>
      </c>
      <c r="E367" s="199" t="s">
        <v>9825</v>
      </c>
      <c r="I367" s="198">
        <v>3.88</v>
      </c>
      <c r="K367" s="198">
        <v>68979.59</v>
      </c>
    </row>
    <row r="368" spans="3:11" x14ac:dyDescent="0.2">
      <c r="C368" s="201" t="s">
        <v>9824</v>
      </c>
      <c r="D368" s="200">
        <v>44299</v>
      </c>
      <c r="E368" s="199" t="s">
        <v>9823</v>
      </c>
      <c r="I368" s="198">
        <v>1.95</v>
      </c>
      <c r="K368" s="198">
        <v>68981.539999999994</v>
      </c>
    </row>
    <row r="369" spans="3:11" x14ac:dyDescent="0.2">
      <c r="C369" s="201" t="s">
        <v>9822</v>
      </c>
      <c r="D369" s="200">
        <v>44299</v>
      </c>
      <c r="E369" s="199" t="s">
        <v>9821</v>
      </c>
      <c r="I369" s="198">
        <v>13.66</v>
      </c>
      <c r="K369" s="198">
        <v>68995.199999999997</v>
      </c>
    </row>
    <row r="370" spans="3:11" x14ac:dyDescent="0.2">
      <c r="C370" s="201" t="s">
        <v>9820</v>
      </c>
      <c r="D370" s="200">
        <v>44299</v>
      </c>
      <c r="E370" s="199" t="s">
        <v>9819</v>
      </c>
      <c r="I370" s="198">
        <v>4.6500000000000004</v>
      </c>
      <c r="K370" s="198">
        <v>68999.850000000006</v>
      </c>
    </row>
    <row r="371" spans="3:11" x14ac:dyDescent="0.2">
      <c r="C371" s="201" t="s">
        <v>9818</v>
      </c>
      <c r="D371" s="200">
        <v>44299</v>
      </c>
      <c r="E371" s="199" t="s">
        <v>9817</v>
      </c>
      <c r="I371" s="198">
        <v>5.04</v>
      </c>
      <c r="K371" s="198">
        <v>69004.89</v>
      </c>
    </row>
    <row r="372" spans="3:11" x14ac:dyDescent="0.2">
      <c r="C372" s="201" t="s">
        <v>9816</v>
      </c>
      <c r="D372" s="200">
        <v>44299</v>
      </c>
      <c r="E372" s="199" t="s">
        <v>9815</v>
      </c>
      <c r="I372" s="198">
        <v>2.41</v>
      </c>
      <c r="K372" s="198">
        <v>69007.3</v>
      </c>
    </row>
    <row r="373" spans="3:11" x14ac:dyDescent="0.2">
      <c r="C373" s="201" t="s">
        <v>9814</v>
      </c>
      <c r="D373" s="200">
        <v>44299</v>
      </c>
      <c r="E373" s="199" t="s">
        <v>9813</v>
      </c>
      <c r="I373" s="198">
        <v>5.86</v>
      </c>
      <c r="K373" s="198">
        <v>69013.16</v>
      </c>
    </row>
    <row r="374" spans="3:11" x14ac:dyDescent="0.2">
      <c r="C374" s="201" t="s">
        <v>9812</v>
      </c>
      <c r="D374" s="200">
        <v>44299</v>
      </c>
      <c r="E374" s="199" t="s">
        <v>9811</v>
      </c>
      <c r="I374" s="198">
        <v>26.28</v>
      </c>
      <c r="K374" s="198">
        <v>69039.44</v>
      </c>
    </row>
    <row r="375" spans="3:11" x14ac:dyDescent="0.2">
      <c r="C375" s="201" t="s">
        <v>9810</v>
      </c>
      <c r="D375" s="200">
        <v>44299</v>
      </c>
      <c r="E375" s="199" t="s">
        <v>9809</v>
      </c>
      <c r="I375" s="198">
        <v>10.95</v>
      </c>
      <c r="K375" s="198">
        <v>69050.39</v>
      </c>
    </row>
    <row r="376" spans="3:11" x14ac:dyDescent="0.2">
      <c r="C376" s="201" t="s">
        <v>9808</v>
      </c>
      <c r="D376" s="200">
        <v>44299</v>
      </c>
      <c r="E376" s="199" t="s">
        <v>9807</v>
      </c>
      <c r="I376" s="198">
        <v>17.36</v>
      </c>
      <c r="K376" s="198">
        <v>69067.75</v>
      </c>
    </row>
    <row r="377" spans="3:11" x14ac:dyDescent="0.2">
      <c r="C377" s="201" t="s">
        <v>9806</v>
      </c>
      <c r="D377" s="200">
        <v>44299</v>
      </c>
      <c r="E377" s="199" t="s">
        <v>9805</v>
      </c>
      <c r="I377" s="198">
        <v>37.15</v>
      </c>
      <c r="K377" s="198">
        <v>69104.899999999994</v>
      </c>
    </row>
    <row r="378" spans="3:11" x14ac:dyDescent="0.2">
      <c r="C378" s="201" t="s">
        <v>9804</v>
      </c>
      <c r="D378" s="200">
        <v>44299</v>
      </c>
      <c r="E378" s="199" t="s">
        <v>9803</v>
      </c>
      <c r="I378" s="198">
        <v>8.69</v>
      </c>
      <c r="K378" s="198">
        <v>69113.59</v>
      </c>
    </row>
    <row r="379" spans="3:11" x14ac:dyDescent="0.2">
      <c r="C379" s="201" t="s">
        <v>9802</v>
      </c>
      <c r="D379" s="200">
        <v>44299</v>
      </c>
      <c r="E379" s="199" t="s">
        <v>9801</v>
      </c>
      <c r="I379" s="198">
        <v>30.6</v>
      </c>
      <c r="K379" s="198">
        <v>69144.19</v>
      </c>
    </row>
    <row r="380" spans="3:11" x14ac:dyDescent="0.2">
      <c r="C380" s="201" t="s">
        <v>9800</v>
      </c>
      <c r="D380" s="200">
        <v>44299</v>
      </c>
      <c r="E380" s="199" t="s">
        <v>9799</v>
      </c>
      <c r="I380" s="198">
        <v>3.36</v>
      </c>
      <c r="K380" s="198">
        <v>69147.55</v>
      </c>
    </row>
    <row r="381" spans="3:11" x14ac:dyDescent="0.2">
      <c r="C381" s="201" t="s">
        <v>9798</v>
      </c>
      <c r="D381" s="200">
        <v>44299</v>
      </c>
      <c r="E381" s="199" t="s">
        <v>9797</v>
      </c>
      <c r="I381" s="198">
        <v>2.46</v>
      </c>
      <c r="K381" s="198">
        <v>69150.009999999995</v>
      </c>
    </row>
    <row r="382" spans="3:11" x14ac:dyDescent="0.2">
      <c r="C382" s="201" t="s">
        <v>9796</v>
      </c>
      <c r="D382" s="200">
        <v>44299</v>
      </c>
      <c r="E382" s="199" t="s">
        <v>9795</v>
      </c>
      <c r="I382" s="198">
        <v>3.47</v>
      </c>
      <c r="K382" s="198">
        <v>69153.48</v>
      </c>
    </row>
    <row r="383" spans="3:11" x14ac:dyDescent="0.2">
      <c r="C383" s="201" t="s">
        <v>9794</v>
      </c>
      <c r="D383" s="200">
        <v>44299</v>
      </c>
      <c r="E383" s="199" t="s">
        <v>9793</v>
      </c>
      <c r="I383" s="198">
        <v>16.760000000000002</v>
      </c>
      <c r="K383" s="198">
        <v>69170.240000000005</v>
      </c>
    </row>
    <row r="384" spans="3:11" x14ac:dyDescent="0.2">
      <c r="C384" s="201" t="s">
        <v>9792</v>
      </c>
      <c r="D384" s="200">
        <v>44299</v>
      </c>
      <c r="E384" s="199" t="s">
        <v>9791</v>
      </c>
      <c r="I384" s="198">
        <v>6.63</v>
      </c>
      <c r="K384" s="198">
        <v>69176.87</v>
      </c>
    </row>
    <row r="385" spans="3:11" x14ac:dyDescent="0.2">
      <c r="C385" s="201" t="s">
        <v>9790</v>
      </c>
      <c r="D385" s="200">
        <v>44299</v>
      </c>
      <c r="E385" s="199" t="s">
        <v>9789</v>
      </c>
      <c r="I385" s="198">
        <v>3.27</v>
      </c>
      <c r="K385" s="198">
        <v>69180.14</v>
      </c>
    </row>
    <row r="386" spans="3:11" x14ac:dyDescent="0.2">
      <c r="C386" s="201" t="s">
        <v>9788</v>
      </c>
      <c r="D386" s="200">
        <v>44299</v>
      </c>
      <c r="E386" s="199" t="s">
        <v>9787</v>
      </c>
      <c r="I386" s="198">
        <v>4.7</v>
      </c>
      <c r="K386" s="198">
        <v>69184.84</v>
      </c>
    </row>
    <row r="387" spans="3:11" x14ac:dyDescent="0.2">
      <c r="C387" s="201" t="s">
        <v>9786</v>
      </c>
      <c r="D387" s="200">
        <v>44299</v>
      </c>
      <c r="E387" s="199" t="s">
        <v>9785</v>
      </c>
      <c r="I387" s="198">
        <v>9.7899999999999991</v>
      </c>
      <c r="K387" s="198">
        <v>69194.63</v>
      </c>
    </row>
    <row r="388" spans="3:11" x14ac:dyDescent="0.2">
      <c r="C388" s="201" t="s">
        <v>9784</v>
      </c>
      <c r="D388" s="200">
        <v>44299</v>
      </c>
      <c r="E388" s="199" t="s">
        <v>9783</v>
      </c>
      <c r="I388" s="198">
        <v>3.36</v>
      </c>
      <c r="K388" s="198">
        <v>69197.990000000005</v>
      </c>
    </row>
    <row r="389" spans="3:11" x14ac:dyDescent="0.2">
      <c r="C389" s="201" t="s">
        <v>9782</v>
      </c>
      <c r="D389" s="200">
        <v>44299</v>
      </c>
      <c r="E389" s="199" t="s">
        <v>9781</v>
      </c>
      <c r="I389" s="198">
        <v>15.3</v>
      </c>
      <c r="K389" s="198">
        <v>69213.289999999994</v>
      </c>
    </row>
    <row r="390" spans="3:11" x14ac:dyDescent="0.2">
      <c r="C390" s="201" t="s">
        <v>9780</v>
      </c>
      <c r="D390" s="200">
        <v>44299</v>
      </c>
      <c r="E390" s="199" t="s">
        <v>9779</v>
      </c>
      <c r="I390" s="198">
        <v>15.3</v>
      </c>
      <c r="K390" s="198">
        <v>69228.59</v>
      </c>
    </row>
    <row r="391" spans="3:11" x14ac:dyDescent="0.2">
      <c r="C391" s="201" t="s">
        <v>9778</v>
      </c>
      <c r="D391" s="200">
        <v>44299</v>
      </c>
      <c r="E391" s="199" t="s">
        <v>9777</v>
      </c>
      <c r="I391" s="198">
        <v>25.14</v>
      </c>
      <c r="K391" s="198">
        <v>69253.73</v>
      </c>
    </row>
    <row r="392" spans="3:11" x14ac:dyDescent="0.2">
      <c r="C392" s="201" t="s">
        <v>9776</v>
      </c>
      <c r="D392" s="200">
        <v>44299</v>
      </c>
      <c r="E392" s="199" t="s">
        <v>9775</v>
      </c>
      <c r="I392" s="198">
        <v>3.05</v>
      </c>
      <c r="K392" s="198">
        <v>69256.78</v>
      </c>
    </row>
    <row r="393" spans="3:11" x14ac:dyDescent="0.2">
      <c r="C393" s="201" t="s">
        <v>9774</v>
      </c>
      <c r="D393" s="200">
        <v>44299</v>
      </c>
      <c r="E393" s="199" t="s">
        <v>9773</v>
      </c>
      <c r="I393" s="198">
        <v>3.6</v>
      </c>
      <c r="K393" s="198">
        <v>69260.38</v>
      </c>
    </row>
    <row r="394" spans="3:11" x14ac:dyDescent="0.2">
      <c r="C394" s="201" t="s">
        <v>9772</v>
      </c>
      <c r="D394" s="200">
        <v>44299</v>
      </c>
      <c r="E394" s="199" t="s">
        <v>9771</v>
      </c>
      <c r="I394" s="198">
        <v>3.5</v>
      </c>
      <c r="K394" s="198">
        <v>69263.88</v>
      </c>
    </row>
    <row r="395" spans="3:11" x14ac:dyDescent="0.2">
      <c r="C395" s="201" t="s">
        <v>1552</v>
      </c>
      <c r="D395" s="200">
        <v>44299</v>
      </c>
      <c r="E395" s="199" t="s">
        <v>9770</v>
      </c>
      <c r="J395" s="222">
        <v>697.74</v>
      </c>
      <c r="K395" s="198">
        <v>68566.14</v>
      </c>
    </row>
    <row r="396" spans="3:11" x14ac:dyDescent="0.2">
      <c r="C396" s="201" t="s">
        <v>9769</v>
      </c>
      <c r="D396" s="200">
        <v>44300</v>
      </c>
      <c r="E396" s="199" t="s">
        <v>9768</v>
      </c>
      <c r="I396" s="198">
        <v>5.04</v>
      </c>
      <c r="K396" s="198">
        <v>68571.179999999993</v>
      </c>
    </row>
    <row r="397" spans="3:11" x14ac:dyDescent="0.2">
      <c r="C397" s="201" t="s">
        <v>9767</v>
      </c>
      <c r="D397" s="200">
        <v>44300</v>
      </c>
      <c r="E397" s="199" t="s">
        <v>9766</v>
      </c>
      <c r="I397" s="198">
        <v>18.8</v>
      </c>
      <c r="K397" s="198">
        <v>68589.98</v>
      </c>
    </row>
    <row r="398" spans="3:11" x14ac:dyDescent="0.2">
      <c r="C398" s="201" t="s">
        <v>9765</v>
      </c>
      <c r="D398" s="200">
        <v>44300</v>
      </c>
      <c r="E398" s="199" t="s">
        <v>9764</v>
      </c>
      <c r="I398" s="198">
        <v>11.43</v>
      </c>
      <c r="K398" s="198">
        <v>68601.41</v>
      </c>
    </row>
    <row r="399" spans="3:11" x14ac:dyDescent="0.2">
      <c r="C399" s="201" t="s">
        <v>9763</v>
      </c>
      <c r="D399" s="200">
        <v>44300</v>
      </c>
      <c r="E399" s="199" t="s">
        <v>9762</v>
      </c>
      <c r="I399" s="198">
        <v>4.12</v>
      </c>
      <c r="K399" s="198">
        <v>68605.53</v>
      </c>
    </row>
    <row r="400" spans="3:11" x14ac:dyDescent="0.2">
      <c r="C400" s="201" t="s">
        <v>9761</v>
      </c>
      <c r="D400" s="200">
        <v>44300</v>
      </c>
      <c r="E400" s="199" t="s">
        <v>9760</v>
      </c>
      <c r="I400" s="198">
        <v>10.75</v>
      </c>
      <c r="K400" s="198">
        <v>68616.28</v>
      </c>
    </row>
    <row r="401" spans="3:11" x14ac:dyDescent="0.2">
      <c r="C401" s="201" t="s">
        <v>9759</v>
      </c>
      <c r="D401" s="200">
        <v>44300</v>
      </c>
      <c r="E401" s="199" t="s">
        <v>9758</v>
      </c>
      <c r="I401" s="198">
        <v>3.36</v>
      </c>
      <c r="K401" s="198">
        <v>68619.64</v>
      </c>
    </row>
    <row r="402" spans="3:11" x14ac:dyDescent="0.2">
      <c r="C402" s="201" t="s">
        <v>9757</v>
      </c>
      <c r="D402" s="200">
        <v>44300</v>
      </c>
      <c r="E402" s="199" t="s">
        <v>9756</v>
      </c>
      <c r="I402" s="198">
        <v>1.88</v>
      </c>
      <c r="K402" s="198">
        <v>68621.52</v>
      </c>
    </row>
    <row r="403" spans="3:11" x14ac:dyDescent="0.2">
      <c r="C403" s="201" t="s">
        <v>9755</v>
      </c>
      <c r="D403" s="200">
        <v>44300</v>
      </c>
      <c r="E403" s="199" t="s">
        <v>9754</v>
      </c>
      <c r="I403" s="198">
        <v>4.28</v>
      </c>
      <c r="K403" s="198">
        <v>68625.8</v>
      </c>
    </row>
    <row r="404" spans="3:11" x14ac:dyDescent="0.2">
      <c r="C404" s="201" t="s">
        <v>9753</v>
      </c>
      <c r="D404" s="200">
        <v>44300</v>
      </c>
      <c r="E404" s="199" t="s">
        <v>9752</v>
      </c>
      <c r="I404" s="198">
        <v>8.3800000000000008</v>
      </c>
      <c r="K404" s="198">
        <v>68634.179999999993</v>
      </c>
    </row>
    <row r="405" spans="3:11" x14ac:dyDescent="0.2">
      <c r="C405" s="201" t="s">
        <v>9751</v>
      </c>
      <c r="D405" s="200">
        <v>44300</v>
      </c>
      <c r="E405" s="199" t="s">
        <v>9750</v>
      </c>
      <c r="I405" s="198">
        <v>4.3099999999999996</v>
      </c>
      <c r="K405" s="198">
        <v>68638.490000000005</v>
      </c>
    </row>
    <row r="406" spans="3:11" x14ac:dyDescent="0.2">
      <c r="C406" s="201" t="s">
        <v>9749</v>
      </c>
      <c r="D406" s="200">
        <v>44300</v>
      </c>
      <c r="E406" s="199" t="s">
        <v>9748</v>
      </c>
      <c r="I406" s="198">
        <v>5.43</v>
      </c>
      <c r="K406" s="198">
        <v>68643.92</v>
      </c>
    </row>
    <row r="407" spans="3:11" x14ac:dyDescent="0.2">
      <c r="C407" s="201" t="s">
        <v>9747</v>
      </c>
      <c r="D407" s="200">
        <v>44300</v>
      </c>
      <c r="E407" s="199" t="s">
        <v>9746</v>
      </c>
      <c r="I407" s="198">
        <v>5.04</v>
      </c>
      <c r="K407" s="198">
        <v>68648.960000000006</v>
      </c>
    </row>
    <row r="408" spans="3:11" x14ac:dyDescent="0.2">
      <c r="C408" s="201" t="s">
        <v>9745</v>
      </c>
      <c r="D408" s="200">
        <v>44300</v>
      </c>
      <c r="E408" s="199" t="s">
        <v>9744</v>
      </c>
      <c r="I408" s="198">
        <v>3.6</v>
      </c>
      <c r="K408" s="198">
        <v>68652.56</v>
      </c>
    </row>
    <row r="409" spans="3:11" x14ac:dyDescent="0.2">
      <c r="C409" s="201" t="s">
        <v>9743</v>
      </c>
      <c r="D409" s="200">
        <v>44300</v>
      </c>
      <c r="E409" s="199" t="s">
        <v>9742</v>
      </c>
      <c r="I409" s="198">
        <v>4.72</v>
      </c>
      <c r="K409" s="198">
        <v>68657.279999999999</v>
      </c>
    </row>
    <row r="410" spans="3:11" x14ac:dyDescent="0.2">
      <c r="C410" s="201" t="s">
        <v>9741</v>
      </c>
      <c r="D410" s="200">
        <v>44300</v>
      </c>
      <c r="E410" s="199" t="s">
        <v>9740</v>
      </c>
      <c r="I410" s="198">
        <v>12.89</v>
      </c>
      <c r="K410" s="198">
        <v>68670.17</v>
      </c>
    </row>
    <row r="411" spans="3:11" x14ac:dyDescent="0.2">
      <c r="C411" s="201" t="s">
        <v>9739</v>
      </c>
      <c r="D411" s="200">
        <v>44300</v>
      </c>
      <c r="E411" s="199" t="s">
        <v>9738</v>
      </c>
      <c r="I411" s="198">
        <v>62.46</v>
      </c>
      <c r="K411" s="198">
        <v>68732.63</v>
      </c>
    </row>
    <row r="412" spans="3:11" x14ac:dyDescent="0.2">
      <c r="C412" s="201" t="s">
        <v>9737</v>
      </c>
      <c r="D412" s="200">
        <v>44300</v>
      </c>
      <c r="E412" s="199" t="s">
        <v>9736</v>
      </c>
      <c r="I412" s="198">
        <v>7.28</v>
      </c>
      <c r="K412" s="198">
        <v>68739.91</v>
      </c>
    </row>
    <row r="413" spans="3:11" x14ac:dyDescent="0.2">
      <c r="C413" s="201" t="s">
        <v>9735</v>
      </c>
      <c r="D413" s="200">
        <v>44300</v>
      </c>
      <c r="E413" s="199" t="s">
        <v>9734</v>
      </c>
      <c r="I413" s="198">
        <v>1.72</v>
      </c>
      <c r="K413" s="198">
        <v>68741.63</v>
      </c>
    </row>
    <row r="414" spans="3:11" x14ac:dyDescent="0.2">
      <c r="C414" s="201" t="s">
        <v>9733</v>
      </c>
      <c r="D414" s="200">
        <v>44300</v>
      </c>
      <c r="E414" s="199" t="s">
        <v>9732</v>
      </c>
      <c r="I414" s="198">
        <v>6.15</v>
      </c>
      <c r="K414" s="198">
        <v>68747.78</v>
      </c>
    </row>
    <row r="415" spans="3:11" x14ac:dyDescent="0.2">
      <c r="C415" s="201" t="s">
        <v>9731</v>
      </c>
      <c r="D415" s="200">
        <v>44300</v>
      </c>
      <c r="E415" s="199" t="s">
        <v>9730</v>
      </c>
      <c r="I415" s="198">
        <v>17.91</v>
      </c>
      <c r="K415" s="198">
        <v>68765.69</v>
      </c>
    </row>
    <row r="416" spans="3:11" x14ac:dyDescent="0.2">
      <c r="C416" s="201" t="s">
        <v>9729</v>
      </c>
      <c r="D416" s="200">
        <v>44300</v>
      </c>
      <c r="E416" s="199" t="s">
        <v>9728</v>
      </c>
      <c r="I416" s="198">
        <v>3.54</v>
      </c>
      <c r="K416" s="198">
        <v>68769.23</v>
      </c>
    </row>
    <row r="417" spans="3:11" x14ac:dyDescent="0.2">
      <c r="C417" s="201" t="s">
        <v>9727</v>
      </c>
      <c r="D417" s="200">
        <v>44300</v>
      </c>
      <c r="E417" s="199" t="s">
        <v>9726</v>
      </c>
      <c r="I417" s="198">
        <v>8.3800000000000008</v>
      </c>
      <c r="K417" s="198">
        <v>68777.61</v>
      </c>
    </row>
    <row r="418" spans="3:11" x14ac:dyDescent="0.2">
      <c r="C418" s="201" t="s">
        <v>9725</v>
      </c>
      <c r="D418" s="200">
        <v>44300</v>
      </c>
      <c r="E418" s="199" t="s">
        <v>9724</v>
      </c>
      <c r="I418" s="198">
        <v>8.3800000000000008</v>
      </c>
      <c r="K418" s="198">
        <v>68785.990000000005</v>
      </c>
    </row>
    <row r="419" spans="3:11" x14ac:dyDescent="0.2">
      <c r="C419" s="201" t="s">
        <v>9723</v>
      </c>
      <c r="D419" s="200">
        <v>44300</v>
      </c>
      <c r="E419" s="199" t="s">
        <v>9722</v>
      </c>
      <c r="I419" s="198">
        <v>7.18</v>
      </c>
      <c r="K419" s="198">
        <v>68793.17</v>
      </c>
    </row>
    <row r="420" spans="3:11" x14ac:dyDescent="0.2">
      <c r="C420" s="201" t="s">
        <v>9721</v>
      </c>
      <c r="D420" s="200">
        <v>44300</v>
      </c>
      <c r="E420" s="199" t="s">
        <v>9720</v>
      </c>
      <c r="I420" s="198">
        <v>3.91</v>
      </c>
      <c r="K420" s="198">
        <v>68797.08</v>
      </c>
    </row>
    <row r="421" spans="3:11" x14ac:dyDescent="0.2">
      <c r="C421" s="201" t="s">
        <v>9719</v>
      </c>
      <c r="D421" s="200">
        <v>44300</v>
      </c>
      <c r="E421" s="199" t="s">
        <v>9718</v>
      </c>
      <c r="I421" s="198">
        <v>4.8600000000000003</v>
      </c>
      <c r="K421" s="198">
        <v>68801.94</v>
      </c>
    </row>
    <row r="422" spans="3:11" x14ac:dyDescent="0.2">
      <c r="C422" s="201" t="s">
        <v>9717</v>
      </c>
      <c r="D422" s="200">
        <v>44300</v>
      </c>
      <c r="E422" s="199" t="s">
        <v>9716</v>
      </c>
      <c r="I422" s="198">
        <v>5.36</v>
      </c>
      <c r="K422" s="198">
        <v>68807.3</v>
      </c>
    </row>
    <row r="423" spans="3:11" x14ac:dyDescent="0.2">
      <c r="C423" s="201" t="s">
        <v>9715</v>
      </c>
      <c r="D423" s="200">
        <v>44300</v>
      </c>
      <c r="E423" s="199" t="s">
        <v>9714</v>
      </c>
      <c r="I423" s="198">
        <v>14.99</v>
      </c>
      <c r="K423" s="198">
        <v>68822.289999999994</v>
      </c>
    </row>
    <row r="424" spans="3:11" x14ac:dyDescent="0.2">
      <c r="C424" s="201" t="s">
        <v>9713</v>
      </c>
      <c r="D424" s="200">
        <v>44300</v>
      </c>
      <c r="E424" s="199" t="s">
        <v>9712</v>
      </c>
      <c r="I424" s="198">
        <v>69.05</v>
      </c>
      <c r="K424" s="198">
        <v>68891.34</v>
      </c>
    </row>
    <row r="425" spans="3:11" x14ac:dyDescent="0.2">
      <c r="C425" s="201" t="s">
        <v>9711</v>
      </c>
      <c r="D425" s="200">
        <v>44300</v>
      </c>
      <c r="E425" s="199" t="s">
        <v>9710</v>
      </c>
      <c r="I425" s="198">
        <v>3.42</v>
      </c>
      <c r="K425" s="198">
        <v>68894.759999999995</v>
      </c>
    </row>
    <row r="426" spans="3:11" x14ac:dyDescent="0.2">
      <c r="C426" s="201" t="s">
        <v>9709</v>
      </c>
      <c r="D426" s="200">
        <v>44301</v>
      </c>
      <c r="E426" s="199" t="s">
        <v>9708</v>
      </c>
      <c r="I426" s="198">
        <v>7</v>
      </c>
      <c r="K426" s="198">
        <v>68901.759999999995</v>
      </c>
    </row>
    <row r="427" spans="3:11" x14ac:dyDescent="0.2">
      <c r="C427" s="201" t="s">
        <v>9707</v>
      </c>
      <c r="D427" s="200">
        <v>44301</v>
      </c>
      <c r="E427" s="199" t="s">
        <v>9706</v>
      </c>
      <c r="I427" s="198">
        <v>5.4</v>
      </c>
      <c r="K427" s="198">
        <v>68907.16</v>
      </c>
    </row>
    <row r="428" spans="3:11" x14ac:dyDescent="0.2">
      <c r="C428" s="201" t="s">
        <v>9705</v>
      </c>
      <c r="D428" s="200">
        <v>44301</v>
      </c>
      <c r="E428" s="199" t="s">
        <v>9704</v>
      </c>
      <c r="I428" s="198">
        <v>5.91</v>
      </c>
      <c r="K428" s="198">
        <v>68913.070000000007</v>
      </c>
    </row>
    <row r="429" spans="3:11" x14ac:dyDescent="0.2">
      <c r="C429" s="201" t="s">
        <v>9703</v>
      </c>
      <c r="D429" s="200">
        <v>44301</v>
      </c>
      <c r="E429" s="199" t="s">
        <v>9702</v>
      </c>
      <c r="I429" s="198">
        <v>1.68</v>
      </c>
      <c r="K429" s="198">
        <v>68914.75</v>
      </c>
    </row>
    <row r="430" spans="3:11" x14ac:dyDescent="0.2">
      <c r="C430" s="201" t="s">
        <v>9701</v>
      </c>
      <c r="D430" s="200">
        <v>44301</v>
      </c>
      <c r="E430" s="199" t="s">
        <v>9700</v>
      </c>
      <c r="I430" s="198">
        <v>7.43</v>
      </c>
      <c r="K430" s="198">
        <v>68922.179999999993</v>
      </c>
    </row>
    <row r="431" spans="3:11" x14ac:dyDescent="0.2">
      <c r="C431" s="201" t="s">
        <v>9699</v>
      </c>
      <c r="D431" s="200">
        <v>44301</v>
      </c>
      <c r="E431" s="199" t="s">
        <v>9698</v>
      </c>
      <c r="I431" s="198">
        <v>3.05</v>
      </c>
      <c r="K431" s="198">
        <v>68925.23</v>
      </c>
    </row>
    <row r="432" spans="3:11" x14ac:dyDescent="0.2">
      <c r="C432" s="201" t="s">
        <v>9697</v>
      </c>
      <c r="D432" s="200">
        <v>44301</v>
      </c>
      <c r="E432" s="199" t="s">
        <v>9696</v>
      </c>
      <c r="I432" s="198">
        <v>5.49</v>
      </c>
      <c r="K432" s="198">
        <v>68930.720000000001</v>
      </c>
    </row>
    <row r="433" spans="3:11" x14ac:dyDescent="0.2">
      <c r="C433" s="201" t="s">
        <v>9695</v>
      </c>
      <c r="D433" s="200">
        <v>44301</v>
      </c>
      <c r="E433" s="199" t="s">
        <v>9694</v>
      </c>
      <c r="I433" s="198">
        <v>1.95</v>
      </c>
      <c r="K433" s="198">
        <v>68932.67</v>
      </c>
    </row>
    <row r="434" spans="3:11" x14ac:dyDescent="0.2">
      <c r="C434" s="201" t="s">
        <v>9693</v>
      </c>
      <c r="D434" s="200">
        <v>44301</v>
      </c>
      <c r="E434" s="199" t="s">
        <v>9692</v>
      </c>
      <c r="I434" s="198">
        <v>3.39</v>
      </c>
      <c r="K434" s="198">
        <v>68936.06</v>
      </c>
    </row>
    <row r="435" spans="3:11" x14ac:dyDescent="0.2">
      <c r="C435" s="201" t="s">
        <v>9691</v>
      </c>
      <c r="D435" s="200">
        <v>44301</v>
      </c>
      <c r="E435" s="199" t="s">
        <v>9690</v>
      </c>
      <c r="I435" s="198">
        <v>8.5299999999999994</v>
      </c>
      <c r="K435" s="198">
        <v>68944.59</v>
      </c>
    </row>
    <row r="436" spans="3:11" x14ac:dyDescent="0.2">
      <c r="C436" s="201" t="s">
        <v>9689</v>
      </c>
      <c r="D436" s="200">
        <v>44301</v>
      </c>
      <c r="E436" s="199" t="s">
        <v>9688</v>
      </c>
      <c r="I436" s="198">
        <v>5.28</v>
      </c>
      <c r="K436" s="198">
        <v>68949.87</v>
      </c>
    </row>
    <row r="437" spans="3:11" x14ac:dyDescent="0.2">
      <c r="C437" s="201" t="s">
        <v>9687</v>
      </c>
      <c r="D437" s="200">
        <v>44301</v>
      </c>
      <c r="E437" s="199" t="s">
        <v>9686</v>
      </c>
      <c r="I437" s="198">
        <v>2.2599999999999998</v>
      </c>
      <c r="K437" s="198">
        <v>68952.13</v>
      </c>
    </row>
    <row r="438" spans="3:11" x14ac:dyDescent="0.2">
      <c r="C438" s="201" t="s">
        <v>9685</v>
      </c>
      <c r="D438" s="200">
        <v>44301</v>
      </c>
      <c r="E438" s="199" t="s">
        <v>9684</v>
      </c>
      <c r="I438" s="198">
        <v>2.36</v>
      </c>
      <c r="K438" s="198">
        <v>68954.490000000005</v>
      </c>
    </row>
    <row r="439" spans="3:11" x14ac:dyDescent="0.2">
      <c r="C439" s="201" t="s">
        <v>9683</v>
      </c>
      <c r="D439" s="200">
        <v>44301</v>
      </c>
      <c r="E439" s="199" t="s">
        <v>9682</v>
      </c>
      <c r="I439" s="198">
        <v>11.24</v>
      </c>
      <c r="K439" s="198">
        <v>68965.73</v>
      </c>
    </row>
    <row r="440" spans="3:11" x14ac:dyDescent="0.2">
      <c r="C440" s="201" t="s">
        <v>9681</v>
      </c>
      <c r="D440" s="200">
        <v>44301</v>
      </c>
      <c r="E440" s="199" t="s">
        <v>9680</v>
      </c>
      <c r="I440" s="198">
        <v>7.45</v>
      </c>
      <c r="K440" s="198">
        <v>68973.179999999993</v>
      </c>
    </row>
    <row r="441" spans="3:11" x14ac:dyDescent="0.2">
      <c r="C441" s="201" t="s">
        <v>9679</v>
      </c>
      <c r="D441" s="200">
        <v>44301</v>
      </c>
      <c r="E441" s="199" t="s">
        <v>9678</v>
      </c>
      <c r="I441" s="198">
        <v>29.56</v>
      </c>
      <c r="K441" s="198">
        <v>69002.740000000005</v>
      </c>
    </row>
    <row r="442" spans="3:11" x14ac:dyDescent="0.2">
      <c r="C442" s="201" t="s">
        <v>9677</v>
      </c>
      <c r="D442" s="200">
        <v>44301</v>
      </c>
      <c r="E442" s="199" t="s">
        <v>9676</v>
      </c>
      <c r="I442" s="198">
        <v>1.78</v>
      </c>
      <c r="K442" s="198">
        <v>69004.52</v>
      </c>
    </row>
    <row r="443" spans="3:11" x14ac:dyDescent="0.2">
      <c r="C443" s="201" t="s">
        <v>9675</v>
      </c>
      <c r="D443" s="200">
        <v>44301</v>
      </c>
      <c r="E443" s="199" t="s">
        <v>9674</v>
      </c>
      <c r="I443" s="198">
        <v>3.78</v>
      </c>
      <c r="K443" s="198">
        <v>69008.3</v>
      </c>
    </row>
    <row r="444" spans="3:11" x14ac:dyDescent="0.2">
      <c r="C444" s="201" t="s">
        <v>9673</v>
      </c>
      <c r="D444" s="200">
        <v>44301</v>
      </c>
      <c r="E444" s="199" t="s">
        <v>9672</v>
      </c>
      <c r="I444" s="198">
        <v>5.71</v>
      </c>
      <c r="K444" s="198">
        <v>69014.009999999995</v>
      </c>
    </row>
    <row r="445" spans="3:11" x14ac:dyDescent="0.2">
      <c r="C445" s="201" t="s">
        <v>9671</v>
      </c>
      <c r="D445" s="200">
        <v>44301</v>
      </c>
      <c r="E445" s="199" t="s">
        <v>9670</v>
      </c>
      <c r="I445" s="198">
        <v>0.48</v>
      </c>
      <c r="K445" s="198">
        <v>69014.490000000005</v>
      </c>
    </row>
    <row r="446" spans="3:11" x14ac:dyDescent="0.2">
      <c r="C446" s="201" t="s">
        <v>9669</v>
      </c>
      <c r="D446" s="200">
        <v>44301</v>
      </c>
      <c r="E446" s="199" t="s">
        <v>9668</v>
      </c>
      <c r="I446" s="198">
        <v>0.23</v>
      </c>
      <c r="K446" s="198">
        <v>69014.720000000001</v>
      </c>
    </row>
    <row r="447" spans="3:11" x14ac:dyDescent="0.2">
      <c r="C447" s="201" t="s">
        <v>9667</v>
      </c>
      <c r="D447" s="200">
        <v>44301</v>
      </c>
      <c r="E447" s="199" t="s">
        <v>9666</v>
      </c>
      <c r="I447" s="198">
        <v>16.899999999999999</v>
      </c>
      <c r="K447" s="198">
        <v>69031.62</v>
      </c>
    </row>
    <row r="448" spans="3:11" x14ac:dyDescent="0.2">
      <c r="C448" s="201" t="s">
        <v>9665</v>
      </c>
      <c r="D448" s="200">
        <v>44301</v>
      </c>
      <c r="E448" s="199" t="s">
        <v>9664</v>
      </c>
      <c r="I448" s="198">
        <v>6.81</v>
      </c>
      <c r="K448" s="198">
        <v>69038.429999999993</v>
      </c>
    </row>
    <row r="449" spans="3:11" x14ac:dyDescent="0.2">
      <c r="C449" s="201" t="s">
        <v>9663</v>
      </c>
      <c r="D449" s="200">
        <v>44301</v>
      </c>
      <c r="E449" s="199" t="s">
        <v>9662</v>
      </c>
      <c r="I449" s="198">
        <v>1.68</v>
      </c>
      <c r="K449" s="198">
        <v>69040.11</v>
      </c>
    </row>
    <row r="450" spans="3:11" x14ac:dyDescent="0.2">
      <c r="C450" s="201" t="s">
        <v>9661</v>
      </c>
      <c r="D450" s="200">
        <v>44301</v>
      </c>
      <c r="E450" s="199" t="s">
        <v>9660</v>
      </c>
      <c r="I450" s="198">
        <v>8.3800000000000008</v>
      </c>
      <c r="K450" s="198">
        <v>69048.490000000005</v>
      </c>
    </row>
    <row r="451" spans="3:11" x14ac:dyDescent="0.2">
      <c r="C451" s="201" t="s">
        <v>9659</v>
      </c>
      <c r="D451" s="200">
        <v>44301</v>
      </c>
      <c r="E451" s="199" t="s">
        <v>9658</v>
      </c>
      <c r="I451" s="198">
        <v>14.99</v>
      </c>
      <c r="K451" s="198">
        <v>69063.48</v>
      </c>
    </row>
    <row r="452" spans="3:11" x14ac:dyDescent="0.2">
      <c r="C452" s="201" t="s">
        <v>9657</v>
      </c>
      <c r="D452" s="200">
        <v>44301</v>
      </c>
      <c r="E452" s="199" t="s">
        <v>9656</v>
      </c>
      <c r="I452" s="198">
        <v>0.99</v>
      </c>
      <c r="K452" s="198">
        <v>69064.47</v>
      </c>
    </row>
    <row r="453" spans="3:11" x14ac:dyDescent="0.2">
      <c r="C453" s="201" t="s">
        <v>9655</v>
      </c>
      <c r="D453" s="200">
        <v>44301</v>
      </c>
      <c r="E453" s="199" t="s">
        <v>9654</v>
      </c>
      <c r="I453" s="198">
        <v>15.3</v>
      </c>
      <c r="K453" s="198">
        <v>69079.77</v>
      </c>
    </row>
    <row r="454" spans="3:11" x14ac:dyDescent="0.2">
      <c r="C454" s="201" t="s">
        <v>9653</v>
      </c>
      <c r="D454" s="200">
        <v>44301</v>
      </c>
      <c r="E454" s="199" t="s">
        <v>9652</v>
      </c>
      <c r="I454" s="198">
        <v>13.82</v>
      </c>
      <c r="K454" s="198">
        <v>69093.59</v>
      </c>
    </row>
    <row r="455" spans="3:11" x14ac:dyDescent="0.2">
      <c r="C455" s="201" t="s">
        <v>9651</v>
      </c>
      <c r="D455" s="200">
        <v>44301</v>
      </c>
      <c r="E455" s="199" t="s">
        <v>9650</v>
      </c>
      <c r="I455" s="198">
        <v>4.1900000000000004</v>
      </c>
      <c r="K455" s="198">
        <v>69097.78</v>
      </c>
    </row>
    <row r="456" spans="3:11" x14ac:dyDescent="0.2">
      <c r="C456" s="201" t="s">
        <v>9649</v>
      </c>
      <c r="D456" s="200">
        <v>44301</v>
      </c>
      <c r="E456" s="199" t="s">
        <v>9648</v>
      </c>
      <c r="I456" s="198">
        <v>12.3</v>
      </c>
      <c r="K456" s="198">
        <v>69110.080000000002</v>
      </c>
    </row>
    <row r="457" spans="3:11" x14ac:dyDescent="0.2">
      <c r="C457" s="201" t="s">
        <v>9647</v>
      </c>
      <c r="D457" s="200">
        <v>44301</v>
      </c>
      <c r="E457" s="199" t="s">
        <v>9646</v>
      </c>
      <c r="I457" s="198">
        <v>3.44</v>
      </c>
      <c r="K457" s="198">
        <v>69113.52</v>
      </c>
    </row>
    <row r="458" spans="3:11" x14ac:dyDescent="0.2">
      <c r="C458" s="201" t="s">
        <v>9645</v>
      </c>
      <c r="D458" s="200">
        <v>44301</v>
      </c>
      <c r="E458" s="199" t="s">
        <v>9644</v>
      </c>
      <c r="I458" s="198">
        <v>3.86</v>
      </c>
      <c r="K458" s="198">
        <v>69117.38</v>
      </c>
    </row>
    <row r="459" spans="3:11" x14ac:dyDescent="0.2">
      <c r="C459" s="201" t="s">
        <v>9643</v>
      </c>
      <c r="D459" s="200">
        <v>44301</v>
      </c>
      <c r="E459" s="199" t="s">
        <v>9642</v>
      </c>
      <c r="I459" s="198">
        <v>2852.32</v>
      </c>
      <c r="K459" s="198">
        <v>71969.7</v>
      </c>
    </row>
    <row r="460" spans="3:11" x14ac:dyDescent="0.2">
      <c r="C460" s="201" t="s">
        <v>9641</v>
      </c>
      <c r="D460" s="200">
        <v>44301</v>
      </c>
      <c r="E460" s="199" t="s">
        <v>9640</v>
      </c>
      <c r="J460" s="222">
        <v>12</v>
      </c>
      <c r="K460" s="198">
        <v>71957.7</v>
      </c>
    </row>
    <row r="461" spans="3:11" x14ac:dyDescent="0.2">
      <c r="C461" s="201" t="s">
        <v>215</v>
      </c>
      <c r="D461" s="200">
        <v>44301</v>
      </c>
      <c r="E461" s="199" t="s">
        <v>9639</v>
      </c>
      <c r="J461" s="222">
        <v>9.86</v>
      </c>
      <c r="K461" s="198">
        <v>71947.839999999997</v>
      </c>
    </row>
    <row r="462" spans="3:11" x14ac:dyDescent="0.2">
      <c r="C462" s="201" t="s">
        <v>214</v>
      </c>
      <c r="D462" s="200">
        <v>44301</v>
      </c>
      <c r="E462" s="199" t="s">
        <v>9638</v>
      </c>
      <c r="J462" s="222">
        <v>28.5</v>
      </c>
      <c r="K462" s="198">
        <v>71919.34</v>
      </c>
    </row>
    <row r="463" spans="3:11" x14ac:dyDescent="0.2">
      <c r="C463" s="201" t="s">
        <v>213</v>
      </c>
      <c r="D463" s="200">
        <v>44301</v>
      </c>
      <c r="E463" s="199" t="s">
        <v>9637</v>
      </c>
      <c r="J463" s="222">
        <v>26.27</v>
      </c>
      <c r="K463" s="198">
        <v>71893.070000000007</v>
      </c>
    </row>
    <row r="464" spans="3:11" x14ac:dyDescent="0.2">
      <c r="C464" s="201" t="s">
        <v>1531</v>
      </c>
      <c r="D464" s="200">
        <v>44301</v>
      </c>
      <c r="E464" s="199" t="s">
        <v>9636</v>
      </c>
      <c r="J464" s="222">
        <v>16.329999999999998</v>
      </c>
      <c r="K464" s="198">
        <v>71876.740000000005</v>
      </c>
    </row>
    <row r="465" spans="3:11" x14ac:dyDescent="0.2">
      <c r="C465" s="201" t="s">
        <v>9635</v>
      </c>
      <c r="D465" s="200">
        <v>44301</v>
      </c>
      <c r="E465" s="199" t="s">
        <v>9634</v>
      </c>
      <c r="J465" s="222">
        <v>8.51</v>
      </c>
      <c r="K465" s="198">
        <v>71868.23</v>
      </c>
    </row>
    <row r="466" spans="3:11" x14ac:dyDescent="0.2">
      <c r="C466" s="201" t="s">
        <v>8280</v>
      </c>
      <c r="D466" s="200">
        <v>44301</v>
      </c>
      <c r="E466" s="199" t="s">
        <v>9633</v>
      </c>
      <c r="J466" s="222">
        <v>13.52</v>
      </c>
      <c r="K466" s="198">
        <v>71854.710000000006</v>
      </c>
    </row>
    <row r="467" spans="3:11" x14ac:dyDescent="0.2">
      <c r="C467" s="201" t="s">
        <v>7051</v>
      </c>
      <c r="D467" s="200">
        <v>44301</v>
      </c>
      <c r="E467" s="199" t="s">
        <v>9632</v>
      </c>
      <c r="J467" s="222">
        <v>11.09</v>
      </c>
      <c r="K467" s="198">
        <v>71843.62</v>
      </c>
    </row>
    <row r="468" spans="3:11" x14ac:dyDescent="0.2">
      <c r="C468" s="201" t="s">
        <v>7049</v>
      </c>
      <c r="D468" s="200">
        <v>44301</v>
      </c>
      <c r="E468" s="199" t="s">
        <v>9631</v>
      </c>
      <c r="J468" s="222">
        <v>15.46</v>
      </c>
      <c r="K468" s="198">
        <v>71828.160000000003</v>
      </c>
    </row>
    <row r="469" spans="3:11" x14ac:dyDescent="0.2">
      <c r="C469" s="201" t="s">
        <v>6751</v>
      </c>
      <c r="D469" s="200">
        <v>44301</v>
      </c>
      <c r="E469" s="199" t="s">
        <v>9630</v>
      </c>
      <c r="J469" s="222">
        <v>1174.8800000000001</v>
      </c>
      <c r="K469" s="198">
        <v>70653.279999999999</v>
      </c>
    </row>
    <row r="470" spans="3:11" x14ac:dyDescent="0.2">
      <c r="C470" s="201" t="s">
        <v>6600</v>
      </c>
      <c r="D470" s="200">
        <v>44301</v>
      </c>
      <c r="E470" s="199" t="s">
        <v>9629</v>
      </c>
      <c r="J470" s="222">
        <v>1634.38</v>
      </c>
      <c r="K470" s="198">
        <v>69018.899999999994</v>
      </c>
    </row>
    <row r="471" spans="3:11" x14ac:dyDescent="0.2">
      <c r="C471" s="201" t="s">
        <v>6598</v>
      </c>
      <c r="D471" s="200">
        <v>44301</v>
      </c>
      <c r="E471" s="199" t="s">
        <v>9628</v>
      </c>
      <c r="J471" s="222">
        <v>21.9</v>
      </c>
      <c r="K471" s="198">
        <v>68997</v>
      </c>
    </row>
    <row r="472" spans="3:11" x14ac:dyDescent="0.2">
      <c r="C472" s="201" t="s">
        <v>1536</v>
      </c>
      <c r="D472" s="200">
        <v>44301</v>
      </c>
      <c r="E472" s="199" t="s">
        <v>9627</v>
      </c>
      <c r="J472" s="222">
        <v>432.33</v>
      </c>
      <c r="K472" s="198">
        <v>68564.67</v>
      </c>
    </row>
    <row r="473" spans="3:11" x14ac:dyDescent="0.2">
      <c r="C473" s="201" t="s">
        <v>1535</v>
      </c>
      <c r="D473" s="200">
        <v>44301</v>
      </c>
      <c r="E473" s="199" t="s">
        <v>9626</v>
      </c>
      <c r="J473" s="222">
        <v>571</v>
      </c>
      <c r="K473" s="198">
        <v>67993.67</v>
      </c>
    </row>
    <row r="474" spans="3:11" x14ac:dyDescent="0.2">
      <c r="C474" s="201" t="s">
        <v>1534</v>
      </c>
      <c r="D474" s="200">
        <v>44301</v>
      </c>
      <c r="E474" s="199" t="s">
        <v>9625</v>
      </c>
      <c r="J474" s="222">
        <v>116.99</v>
      </c>
      <c r="K474" s="198">
        <v>67876.679999999993</v>
      </c>
    </row>
    <row r="475" spans="3:11" x14ac:dyDescent="0.2">
      <c r="C475" s="201" t="s">
        <v>6819</v>
      </c>
      <c r="D475" s="200">
        <v>44301</v>
      </c>
      <c r="E475" s="199" t="s">
        <v>9624</v>
      </c>
      <c r="J475" s="222">
        <v>2800</v>
      </c>
      <c r="K475" s="198">
        <v>65076.68</v>
      </c>
    </row>
    <row r="476" spans="3:11" x14ac:dyDescent="0.2">
      <c r="C476" s="201" t="s">
        <v>9623</v>
      </c>
      <c r="D476" s="200">
        <v>44301</v>
      </c>
      <c r="E476" s="199" t="s">
        <v>9622</v>
      </c>
      <c r="J476" s="222">
        <v>521.77</v>
      </c>
      <c r="K476" s="198">
        <v>64554.91</v>
      </c>
    </row>
    <row r="477" spans="3:11" x14ac:dyDescent="0.2">
      <c r="C477" s="201" t="s">
        <v>9621</v>
      </c>
      <c r="D477" s="200">
        <v>44301</v>
      </c>
      <c r="E477" s="199" t="s">
        <v>9620</v>
      </c>
      <c r="J477" s="222">
        <v>1800</v>
      </c>
      <c r="K477" s="198">
        <v>62754.91</v>
      </c>
    </row>
    <row r="478" spans="3:11" x14ac:dyDescent="0.2">
      <c r="C478" s="201" t="s">
        <v>9619</v>
      </c>
      <c r="D478" s="200">
        <v>44302</v>
      </c>
      <c r="E478" s="199" t="s">
        <v>9618</v>
      </c>
      <c r="I478" s="198">
        <v>58.25</v>
      </c>
      <c r="K478" s="198">
        <v>62813.16</v>
      </c>
    </row>
    <row r="479" spans="3:11" x14ac:dyDescent="0.2">
      <c r="C479" s="201" t="s">
        <v>9617</v>
      </c>
      <c r="D479" s="200">
        <v>44302</v>
      </c>
      <c r="E479" s="199" t="s">
        <v>9616</v>
      </c>
      <c r="I479" s="198">
        <v>8.3800000000000008</v>
      </c>
      <c r="K479" s="198">
        <v>62821.54</v>
      </c>
    </row>
    <row r="480" spans="3:11" x14ac:dyDescent="0.2">
      <c r="C480" s="201" t="s">
        <v>9615</v>
      </c>
      <c r="D480" s="200">
        <v>44302</v>
      </c>
      <c r="E480" s="199" t="s">
        <v>9614</v>
      </c>
      <c r="I480" s="198">
        <v>5.47</v>
      </c>
      <c r="K480" s="198">
        <v>62827.01</v>
      </c>
    </row>
    <row r="481" spans="3:11" x14ac:dyDescent="0.2">
      <c r="C481" s="201" t="s">
        <v>9613</v>
      </c>
      <c r="D481" s="200">
        <v>44302</v>
      </c>
      <c r="E481" s="199" t="s">
        <v>9612</v>
      </c>
      <c r="I481" s="198">
        <v>3.74</v>
      </c>
      <c r="K481" s="198">
        <v>62830.75</v>
      </c>
    </row>
    <row r="482" spans="3:11" x14ac:dyDescent="0.2">
      <c r="C482" s="201" t="s">
        <v>9611</v>
      </c>
      <c r="D482" s="200">
        <v>44302</v>
      </c>
      <c r="E482" s="199" t="s">
        <v>9610</v>
      </c>
      <c r="I482" s="198">
        <v>4.41</v>
      </c>
      <c r="K482" s="198">
        <v>62835.16</v>
      </c>
    </row>
    <row r="483" spans="3:11" x14ac:dyDescent="0.2">
      <c r="C483" s="201" t="s">
        <v>9609</v>
      </c>
      <c r="D483" s="200">
        <v>44302</v>
      </c>
      <c r="E483" s="199" t="s">
        <v>9608</v>
      </c>
      <c r="I483" s="198">
        <v>2.11</v>
      </c>
      <c r="K483" s="198">
        <v>62837.27</v>
      </c>
    </row>
    <row r="484" spans="3:11" x14ac:dyDescent="0.2">
      <c r="C484" s="201" t="s">
        <v>9607</v>
      </c>
      <c r="D484" s="200">
        <v>44302</v>
      </c>
      <c r="E484" s="199" t="s">
        <v>9606</v>
      </c>
      <c r="I484" s="198">
        <v>12.41</v>
      </c>
      <c r="K484" s="198">
        <v>62849.68</v>
      </c>
    </row>
    <row r="485" spans="3:11" x14ac:dyDescent="0.2">
      <c r="C485" s="201" t="s">
        <v>9605</v>
      </c>
      <c r="D485" s="200">
        <v>44302</v>
      </c>
      <c r="E485" s="199" t="s">
        <v>9604</v>
      </c>
      <c r="I485" s="198">
        <v>19.39</v>
      </c>
      <c r="K485" s="198">
        <v>62869.07</v>
      </c>
    </row>
    <row r="486" spans="3:11" x14ac:dyDescent="0.2">
      <c r="C486" s="201" t="s">
        <v>9603</v>
      </c>
      <c r="D486" s="200">
        <v>44302</v>
      </c>
      <c r="E486" s="199" t="s">
        <v>9602</v>
      </c>
      <c r="I486" s="198">
        <v>7.67</v>
      </c>
      <c r="K486" s="198">
        <v>62876.74</v>
      </c>
    </row>
    <row r="487" spans="3:11" x14ac:dyDescent="0.2">
      <c r="C487" s="201" t="s">
        <v>9601</v>
      </c>
      <c r="D487" s="200">
        <v>44302</v>
      </c>
      <c r="E487" s="199" t="s">
        <v>9600</v>
      </c>
      <c r="I487" s="198">
        <v>13.45</v>
      </c>
      <c r="K487" s="198">
        <v>62890.19</v>
      </c>
    </row>
    <row r="488" spans="3:11" x14ac:dyDescent="0.2">
      <c r="C488" s="201" t="s">
        <v>9599</v>
      </c>
      <c r="D488" s="200">
        <v>44302</v>
      </c>
      <c r="E488" s="199" t="s">
        <v>9598</v>
      </c>
      <c r="I488" s="198">
        <v>1.94</v>
      </c>
      <c r="K488" s="198">
        <v>62892.13</v>
      </c>
    </row>
    <row r="489" spans="3:11" x14ac:dyDescent="0.2">
      <c r="C489" s="201" t="s">
        <v>9597</v>
      </c>
      <c r="D489" s="200">
        <v>44302</v>
      </c>
      <c r="E489" s="199" t="s">
        <v>9596</v>
      </c>
      <c r="I489" s="198">
        <v>5.63</v>
      </c>
      <c r="K489" s="198">
        <v>62897.760000000002</v>
      </c>
    </row>
    <row r="490" spans="3:11" x14ac:dyDescent="0.2">
      <c r="C490" s="201" t="s">
        <v>9595</v>
      </c>
      <c r="D490" s="200">
        <v>44302</v>
      </c>
      <c r="E490" s="199" t="s">
        <v>9594</v>
      </c>
      <c r="I490" s="198">
        <v>9.61</v>
      </c>
      <c r="K490" s="198">
        <v>62907.37</v>
      </c>
    </row>
    <row r="491" spans="3:11" x14ac:dyDescent="0.2">
      <c r="C491" s="201" t="s">
        <v>9593</v>
      </c>
      <c r="D491" s="200">
        <v>44302</v>
      </c>
      <c r="E491" s="199" t="s">
        <v>9592</v>
      </c>
      <c r="I491" s="198">
        <v>3.54</v>
      </c>
      <c r="K491" s="198">
        <v>62910.91</v>
      </c>
    </row>
    <row r="492" spans="3:11" x14ac:dyDescent="0.2">
      <c r="C492" s="201" t="s">
        <v>9591</v>
      </c>
      <c r="D492" s="200">
        <v>44302</v>
      </c>
      <c r="E492" s="199" t="s">
        <v>9590</v>
      </c>
      <c r="I492" s="198">
        <v>4.97</v>
      </c>
      <c r="K492" s="198">
        <v>62915.88</v>
      </c>
    </row>
    <row r="493" spans="3:11" x14ac:dyDescent="0.2">
      <c r="C493" s="201" t="s">
        <v>9589</v>
      </c>
      <c r="D493" s="200">
        <v>44302</v>
      </c>
      <c r="E493" s="199" t="s">
        <v>9588</v>
      </c>
      <c r="I493" s="198">
        <v>1.36</v>
      </c>
      <c r="K493" s="198">
        <v>62917.24</v>
      </c>
    </row>
    <row r="494" spans="3:11" x14ac:dyDescent="0.2">
      <c r="C494" s="201" t="s">
        <v>9587</v>
      </c>
      <c r="D494" s="200">
        <v>44302</v>
      </c>
      <c r="E494" s="199" t="s">
        <v>9586</v>
      </c>
      <c r="I494" s="198">
        <v>5.07</v>
      </c>
      <c r="K494" s="198">
        <v>62922.31</v>
      </c>
    </row>
    <row r="495" spans="3:11" x14ac:dyDescent="0.2">
      <c r="C495" s="201" t="s">
        <v>9585</v>
      </c>
      <c r="D495" s="200">
        <v>44302</v>
      </c>
      <c r="E495" s="199" t="s">
        <v>9584</v>
      </c>
      <c r="I495" s="198">
        <v>1.87</v>
      </c>
      <c r="K495" s="198">
        <v>62924.18</v>
      </c>
    </row>
    <row r="496" spans="3:11" x14ac:dyDescent="0.2">
      <c r="C496" s="201" t="s">
        <v>9583</v>
      </c>
      <c r="D496" s="200">
        <v>44302</v>
      </c>
      <c r="E496" s="199" t="s">
        <v>9582</v>
      </c>
      <c r="I496" s="198">
        <v>5.3</v>
      </c>
      <c r="K496" s="198">
        <v>62929.48</v>
      </c>
    </row>
    <row r="497" spans="3:11" x14ac:dyDescent="0.2">
      <c r="C497" s="201" t="s">
        <v>9581</v>
      </c>
      <c r="D497" s="200">
        <v>44302</v>
      </c>
      <c r="E497" s="199" t="s">
        <v>9580</v>
      </c>
      <c r="I497" s="198">
        <v>34.92</v>
      </c>
      <c r="K497" s="198">
        <v>62964.4</v>
      </c>
    </row>
    <row r="498" spans="3:11" x14ac:dyDescent="0.2">
      <c r="C498" s="201" t="s">
        <v>9579</v>
      </c>
      <c r="D498" s="200">
        <v>44302</v>
      </c>
      <c r="E498" s="199" t="s">
        <v>9578</v>
      </c>
      <c r="I498" s="198">
        <v>1.68</v>
      </c>
      <c r="K498" s="198">
        <v>62966.080000000002</v>
      </c>
    </row>
    <row r="499" spans="3:11" x14ac:dyDescent="0.2">
      <c r="C499" s="201" t="s">
        <v>9577</v>
      </c>
      <c r="D499" s="200">
        <v>44302</v>
      </c>
      <c r="E499" s="199" t="s">
        <v>9576</v>
      </c>
      <c r="I499" s="198">
        <v>1.97</v>
      </c>
      <c r="K499" s="198">
        <v>62968.05</v>
      </c>
    </row>
    <row r="500" spans="3:11" x14ac:dyDescent="0.2">
      <c r="C500" s="201" t="s">
        <v>9575</v>
      </c>
      <c r="D500" s="200">
        <v>44302</v>
      </c>
      <c r="E500" s="199" t="s">
        <v>9574</v>
      </c>
      <c r="I500" s="198">
        <v>4.3</v>
      </c>
      <c r="K500" s="198">
        <v>62972.35</v>
      </c>
    </row>
    <row r="501" spans="3:11" x14ac:dyDescent="0.2">
      <c r="C501" s="201" t="s">
        <v>9573</v>
      </c>
      <c r="D501" s="200">
        <v>44302</v>
      </c>
      <c r="E501" s="199" t="s">
        <v>9572</v>
      </c>
      <c r="I501" s="198">
        <v>2.67</v>
      </c>
      <c r="K501" s="198">
        <v>62975.02</v>
      </c>
    </row>
    <row r="502" spans="3:11" x14ac:dyDescent="0.2">
      <c r="C502" s="201" t="s">
        <v>9571</v>
      </c>
      <c r="D502" s="200">
        <v>44302</v>
      </c>
      <c r="E502" s="199" t="s">
        <v>9570</v>
      </c>
      <c r="I502" s="198">
        <v>12.3</v>
      </c>
      <c r="K502" s="198">
        <v>62987.32</v>
      </c>
    </row>
    <row r="503" spans="3:11" x14ac:dyDescent="0.2">
      <c r="C503" s="201" t="s">
        <v>9569</v>
      </c>
      <c r="D503" s="200">
        <v>44302</v>
      </c>
      <c r="E503" s="199" t="s">
        <v>9568</v>
      </c>
      <c r="I503" s="198">
        <v>2.34</v>
      </c>
      <c r="K503" s="198">
        <v>62989.66</v>
      </c>
    </row>
    <row r="504" spans="3:11" x14ac:dyDescent="0.2">
      <c r="C504" s="201" t="s">
        <v>9567</v>
      </c>
      <c r="D504" s="200">
        <v>44302</v>
      </c>
      <c r="E504" s="199" t="s">
        <v>9566</v>
      </c>
      <c r="I504" s="198">
        <v>3.66</v>
      </c>
      <c r="K504" s="198">
        <v>62993.32</v>
      </c>
    </row>
    <row r="505" spans="3:11" x14ac:dyDescent="0.2">
      <c r="C505" s="201" t="s">
        <v>9565</v>
      </c>
      <c r="D505" s="200">
        <v>44302</v>
      </c>
      <c r="E505" s="199" t="s">
        <v>9564</v>
      </c>
      <c r="I505" s="198">
        <v>8.02</v>
      </c>
      <c r="K505" s="198">
        <v>63001.34</v>
      </c>
    </row>
    <row r="506" spans="3:11" x14ac:dyDescent="0.2">
      <c r="C506" s="201" t="s">
        <v>9563</v>
      </c>
      <c r="D506" s="200">
        <v>44302</v>
      </c>
      <c r="E506" s="199" t="s">
        <v>9562</v>
      </c>
      <c r="I506" s="198">
        <v>85.88</v>
      </c>
      <c r="K506" s="198">
        <v>63087.22</v>
      </c>
    </row>
    <row r="507" spans="3:11" x14ac:dyDescent="0.2">
      <c r="C507" s="201" t="s">
        <v>9561</v>
      </c>
      <c r="D507" s="200">
        <v>44302</v>
      </c>
      <c r="E507" s="199" t="s">
        <v>9560</v>
      </c>
      <c r="I507" s="198">
        <v>48.75</v>
      </c>
      <c r="K507" s="198">
        <v>63135.97</v>
      </c>
    </row>
    <row r="508" spans="3:11" x14ac:dyDescent="0.2">
      <c r="C508" s="201" t="s">
        <v>9559</v>
      </c>
      <c r="D508" s="200">
        <v>44302</v>
      </c>
      <c r="E508" s="199" t="s">
        <v>9558</v>
      </c>
      <c r="I508" s="198">
        <v>59.67</v>
      </c>
      <c r="K508" s="198">
        <v>63195.64</v>
      </c>
    </row>
    <row r="509" spans="3:11" x14ac:dyDescent="0.2">
      <c r="C509" s="201" t="s">
        <v>9557</v>
      </c>
      <c r="D509" s="200">
        <v>44302</v>
      </c>
      <c r="E509" s="199" t="s">
        <v>9556</v>
      </c>
      <c r="I509" s="198">
        <v>1.68</v>
      </c>
      <c r="K509" s="198">
        <v>63197.32</v>
      </c>
    </row>
    <row r="510" spans="3:11" x14ac:dyDescent="0.2">
      <c r="C510" s="201" t="s">
        <v>9555</v>
      </c>
      <c r="D510" s="200">
        <v>44302</v>
      </c>
      <c r="E510" s="199" t="s">
        <v>9554</v>
      </c>
      <c r="I510" s="198">
        <v>8.3800000000000008</v>
      </c>
      <c r="K510" s="198">
        <v>63205.7</v>
      </c>
    </row>
    <row r="511" spans="3:11" x14ac:dyDescent="0.2">
      <c r="C511" s="201" t="s">
        <v>300</v>
      </c>
      <c r="D511" s="200">
        <v>44302</v>
      </c>
      <c r="E511" s="199" t="s">
        <v>9553</v>
      </c>
      <c r="J511" s="222">
        <v>83.73</v>
      </c>
      <c r="K511" s="198">
        <v>63121.97</v>
      </c>
    </row>
    <row r="512" spans="3:11" x14ac:dyDescent="0.2">
      <c r="C512" s="201" t="s">
        <v>9552</v>
      </c>
      <c r="D512" s="200">
        <v>44303</v>
      </c>
      <c r="E512" s="199" t="s">
        <v>9551</v>
      </c>
      <c r="I512" s="198">
        <v>2.02</v>
      </c>
      <c r="K512" s="198">
        <v>63123.99</v>
      </c>
    </row>
    <row r="513" spans="3:11" x14ac:dyDescent="0.2">
      <c r="C513" s="201" t="s">
        <v>9550</v>
      </c>
      <c r="D513" s="200">
        <v>44303</v>
      </c>
      <c r="E513" s="199" t="s">
        <v>9549</v>
      </c>
      <c r="I513" s="198">
        <v>2.99</v>
      </c>
      <c r="K513" s="198">
        <v>63126.98</v>
      </c>
    </row>
    <row r="514" spans="3:11" x14ac:dyDescent="0.2">
      <c r="C514" s="201" t="s">
        <v>9548</v>
      </c>
      <c r="D514" s="200">
        <v>44303</v>
      </c>
      <c r="E514" s="199" t="s">
        <v>9547</v>
      </c>
      <c r="I514" s="198">
        <v>1.68</v>
      </c>
      <c r="K514" s="198">
        <v>63128.66</v>
      </c>
    </row>
    <row r="515" spans="3:11" x14ac:dyDescent="0.2">
      <c r="C515" s="201" t="s">
        <v>9546</v>
      </c>
      <c r="D515" s="200">
        <v>44303</v>
      </c>
      <c r="E515" s="199" t="s">
        <v>9545</v>
      </c>
      <c r="I515" s="198">
        <v>13.46</v>
      </c>
      <c r="K515" s="198">
        <v>63142.12</v>
      </c>
    </row>
    <row r="516" spans="3:11" x14ac:dyDescent="0.2">
      <c r="C516" s="201" t="s">
        <v>9544</v>
      </c>
      <c r="D516" s="200">
        <v>44303</v>
      </c>
      <c r="E516" s="199" t="s">
        <v>9543</v>
      </c>
      <c r="I516" s="198">
        <v>0.54</v>
      </c>
      <c r="K516" s="198">
        <v>63142.66</v>
      </c>
    </row>
    <row r="517" spans="3:11" x14ac:dyDescent="0.2">
      <c r="C517" s="201" t="s">
        <v>9542</v>
      </c>
      <c r="D517" s="200">
        <v>44303</v>
      </c>
      <c r="E517" s="199" t="s">
        <v>9541</v>
      </c>
      <c r="I517" s="198">
        <v>0.28999999999999998</v>
      </c>
      <c r="K517" s="198">
        <v>63142.95</v>
      </c>
    </row>
    <row r="518" spans="3:11" x14ac:dyDescent="0.2">
      <c r="C518" s="201" t="s">
        <v>9540</v>
      </c>
      <c r="D518" s="200">
        <v>44303</v>
      </c>
      <c r="E518" s="199" t="s">
        <v>9539</v>
      </c>
      <c r="I518" s="198">
        <v>3.98</v>
      </c>
      <c r="K518" s="198">
        <v>63146.93</v>
      </c>
    </row>
    <row r="519" spans="3:11" x14ac:dyDescent="0.2">
      <c r="C519" s="201" t="s">
        <v>9538</v>
      </c>
      <c r="D519" s="200">
        <v>44303</v>
      </c>
      <c r="E519" s="199" t="s">
        <v>9537</v>
      </c>
      <c r="I519" s="198">
        <v>3.75</v>
      </c>
      <c r="K519" s="198">
        <v>63150.68</v>
      </c>
    </row>
    <row r="520" spans="3:11" x14ac:dyDescent="0.2">
      <c r="C520" s="201" t="s">
        <v>9536</v>
      </c>
      <c r="D520" s="200">
        <v>44303</v>
      </c>
      <c r="E520" s="199" t="s">
        <v>9535</v>
      </c>
      <c r="I520" s="198">
        <v>8.7100000000000009</v>
      </c>
      <c r="K520" s="198">
        <v>63159.39</v>
      </c>
    </row>
    <row r="521" spans="3:11" x14ac:dyDescent="0.2">
      <c r="C521" s="201" t="s">
        <v>9534</v>
      </c>
      <c r="D521" s="200">
        <v>44303</v>
      </c>
      <c r="E521" s="199" t="s">
        <v>9533</v>
      </c>
      <c r="I521" s="198">
        <v>2.5099999999999998</v>
      </c>
      <c r="K521" s="198">
        <v>63161.9</v>
      </c>
    </row>
    <row r="522" spans="3:11" x14ac:dyDescent="0.2">
      <c r="C522" s="201" t="s">
        <v>9532</v>
      </c>
      <c r="D522" s="200">
        <v>44303</v>
      </c>
      <c r="E522" s="199" t="s">
        <v>9531</v>
      </c>
      <c r="I522" s="198">
        <v>3.56</v>
      </c>
      <c r="K522" s="198">
        <v>63165.46</v>
      </c>
    </row>
    <row r="523" spans="3:11" x14ac:dyDescent="0.2">
      <c r="C523" s="201" t="s">
        <v>9530</v>
      </c>
      <c r="D523" s="200">
        <v>44303</v>
      </c>
      <c r="E523" s="199" t="s">
        <v>9529</v>
      </c>
      <c r="I523" s="198">
        <v>16</v>
      </c>
      <c r="K523" s="198">
        <v>63181.46</v>
      </c>
    </row>
    <row r="524" spans="3:11" x14ac:dyDescent="0.2">
      <c r="C524" s="201" t="s">
        <v>9528</v>
      </c>
      <c r="D524" s="200">
        <v>44303</v>
      </c>
      <c r="E524" s="199" t="s">
        <v>9527</v>
      </c>
      <c r="J524" s="222">
        <v>7.49</v>
      </c>
      <c r="K524" s="198">
        <v>63173.97</v>
      </c>
    </row>
    <row r="525" spans="3:11" x14ac:dyDescent="0.2">
      <c r="C525" s="201" t="s">
        <v>9526</v>
      </c>
      <c r="D525" s="200">
        <v>44304</v>
      </c>
      <c r="E525" s="199" t="s">
        <v>9525</v>
      </c>
      <c r="I525" s="198">
        <v>30.28</v>
      </c>
      <c r="K525" s="198">
        <v>63204.25</v>
      </c>
    </row>
    <row r="526" spans="3:11" x14ac:dyDescent="0.2">
      <c r="C526" s="201" t="s">
        <v>9524</v>
      </c>
      <c r="D526" s="200">
        <v>44304</v>
      </c>
      <c r="E526" s="199" t="s">
        <v>9523</v>
      </c>
      <c r="I526" s="198">
        <v>2.31</v>
      </c>
      <c r="K526" s="198">
        <v>63206.559999999998</v>
      </c>
    </row>
    <row r="527" spans="3:11" x14ac:dyDescent="0.2">
      <c r="C527" s="201" t="s">
        <v>9522</v>
      </c>
      <c r="D527" s="200">
        <v>44304</v>
      </c>
      <c r="E527" s="199" t="s">
        <v>9521</v>
      </c>
      <c r="I527" s="198">
        <v>3.9</v>
      </c>
      <c r="K527" s="198">
        <v>63210.46</v>
      </c>
    </row>
    <row r="528" spans="3:11" x14ac:dyDescent="0.2">
      <c r="C528" s="201" t="s">
        <v>9520</v>
      </c>
      <c r="D528" s="200">
        <v>44304</v>
      </c>
      <c r="E528" s="199" t="s">
        <v>9519</v>
      </c>
      <c r="I528" s="198">
        <v>5.3</v>
      </c>
      <c r="K528" s="198">
        <v>63215.76</v>
      </c>
    </row>
    <row r="529" spans="3:11" x14ac:dyDescent="0.2">
      <c r="C529" s="201" t="s">
        <v>9518</v>
      </c>
      <c r="D529" s="200">
        <v>44304</v>
      </c>
      <c r="E529" s="199" t="s">
        <v>9517</v>
      </c>
      <c r="I529" s="198">
        <v>14.93</v>
      </c>
      <c r="K529" s="198">
        <v>63230.69</v>
      </c>
    </row>
    <row r="530" spans="3:11" x14ac:dyDescent="0.2">
      <c r="C530" s="201" t="s">
        <v>9516</v>
      </c>
      <c r="D530" s="200">
        <v>44305</v>
      </c>
      <c r="E530" s="199" t="s">
        <v>9515</v>
      </c>
      <c r="I530" s="198">
        <v>9.74</v>
      </c>
      <c r="K530" s="198">
        <v>63240.43</v>
      </c>
    </row>
    <row r="531" spans="3:11" x14ac:dyDescent="0.2">
      <c r="C531" s="201" t="s">
        <v>9514</v>
      </c>
      <c r="D531" s="200">
        <v>44305</v>
      </c>
      <c r="E531" s="199" t="s">
        <v>9513</v>
      </c>
      <c r="I531" s="198">
        <v>5.57</v>
      </c>
      <c r="K531" s="198">
        <v>63246</v>
      </c>
    </row>
    <row r="532" spans="3:11" x14ac:dyDescent="0.2">
      <c r="C532" s="201" t="s">
        <v>9512</v>
      </c>
      <c r="D532" s="200">
        <v>44305</v>
      </c>
      <c r="E532" s="199" t="s">
        <v>9511</v>
      </c>
      <c r="I532" s="198">
        <v>2.2200000000000002</v>
      </c>
      <c r="K532" s="198">
        <v>63248.22</v>
      </c>
    </row>
    <row r="533" spans="3:11" x14ac:dyDescent="0.2">
      <c r="C533" s="201" t="s">
        <v>9510</v>
      </c>
      <c r="D533" s="200">
        <v>44305</v>
      </c>
      <c r="E533" s="199" t="s">
        <v>9509</v>
      </c>
      <c r="I533" s="198">
        <v>15.13</v>
      </c>
      <c r="K533" s="198">
        <v>63263.35</v>
      </c>
    </row>
    <row r="534" spans="3:11" x14ac:dyDescent="0.2">
      <c r="C534" s="201" t="s">
        <v>9508</v>
      </c>
      <c r="D534" s="200">
        <v>44305</v>
      </c>
      <c r="E534" s="199" t="s">
        <v>9507</v>
      </c>
      <c r="I534" s="198">
        <v>1.04</v>
      </c>
      <c r="K534" s="198">
        <v>63264.39</v>
      </c>
    </row>
    <row r="535" spans="3:11" x14ac:dyDescent="0.2">
      <c r="C535" s="201" t="s">
        <v>9506</v>
      </c>
      <c r="D535" s="200">
        <v>44305</v>
      </c>
      <c r="E535" s="199" t="s">
        <v>9505</v>
      </c>
      <c r="I535" s="198">
        <v>18</v>
      </c>
      <c r="K535" s="198">
        <v>63282.39</v>
      </c>
    </row>
    <row r="536" spans="3:11" x14ac:dyDescent="0.2">
      <c r="C536" s="201" t="s">
        <v>9504</v>
      </c>
      <c r="D536" s="200">
        <v>44305</v>
      </c>
      <c r="E536" s="199" t="s">
        <v>9503</v>
      </c>
      <c r="I536" s="198">
        <v>24.08</v>
      </c>
      <c r="K536" s="198">
        <v>63306.47</v>
      </c>
    </row>
    <row r="537" spans="3:11" x14ac:dyDescent="0.2">
      <c r="C537" s="201" t="s">
        <v>9502</v>
      </c>
      <c r="D537" s="200">
        <v>44305</v>
      </c>
      <c r="E537" s="199" t="s">
        <v>9501</v>
      </c>
      <c r="I537" s="198">
        <v>8.07</v>
      </c>
      <c r="K537" s="198">
        <v>63314.54</v>
      </c>
    </row>
    <row r="538" spans="3:11" x14ac:dyDescent="0.2">
      <c r="C538" s="201" t="s">
        <v>9500</v>
      </c>
      <c r="D538" s="200">
        <v>44305</v>
      </c>
      <c r="E538" s="199" t="s">
        <v>9499</v>
      </c>
      <c r="I538" s="198">
        <v>16.68</v>
      </c>
      <c r="K538" s="198">
        <v>63331.22</v>
      </c>
    </row>
    <row r="539" spans="3:11" x14ac:dyDescent="0.2">
      <c r="C539" s="201" t="s">
        <v>9498</v>
      </c>
      <c r="D539" s="200">
        <v>44305</v>
      </c>
      <c r="E539" s="199" t="s">
        <v>9497</v>
      </c>
      <c r="I539" s="198">
        <v>1.79</v>
      </c>
      <c r="K539" s="198">
        <v>63333.01</v>
      </c>
    </row>
    <row r="540" spans="3:11" x14ac:dyDescent="0.2">
      <c r="C540" s="201" t="s">
        <v>9496</v>
      </c>
      <c r="D540" s="200">
        <v>44305</v>
      </c>
      <c r="E540" s="199" t="s">
        <v>9495</v>
      </c>
      <c r="I540" s="198">
        <v>58.36</v>
      </c>
      <c r="K540" s="198">
        <v>63391.37</v>
      </c>
    </row>
    <row r="541" spans="3:11" x14ac:dyDescent="0.2">
      <c r="C541" s="201" t="s">
        <v>9494</v>
      </c>
      <c r="D541" s="200">
        <v>44305</v>
      </c>
      <c r="E541" s="199" t="s">
        <v>9493</v>
      </c>
      <c r="I541" s="198">
        <v>29.03</v>
      </c>
      <c r="K541" s="198">
        <v>63420.4</v>
      </c>
    </row>
    <row r="542" spans="3:11" x14ac:dyDescent="0.2">
      <c r="C542" s="201" t="s">
        <v>9492</v>
      </c>
      <c r="D542" s="200">
        <v>44305</v>
      </c>
      <c r="E542" s="199" t="s">
        <v>9491</v>
      </c>
      <c r="I542" s="198">
        <v>9.7200000000000006</v>
      </c>
      <c r="K542" s="198">
        <v>63430.12</v>
      </c>
    </row>
    <row r="543" spans="3:11" x14ac:dyDescent="0.2">
      <c r="C543" s="201" t="s">
        <v>9490</v>
      </c>
      <c r="D543" s="200">
        <v>44305</v>
      </c>
      <c r="E543" s="199" t="s">
        <v>9489</v>
      </c>
      <c r="I543" s="198">
        <v>4.18</v>
      </c>
      <c r="K543" s="198">
        <v>63434.3</v>
      </c>
    </row>
    <row r="544" spans="3:11" x14ac:dyDescent="0.2">
      <c r="C544" s="201" t="s">
        <v>9488</v>
      </c>
      <c r="D544" s="200">
        <v>44305</v>
      </c>
      <c r="E544" s="199" t="s">
        <v>9487</v>
      </c>
      <c r="I544" s="198">
        <v>3.7</v>
      </c>
      <c r="K544" s="198">
        <v>63438</v>
      </c>
    </row>
    <row r="545" spans="3:11" x14ac:dyDescent="0.2">
      <c r="C545" s="201" t="s">
        <v>9486</v>
      </c>
      <c r="D545" s="200">
        <v>44305</v>
      </c>
      <c r="E545" s="199" t="s">
        <v>9485</v>
      </c>
      <c r="I545" s="198">
        <v>4.5199999999999996</v>
      </c>
      <c r="K545" s="198">
        <v>63442.52</v>
      </c>
    </row>
    <row r="546" spans="3:11" x14ac:dyDescent="0.2">
      <c r="C546" s="201" t="s">
        <v>9484</v>
      </c>
      <c r="D546" s="200">
        <v>44305</v>
      </c>
      <c r="E546" s="199" t="s">
        <v>9483</v>
      </c>
      <c r="I546" s="198">
        <v>13.55</v>
      </c>
      <c r="K546" s="198">
        <v>63456.07</v>
      </c>
    </row>
    <row r="547" spans="3:11" x14ac:dyDescent="0.2">
      <c r="C547" s="201" t="s">
        <v>9482</v>
      </c>
      <c r="D547" s="200">
        <v>44305</v>
      </c>
      <c r="E547" s="199" t="s">
        <v>9481</v>
      </c>
      <c r="I547" s="198">
        <v>2.58</v>
      </c>
      <c r="K547" s="198">
        <v>63458.65</v>
      </c>
    </row>
    <row r="548" spans="3:11" x14ac:dyDescent="0.2">
      <c r="C548" s="201" t="s">
        <v>9480</v>
      </c>
      <c r="D548" s="200">
        <v>44305</v>
      </c>
      <c r="E548" s="199" t="s">
        <v>9479</v>
      </c>
      <c r="I548" s="198">
        <v>5.34</v>
      </c>
      <c r="K548" s="198">
        <v>63463.99</v>
      </c>
    </row>
    <row r="549" spans="3:11" x14ac:dyDescent="0.2">
      <c r="C549" s="201" t="s">
        <v>9478</v>
      </c>
      <c r="D549" s="200">
        <v>44305</v>
      </c>
      <c r="E549" s="199" t="s">
        <v>9477</v>
      </c>
      <c r="I549" s="198">
        <v>2.9</v>
      </c>
      <c r="K549" s="198">
        <v>63466.89</v>
      </c>
    </row>
    <row r="550" spans="3:11" x14ac:dyDescent="0.2">
      <c r="C550" s="201" t="s">
        <v>9476</v>
      </c>
      <c r="D550" s="200">
        <v>44305</v>
      </c>
      <c r="E550" s="199" t="s">
        <v>9475</v>
      </c>
      <c r="I550" s="198">
        <v>4.79</v>
      </c>
      <c r="K550" s="198">
        <v>63471.68</v>
      </c>
    </row>
    <row r="551" spans="3:11" x14ac:dyDescent="0.2">
      <c r="C551" s="201" t="s">
        <v>9474</v>
      </c>
      <c r="D551" s="200">
        <v>44305</v>
      </c>
      <c r="E551" s="199" t="s">
        <v>9473</v>
      </c>
      <c r="I551" s="198">
        <v>8.3800000000000008</v>
      </c>
      <c r="K551" s="198">
        <v>63480.06</v>
      </c>
    </row>
    <row r="552" spans="3:11" x14ac:dyDescent="0.2">
      <c r="C552" s="201" t="s">
        <v>9472</v>
      </c>
      <c r="D552" s="200">
        <v>44305</v>
      </c>
      <c r="E552" s="199" t="s">
        <v>9471</v>
      </c>
      <c r="I552" s="198">
        <v>1.68</v>
      </c>
      <c r="K552" s="198">
        <v>63481.74</v>
      </c>
    </row>
    <row r="553" spans="3:11" x14ac:dyDescent="0.2">
      <c r="C553" s="201" t="s">
        <v>9470</v>
      </c>
      <c r="D553" s="200">
        <v>44305</v>
      </c>
      <c r="E553" s="199" t="s">
        <v>9469</v>
      </c>
      <c r="I553" s="198">
        <v>8.3800000000000008</v>
      </c>
      <c r="K553" s="198">
        <v>63490.12</v>
      </c>
    </row>
    <row r="554" spans="3:11" x14ac:dyDescent="0.2">
      <c r="C554" s="201" t="s">
        <v>9468</v>
      </c>
      <c r="D554" s="200">
        <v>44305</v>
      </c>
      <c r="E554" s="199" t="s">
        <v>9467</v>
      </c>
      <c r="I554" s="198">
        <v>5</v>
      </c>
      <c r="K554" s="198">
        <v>63495.12</v>
      </c>
    </row>
    <row r="555" spans="3:11" x14ac:dyDescent="0.2">
      <c r="C555" s="201" t="s">
        <v>9466</v>
      </c>
      <c r="D555" s="200">
        <v>44306</v>
      </c>
      <c r="E555" s="199" t="s">
        <v>9465</v>
      </c>
      <c r="I555" s="198">
        <v>5.71</v>
      </c>
      <c r="K555" s="198">
        <v>63500.83</v>
      </c>
    </row>
    <row r="556" spans="3:11" x14ac:dyDescent="0.2">
      <c r="C556" s="201" t="s">
        <v>9464</v>
      </c>
      <c r="D556" s="200">
        <v>44306</v>
      </c>
      <c r="E556" s="199" t="s">
        <v>9463</v>
      </c>
      <c r="I556" s="198">
        <v>5.62</v>
      </c>
      <c r="K556" s="198">
        <v>63506.45</v>
      </c>
    </row>
    <row r="557" spans="3:11" x14ac:dyDescent="0.2">
      <c r="C557" s="201" t="s">
        <v>9462</v>
      </c>
      <c r="D557" s="200">
        <v>44306</v>
      </c>
      <c r="E557" s="199" t="s">
        <v>9461</v>
      </c>
      <c r="I557" s="198">
        <v>5.1100000000000003</v>
      </c>
      <c r="K557" s="198">
        <v>63511.56</v>
      </c>
    </row>
    <row r="558" spans="3:11" x14ac:dyDescent="0.2">
      <c r="C558" s="201" t="s">
        <v>9460</v>
      </c>
      <c r="D558" s="200">
        <v>44306</v>
      </c>
      <c r="E558" s="199" t="s">
        <v>9459</v>
      </c>
      <c r="I558" s="198">
        <v>4.97</v>
      </c>
      <c r="K558" s="198">
        <v>63516.53</v>
      </c>
    </row>
    <row r="559" spans="3:11" x14ac:dyDescent="0.2">
      <c r="C559" s="201" t="s">
        <v>9458</v>
      </c>
      <c r="D559" s="200">
        <v>44306</v>
      </c>
      <c r="E559" s="199" t="s">
        <v>9457</v>
      </c>
      <c r="I559" s="198">
        <v>0.84</v>
      </c>
      <c r="K559" s="198">
        <v>63517.37</v>
      </c>
    </row>
    <row r="560" spans="3:11" x14ac:dyDescent="0.2">
      <c r="C560" s="201" t="s">
        <v>9456</v>
      </c>
      <c r="D560" s="200">
        <v>44306</v>
      </c>
      <c r="E560" s="199" t="s">
        <v>9455</v>
      </c>
      <c r="I560" s="198">
        <v>1.68</v>
      </c>
      <c r="K560" s="198">
        <v>63519.05</v>
      </c>
    </row>
    <row r="561" spans="3:11" x14ac:dyDescent="0.2">
      <c r="C561" s="201" t="s">
        <v>9454</v>
      </c>
      <c r="D561" s="200">
        <v>44306</v>
      </c>
      <c r="E561" s="199" t="s">
        <v>9453</v>
      </c>
      <c r="I561" s="198">
        <v>11.74</v>
      </c>
      <c r="K561" s="198">
        <v>63530.79</v>
      </c>
    </row>
    <row r="562" spans="3:11" x14ac:dyDescent="0.2">
      <c r="C562" s="201" t="s">
        <v>9452</v>
      </c>
      <c r="D562" s="200">
        <v>44306</v>
      </c>
      <c r="E562" s="199" t="s">
        <v>9451</v>
      </c>
      <c r="I562" s="198">
        <v>5.67</v>
      </c>
      <c r="K562" s="198">
        <v>63536.46</v>
      </c>
    </row>
    <row r="563" spans="3:11" x14ac:dyDescent="0.2">
      <c r="C563" s="201" t="s">
        <v>9450</v>
      </c>
      <c r="D563" s="200">
        <v>44306</v>
      </c>
      <c r="E563" s="199" t="s">
        <v>9449</v>
      </c>
      <c r="I563" s="198">
        <v>2.9</v>
      </c>
      <c r="K563" s="198">
        <v>63539.360000000001</v>
      </c>
    </row>
    <row r="564" spans="3:11" x14ac:dyDescent="0.2">
      <c r="C564" s="201" t="s">
        <v>9448</v>
      </c>
      <c r="D564" s="200">
        <v>44306</v>
      </c>
      <c r="E564" s="199" t="s">
        <v>9447</v>
      </c>
      <c r="I564" s="198">
        <v>4.7</v>
      </c>
      <c r="K564" s="198">
        <v>63544.06</v>
      </c>
    </row>
    <row r="565" spans="3:11" x14ac:dyDescent="0.2">
      <c r="C565" s="201" t="s">
        <v>9446</v>
      </c>
      <c r="D565" s="200">
        <v>44306</v>
      </c>
      <c r="E565" s="199" t="s">
        <v>9445</v>
      </c>
      <c r="I565" s="198">
        <v>4.3</v>
      </c>
      <c r="K565" s="198">
        <v>63548.36</v>
      </c>
    </row>
    <row r="566" spans="3:11" x14ac:dyDescent="0.2">
      <c r="C566" s="201" t="s">
        <v>9444</v>
      </c>
      <c r="D566" s="200">
        <v>44306</v>
      </c>
      <c r="E566" s="199" t="s">
        <v>9443</v>
      </c>
      <c r="I566" s="198">
        <v>5.32</v>
      </c>
      <c r="K566" s="198">
        <v>63553.68</v>
      </c>
    </row>
    <row r="567" spans="3:11" x14ac:dyDescent="0.2">
      <c r="C567" s="201" t="s">
        <v>9442</v>
      </c>
      <c r="D567" s="200">
        <v>44306</v>
      </c>
      <c r="E567" s="199" t="s">
        <v>9441</v>
      </c>
      <c r="I567" s="198">
        <v>1.96</v>
      </c>
      <c r="K567" s="198">
        <v>63555.64</v>
      </c>
    </row>
    <row r="568" spans="3:11" x14ac:dyDescent="0.2">
      <c r="C568" s="201" t="s">
        <v>9440</v>
      </c>
      <c r="D568" s="200">
        <v>44306</v>
      </c>
      <c r="E568" s="199" t="s">
        <v>9439</v>
      </c>
      <c r="I568" s="198">
        <v>2.58</v>
      </c>
      <c r="K568" s="198">
        <v>63558.22</v>
      </c>
    </row>
    <row r="569" spans="3:11" x14ac:dyDescent="0.2">
      <c r="C569" s="201" t="s">
        <v>9438</v>
      </c>
      <c r="D569" s="200">
        <v>44306</v>
      </c>
      <c r="E569" s="199" t="s">
        <v>9437</v>
      </c>
      <c r="I569" s="198">
        <v>1.94</v>
      </c>
      <c r="K569" s="198">
        <v>63560.160000000003</v>
      </c>
    </row>
    <row r="570" spans="3:11" x14ac:dyDescent="0.2">
      <c r="C570" s="201" t="s">
        <v>9436</v>
      </c>
      <c r="D570" s="200">
        <v>44306</v>
      </c>
      <c r="E570" s="199" t="s">
        <v>9435</v>
      </c>
      <c r="I570" s="198">
        <v>6.84</v>
      </c>
      <c r="K570" s="198">
        <v>63567</v>
      </c>
    </row>
    <row r="571" spans="3:11" x14ac:dyDescent="0.2">
      <c r="C571" s="201" t="s">
        <v>9434</v>
      </c>
      <c r="D571" s="200">
        <v>44306</v>
      </c>
      <c r="E571" s="199" t="s">
        <v>9433</v>
      </c>
      <c r="I571" s="198">
        <v>10.38</v>
      </c>
      <c r="K571" s="198">
        <v>63577.38</v>
      </c>
    </row>
    <row r="572" spans="3:11" x14ac:dyDescent="0.2">
      <c r="C572" s="201" t="s">
        <v>9432</v>
      </c>
      <c r="D572" s="200">
        <v>44306</v>
      </c>
      <c r="E572" s="199" t="s">
        <v>9431</v>
      </c>
      <c r="I572" s="198">
        <v>2.23</v>
      </c>
      <c r="K572" s="198">
        <v>63579.61</v>
      </c>
    </row>
    <row r="573" spans="3:11" x14ac:dyDescent="0.2">
      <c r="C573" s="201" t="s">
        <v>9430</v>
      </c>
      <c r="D573" s="200">
        <v>44306</v>
      </c>
      <c r="E573" s="199" t="s">
        <v>9429</v>
      </c>
      <c r="I573" s="198">
        <v>8.3800000000000008</v>
      </c>
      <c r="K573" s="198">
        <v>63587.99</v>
      </c>
    </row>
    <row r="574" spans="3:11" x14ac:dyDescent="0.2">
      <c r="C574" s="201" t="s">
        <v>9428</v>
      </c>
      <c r="D574" s="200">
        <v>44306</v>
      </c>
      <c r="E574" s="199" t="s">
        <v>9427</v>
      </c>
      <c r="I574" s="198">
        <v>8.3800000000000008</v>
      </c>
      <c r="K574" s="198">
        <v>63596.37</v>
      </c>
    </row>
    <row r="575" spans="3:11" x14ac:dyDescent="0.2">
      <c r="C575" s="201" t="s">
        <v>9426</v>
      </c>
      <c r="D575" s="200">
        <v>44306</v>
      </c>
      <c r="E575" s="199" t="s">
        <v>9425</v>
      </c>
      <c r="I575" s="198">
        <v>1.96</v>
      </c>
      <c r="K575" s="198">
        <v>63598.33</v>
      </c>
    </row>
    <row r="576" spans="3:11" x14ac:dyDescent="0.2">
      <c r="C576" s="201" t="s">
        <v>9424</v>
      </c>
      <c r="D576" s="200">
        <v>44306</v>
      </c>
      <c r="E576" s="199" t="s">
        <v>9423</v>
      </c>
      <c r="I576" s="198">
        <v>5.2</v>
      </c>
      <c r="K576" s="198">
        <v>63603.53</v>
      </c>
    </row>
    <row r="577" spans="3:11" x14ac:dyDescent="0.2">
      <c r="C577" s="201" t="s">
        <v>9422</v>
      </c>
      <c r="D577" s="200">
        <v>44306</v>
      </c>
      <c r="E577" s="199" t="s">
        <v>9421</v>
      </c>
      <c r="I577" s="198">
        <v>1.94</v>
      </c>
      <c r="K577" s="198">
        <v>63605.47</v>
      </c>
    </row>
    <row r="578" spans="3:11" x14ac:dyDescent="0.2">
      <c r="C578" s="201" t="s">
        <v>9420</v>
      </c>
      <c r="D578" s="200">
        <v>44306</v>
      </c>
      <c r="E578" s="199" t="s">
        <v>9419</v>
      </c>
      <c r="I578" s="198">
        <v>4.95</v>
      </c>
      <c r="K578" s="198">
        <v>63610.42</v>
      </c>
    </row>
    <row r="579" spans="3:11" x14ac:dyDescent="0.2">
      <c r="C579" s="201" t="s">
        <v>9418</v>
      </c>
      <c r="D579" s="200">
        <v>44306</v>
      </c>
      <c r="E579" s="199" t="s">
        <v>9417</v>
      </c>
      <c r="I579" s="198">
        <v>25.14</v>
      </c>
      <c r="K579" s="198">
        <v>63635.56</v>
      </c>
    </row>
    <row r="580" spans="3:11" x14ac:dyDescent="0.2">
      <c r="C580" s="201" t="s">
        <v>9416</v>
      </c>
      <c r="D580" s="200">
        <v>44307</v>
      </c>
      <c r="E580" s="199" t="s">
        <v>9415</v>
      </c>
      <c r="I580" s="198">
        <v>13.75</v>
      </c>
      <c r="K580" s="198">
        <v>63649.31</v>
      </c>
    </row>
    <row r="581" spans="3:11" x14ac:dyDescent="0.2">
      <c r="C581" s="201" t="s">
        <v>9414</v>
      </c>
      <c r="D581" s="200">
        <v>44307</v>
      </c>
      <c r="E581" s="199" t="s">
        <v>9413</v>
      </c>
      <c r="I581" s="198">
        <v>1</v>
      </c>
      <c r="K581" s="198">
        <v>63650.31</v>
      </c>
    </row>
    <row r="582" spans="3:11" x14ac:dyDescent="0.2">
      <c r="C582" s="201" t="s">
        <v>9412</v>
      </c>
      <c r="D582" s="200">
        <v>44307</v>
      </c>
      <c r="E582" s="199" t="s">
        <v>9411</v>
      </c>
      <c r="I582" s="198">
        <v>14.36</v>
      </c>
      <c r="K582" s="198">
        <v>63664.67</v>
      </c>
    </row>
    <row r="583" spans="3:11" x14ac:dyDescent="0.2">
      <c r="C583" s="201" t="s">
        <v>9410</v>
      </c>
      <c r="D583" s="200">
        <v>44307</v>
      </c>
      <c r="E583" s="199" t="s">
        <v>9409</v>
      </c>
      <c r="I583" s="198">
        <v>9.4600000000000009</v>
      </c>
      <c r="K583" s="198">
        <v>63674.13</v>
      </c>
    </row>
    <row r="584" spans="3:11" x14ac:dyDescent="0.2">
      <c r="C584" s="201" t="s">
        <v>9408</v>
      </c>
      <c r="D584" s="200">
        <v>44307</v>
      </c>
      <c r="E584" s="199" t="s">
        <v>9407</v>
      </c>
      <c r="I584" s="198">
        <v>12.3</v>
      </c>
      <c r="K584" s="198">
        <v>63686.43</v>
      </c>
    </row>
    <row r="585" spans="3:11" x14ac:dyDescent="0.2">
      <c r="C585" s="201" t="s">
        <v>9406</v>
      </c>
      <c r="D585" s="200">
        <v>44307</v>
      </c>
      <c r="E585" s="199" t="s">
        <v>9405</v>
      </c>
      <c r="I585" s="198">
        <v>3.91</v>
      </c>
      <c r="K585" s="198">
        <v>63690.34</v>
      </c>
    </row>
    <row r="586" spans="3:11" x14ac:dyDescent="0.2">
      <c r="C586" s="201" t="s">
        <v>9404</v>
      </c>
      <c r="D586" s="200">
        <v>44307</v>
      </c>
      <c r="E586" s="199" t="s">
        <v>9403</v>
      </c>
      <c r="I586" s="198">
        <v>8.3800000000000008</v>
      </c>
      <c r="K586" s="198">
        <v>63698.720000000001</v>
      </c>
    </row>
    <row r="587" spans="3:11" x14ac:dyDescent="0.2">
      <c r="C587" s="201" t="s">
        <v>9402</v>
      </c>
      <c r="D587" s="200">
        <v>44307</v>
      </c>
      <c r="E587" s="199" t="s">
        <v>9401</v>
      </c>
      <c r="I587" s="198">
        <v>4.1900000000000004</v>
      </c>
      <c r="K587" s="198">
        <v>63702.91</v>
      </c>
    </row>
    <row r="588" spans="3:11" x14ac:dyDescent="0.2">
      <c r="C588" s="201" t="s">
        <v>9400</v>
      </c>
      <c r="D588" s="200">
        <v>44307</v>
      </c>
      <c r="E588" s="199" t="s">
        <v>9399</v>
      </c>
      <c r="I588" s="198">
        <v>27.85</v>
      </c>
      <c r="K588" s="198">
        <v>63730.76</v>
      </c>
    </row>
    <row r="589" spans="3:11" x14ac:dyDescent="0.2">
      <c r="C589" s="201" t="s">
        <v>1548</v>
      </c>
      <c r="D589" s="200">
        <v>44307</v>
      </c>
      <c r="E589" s="199" t="s">
        <v>9398</v>
      </c>
      <c r="J589" s="222">
        <v>88.98</v>
      </c>
      <c r="K589" s="198">
        <v>63641.78</v>
      </c>
    </row>
    <row r="590" spans="3:11" x14ac:dyDescent="0.2">
      <c r="C590" s="201" t="s">
        <v>9397</v>
      </c>
      <c r="D590" s="200">
        <v>44309</v>
      </c>
      <c r="E590" s="199" t="s">
        <v>9396</v>
      </c>
      <c r="I590" s="198">
        <v>1.25</v>
      </c>
      <c r="K590" s="198">
        <v>63643.03</v>
      </c>
    </row>
    <row r="591" spans="3:11" x14ac:dyDescent="0.2">
      <c r="C591" s="201" t="s">
        <v>9395</v>
      </c>
      <c r="D591" s="200">
        <v>44309</v>
      </c>
      <c r="E591" s="199" t="s">
        <v>9394</v>
      </c>
      <c r="I591" s="198">
        <v>10.89</v>
      </c>
      <c r="K591" s="198">
        <v>63653.919999999998</v>
      </c>
    </row>
    <row r="592" spans="3:11" x14ac:dyDescent="0.2">
      <c r="C592" s="201" t="s">
        <v>9393</v>
      </c>
      <c r="D592" s="200">
        <v>44309</v>
      </c>
      <c r="E592" s="199" t="s">
        <v>9392</v>
      </c>
      <c r="I592" s="198">
        <v>174.59</v>
      </c>
      <c r="K592" s="198">
        <v>63828.51</v>
      </c>
    </row>
    <row r="593" spans="3:11" x14ac:dyDescent="0.2">
      <c r="C593" s="201" t="s">
        <v>9391</v>
      </c>
      <c r="D593" s="200">
        <v>44309</v>
      </c>
      <c r="E593" s="199" t="s">
        <v>9390</v>
      </c>
      <c r="I593" s="198">
        <v>12.12</v>
      </c>
      <c r="K593" s="198">
        <v>63840.63</v>
      </c>
    </row>
    <row r="594" spans="3:11" x14ac:dyDescent="0.2">
      <c r="C594" s="201" t="s">
        <v>9389</v>
      </c>
      <c r="D594" s="200">
        <v>44309</v>
      </c>
      <c r="E594" s="199" t="s">
        <v>9388</v>
      </c>
      <c r="I594" s="198">
        <v>2.48</v>
      </c>
      <c r="K594" s="198">
        <v>63843.11</v>
      </c>
    </row>
    <row r="595" spans="3:11" x14ac:dyDescent="0.2">
      <c r="C595" s="201" t="s">
        <v>9387</v>
      </c>
      <c r="D595" s="200">
        <v>44309</v>
      </c>
      <c r="E595" s="199" t="s">
        <v>9386</v>
      </c>
      <c r="I595" s="198">
        <v>13.51</v>
      </c>
      <c r="K595" s="198">
        <v>63856.62</v>
      </c>
    </row>
    <row r="596" spans="3:11" x14ac:dyDescent="0.2">
      <c r="C596" s="201" t="s">
        <v>9385</v>
      </c>
      <c r="D596" s="200">
        <v>44311</v>
      </c>
      <c r="E596" s="199" t="s">
        <v>9384</v>
      </c>
      <c r="I596" s="198">
        <v>2.98</v>
      </c>
      <c r="K596" s="198">
        <v>63859.6</v>
      </c>
    </row>
    <row r="597" spans="3:11" x14ac:dyDescent="0.2">
      <c r="C597" s="201" t="s">
        <v>9383</v>
      </c>
      <c r="D597" s="200">
        <v>44312</v>
      </c>
      <c r="E597" s="199" t="s">
        <v>9382</v>
      </c>
      <c r="I597" s="198">
        <v>15.19</v>
      </c>
      <c r="K597" s="198">
        <v>63874.79</v>
      </c>
    </row>
    <row r="598" spans="3:11" x14ac:dyDescent="0.2">
      <c r="C598" s="201" t="s">
        <v>9381</v>
      </c>
      <c r="D598" s="200">
        <v>44312</v>
      </c>
      <c r="E598" s="199" t="s">
        <v>9380</v>
      </c>
      <c r="I598" s="198">
        <v>58.86</v>
      </c>
      <c r="K598" s="198">
        <v>63933.65</v>
      </c>
    </row>
    <row r="599" spans="3:11" x14ac:dyDescent="0.2">
      <c r="C599" s="201" t="s">
        <v>9379</v>
      </c>
      <c r="D599" s="200">
        <v>44312</v>
      </c>
      <c r="E599" s="199" t="s">
        <v>9378</v>
      </c>
      <c r="I599" s="198">
        <v>23.91</v>
      </c>
      <c r="K599" s="198">
        <v>63957.56</v>
      </c>
    </row>
    <row r="600" spans="3:11" x14ac:dyDescent="0.2">
      <c r="C600" s="201" t="s">
        <v>9377</v>
      </c>
      <c r="D600" s="200">
        <v>44312</v>
      </c>
      <c r="E600" s="199" t="s">
        <v>9376</v>
      </c>
      <c r="I600" s="198">
        <v>3.16</v>
      </c>
      <c r="K600" s="198">
        <v>63960.72</v>
      </c>
    </row>
    <row r="601" spans="3:11" x14ac:dyDescent="0.2">
      <c r="C601" s="201" t="s">
        <v>9375</v>
      </c>
      <c r="D601" s="200">
        <v>44312</v>
      </c>
      <c r="E601" s="199" t="s">
        <v>9374</v>
      </c>
      <c r="I601" s="198">
        <v>1.75</v>
      </c>
      <c r="K601" s="198">
        <v>63962.47</v>
      </c>
    </row>
    <row r="602" spans="3:11" x14ac:dyDescent="0.2">
      <c r="C602" s="201" t="s">
        <v>9373</v>
      </c>
      <c r="D602" s="200">
        <v>44312</v>
      </c>
      <c r="E602" s="199" t="s">
        <v>9372</v>
      </c>
      <c r="I602" s="198">
        <v>10.29</v>
      </c>
      <c r="K602" s="198">
        <v>63972.76</v>
      </c>
    </row>
    <row r="603" spans="3:11" x14ac:dyDescent="0.2">
      <c r="C603" s="201" t="s">
        <v>9371</v>
      </c>
      <c r="D603" s="200">
        <v>44312</v>
      </c>
      <c r="E603" s="199" t="s">
        <v>9370</v>
      </c>
      <c r="I603" s="198">
        <v>2</v>
      </c>
      <c r="K603" s="198">
        <v>63974.76</v>
      </c>
    </row>
    <row r="604" spans="3:11" x14ac:dyDescent="0.2">
      <c r="C604" s="201" t="s">
        <v>9369</v>
      </c>
      <c r="D604" s="200">
        <v>44312</v>
      </c>
      <c r="E604" s="199" t="s">
        <v>9368</v>
      </c>
      <c r="I604" s="198">
        <v>9.23</v>
      </c>
      <c r="K604" s="198">
        <v>63983.99</v>
      </c>
    </row>
    <row r="605" spans="3:11" x14ac:dyDescent="0.2">
      <c r="C605" s="201" t="s">
        <v>9367</v>
      </c>
      <c r="D605" s="200">
        <v>44312</v>
      </c>
      <c r="E605" s="199" t="s">
        <v>9366</v>
      </c>
      <c r="I605" s="198">
        <v>1.78</v>
      </c>
      <c r="K605" s="198">
        <v>63985.77</v>
      </c>
    </row>
    <row r="606" spans="3:11" x14ac:dyDescent="0.2">
      <c r="C606" s="201" t="s">
        <v>9365</v>
      </c>
      <c r="D606" s="200">
        <v>44312</v>
      </c>
      <c r="E606" s="199" t="s">
        <v>9364</v>
      </c>
      <c r="I606" s="198">
        <v>3.46</v>
      </c>
      <c r="K606" s="198">
        <v>63989.23</v>
      </c>
    </row>
    <row r="607" spans="3:11" x14ac:dyDescent="0.2">
      <c r="C607" s="201" t="s">
        <v>9363</v>
      </c>
      <c r="D607" s="200">
        <v>44312</v>
      </c>
      <c r="E607" s="199" t="s">
        <v>9362</v>
      </c>
      <c r="I607" s="198">
        <v>0.77</v>
      </c>
      <c r="K607" s="198">
        <v>63990</v>
      </c>
    </row>
    <row r="608" spans="3:11" x14ac:dyDescent="0.2">
      <c r="C608" s="201" t="s">
        <v>9361</v>
      </c>
      <c r="D608" s="200">
        <v>44312</v>
      </c>
      <c r="E608" s="199" t="s">
        <v>9360</v>
      </c>
      <c r="I608" s="198">
        <v>11.79</v>
      </c>
      <c r="K608" s="198">
        <v>64001.79</v>
      </c>
    </row>
    <row r="609" spans="3:11" x14ac:dyDescent="0.2">
      <c r="C609" s="201" t="s">
        <v>9359</v>
      </c>
      <c r="D609" s="200">
        <v>44312</v>
      </c>
      <c r="E609" s="199" t="s">
        <v>9358</v>
      </c>
      <c r="I609" s="198">
        <v>7.99</v>
      </c>
      <c r="K609" s="198">
        <v>64009.78</v>
      </c>
    </row>
    <row r="610" spans="3:11" x14ac:dyDescent="0.2">
      <c r="C610" s="201" t="s">
        <v>9357</v>
      </c>
      <c r="D610" s="200">
        <v>44312</v>
      </c>
      <c r="E610" s="199" t="s">
        <v>9356</v>
      </c>
      <c r="I610" s="198">
        <v>3.58</v>
      </c>
      <c r="K610" s="198">
        <v>64013.36</v>
      </c>
    </row>
    <row r="611" spans="3:11" x14ac:dyDescent="0.2">
      <c r="C611" s="201" t="s">
        <v>9355</v>
      </c>
      <c r="D611" s="200">
        <v>44312</v>
      </c>
      <c r="E611" s="199" t="s">
        <v>9354</v>
      </c>
      <c r="I611" s="198">
        <v>6.32</v>
      </c>
      <c r="K611" s="198">
        <v>64019.68</v>
      </c>
    </row>
    <row r="612" spans="3:11" x14ac:dyDescent="0.2">
      <c r="C612" s="201" t="s">
        <v>9353</v>
      </c>
      <c r="D612" s="200">
        <v>44312</v>
      </c>
      <c r="E612" s="199" t="s">
        <v>9352</v>
      </c>
      <c r="I612" s="198">
        <v>8.65</v>
      </c>
      <c r="K612" s="198">
        <v>64028.33</v>
      </c>
    </row>
    <row r="613" spans="3:11" x14ac:dyDescent="0.2">
      <c r="C613" s="201" t="s">
        <v>9351</v>
      </c>
      <c r="D613" s="200">
        <v>44312</v>
      </c>
      <c r="E613" s="199" t="s">
        <v>9350</v>
      </c>
      <c r="I613" s="198">
        <v>3.74</v>
      </c>
      <c r="K613" s="198">
        <v>64032.07</v>
      </c>
    </row>
    <row r="614" spans="3:11" x14ac:dyDescent="0.2">
      <c r="C614" s="201" t="s">
        <v>9349</v>
      </c>
      <c r="D614" s="200">
        <v>44312</v>
      </c>
      <c r="E614" s="199" t="s">
        <v>9348</v>
      </c>
      <c r="I614" s="198">
        <v>5.43</v>
      </c>
      <c r="K614" s="198">
        <v>64037.5</v>
      </c>
    </row>
    <row r="615" spans="3:11" x14ac:dyDescent="0.2">
      <c r="C615" s="201" t="s">
        <v>9347</v>
      </c>
      <c r="D615" s="200">
        <v>44312</v>
      </c>
      <c r="E615" s="199" t="s">
        <v>9346</v>
      </c>
      <c r="I615" s="198">
        <v>25.14</v>
      </c>
      <c r="K615" s="198">
        <v>64062.64</v>
      </c>
    </row>
    <row r="616" spans="3:11" x14ac:dyDescent="0.2">
      <c r="C616" s="201" t="s">
        <v>9345</v>
      </c>
      <c r="D616" s="200">
        <v>44312</v>
      </c>
      <c r="E616" s="199" t="s">
        <v>9344</v>
      </c>
      <c r="I616" s="198">
        <v>1.68</v>
      </c>
      <c r="K616" s="198">
        <v>64064.32</v>
      </c>
    </row>
    <row r="617" spans="3:11" x14ac:dyDescent="0.2">
      <c r="C617" s="201" t="s">
        <v>9343</v>
      </c>
      <c r="D617" s="200">
        <v>44312</v>
      </c>
      <c r="E617" s="199" t="s">
        <v>9342</v>
      </c>
      <c r="I617" s="198">
        <v>7.36</v>
      </c>
      <c r="K617" s="198">
        <v>64071.68</v>
      </c>
    </row>
    <row r="618" spans="3:11" x14ac:dyDescent="0.2">
      <c r="C618" s="201" t="s">
        <v>9341</v>
      </c>
      <c r="D618" s="200">
        <v>44312</v>
      </c>
      <c r="E618" s="199" t="s">
        <v>9340</v>
      </c>
      <c r="I618" s="198">
        <v>1.68</v>
      </c>
      <c r="K618" s="198">
        <v>64073.36</v>
      </c>
    </row>
    <row r="619" spans="3:11" x14ac:dyDescent="0.2">
      <c r="C619" s="201" t="s">
        <v>9339</v>
      </c>
      <c r="D619" s="200">
        <v>44312</v>
      </c>
      <c r="E619" s="199" t="s">
        <v>9338</v>
      </c>
      <c r="I619" s="198">
        <v>8.3800000000000008</v>
      </c>
      <c r="K619" s="198">
        <v>64081.74</v>
      </c>
    </row>
    <row r="620" spans="3:11" x14ac:dyDescent="0.2">
      <c r="C620" s="201" t="s">
        <v>9337</v>
      </c>
      <c r="D620" s="200">
        <v>44312</v>
      </c>
      <c r="E620" s="199" t="s">
        <v>9336</v>
      </c>
      <c r="I620" s="198">
        <v>5.04</v>
      </c>
      <c r="K620" s="198">
        <v>64086.78</v>
      </c>
    </row>
    <row r="621" spans="3:11" x14ac:dyDescent="0.2">
      <c r="C621" s="201" t="s">
        <v>9335</v>
      </c>
      <c r="D621" s="200">
        <v>44312</v>
      </c>
      <c r="E621" s="199" t="s">
        <v>9334</v>
      </c>
      <c r="I621" s="198">
        <v>16.53</v>
      </c>
      <c r="K621" s="198">
        <v>64103.31</v>
      </c>
    </row>
    <row r="622" spans="3:11" x14ac:dyDescent="0.2">
      <c r="C622" s="201" t="s">
        <v>9333</v>
      </c>
      <c r="D622" s="200">
        <v>44312</v>
      </c>
      <c r="E622" s="199" t="s">
        <v>9332</v>
      </c>
      <c r="I622" s="198">
        <v>5.08</v>
      </c>
      <c r="K622" s="198">
        <v>64108.39</v>
      </c>
    </row>
    <row r="623" spans="3:11" x14ac:dyDescent="0.2">
      <c r="C623" s="201" t="s">
        <v>9331</v>
      </c>
      <c r="D623" s="200">
        <v>44312</v>
      </c>
      <c r="E623" s="199" t="s">
        <v>9330</v>
      </c>
      <c r="I623" s="198">
        <v>6.63</v>
      </c>
      <c r="K623" s="198">
        <v>64115.02</v>
      </c>
    </row>
    <row r="624" spans="3:11" x14ac:dyDescent="0.2">
      <c r="C624" s="201" t="s">
        <v>9329</v>
      </c>
      <c r="D624" s="200">
        <v>44312</v>
      </c>
      <c r="E624" s="199" t="s">
        <v>9328</v>
      </c>
      <c r="I624" s="198">
        <v>1.83</v>
      </c>
      <c r="K624" s="198">
        <v>64116.85</v>
      </c>
    </row>
    <row r="625" spans="3:11" x14ac:dyDescent="0.2">
      <c r="C625" s="201" t="s">
        <v>9327</v>
      </c>
      <c r="D625" s="200">
        <v>44312</v>
      </c>
      <c r="E625" s="199" t="s">
        <v>9326</v>
      </c>
      <c r="I625" s="198">
        <v>1.68</v>
      </c>
      <c r="K625" s="198">
        <v>64118.53</v>
      </c>
    </row>
    <row r="626" spans="3:11" x14ac:dyDescent="0.2">
      <c r="C626" s="201" t="s">
        <v>9325</v>
      </c>
      <c r="D626" s="200">
        <v>44312</v>
      </c>
      <c r="E626" s="199" t="s">
        <v>9324</v>
      </c>
      <c r="I626" s="198">
        <v>3.36</v>
      </c>
      <c r="K626" s="198">
        <v>64121.89</v>
      </c>
    </row>
    <row r="627" spans="3:11" x14ac:dyDescent="0.2">
      <c r="C627" s="201" t="s">
        <v>9323</v>
      </c>
      <c r="D627" s="200">
        <v>44312</v>
      </c>
      <c r="E627" s="199" t="s">
        <v>9322</v>
      </c>
      <c r="I627" s="198">
        <v>1.68</v>
      </c>
      <c r="K627" s="198">
        <v>64123.57</v>
      </c>
    </row>
    <row r="628" spans="3:11" x14ac:dyDescent="0.2">
      <c r="C628" s="201" t="s">
        <v>9321</v>
      </c>
      <c r="D628" s="200">
        <v>44312</v>
      </c>
      <c r="E628" s="199" t="s">
        <v>9320</v>
      </c>
      <c r="I628" s="198">
        <v>10.41</v>
      </c>
      <c r="K628" s="198">
        <v>64133.98</v>
      </c>
    </row>
    <row r="629" spans="3:11" x14ac:dyDescent="0.2">
      <c r="C629" s="201" t="s">
        <v>9319</v>
      </c>
      <c r="D629" s="200">
        <v>44312</v>
      </c>
      <c r="E629" s="199" t="s">
        <v>9318</v>
      </c>
      <c r="I629" s="198">
        <v>4.9800000000000004</v>
      </c>
      <c r="K629" s="198">
        <v>64138.96</v>
      </c>
    </row>
    <row r="630" spans="3:11" x14ac:dyDescent="0.2">
      <c r="C630" s="201" t="s">
        <v>9317</v>
      </c>
      <c r="D630" s="200">
        <v>44312</v>
      </c>
      <c r="E630" s="199" t="s">
        <v>9316</v>
      </c>
      <c r="I630" s="198">
        <v>2.95</v>
      </c>
      <c r="K630" s="198">
        <v>64141.91</v>
      </c>
    </row>
    <row r="631" spans="3:11" x14ac:dyDescent="0.2">
      <c r="C631" s="201" t="s">
        <v>9315</v>
      </c>
      <c r="D631" s="200">
        <v>44312</v>
      </c>
      <c r="E631" s="199" t="s">
        <v>9314</v>
      </c>
      <c r="I631" s="198">
        <v>1.68</v>
      </c>
      <c r="K631" s="198">
        <v>64143.59</v>
      </c>
    </row>
    <row r="632" spans="3:11" x14ac:dyDescent="0.2">
      <c r="C632" s="201" t="s">
        <v>9313</v>
      </c>
      <c r="D632" s="200">
        <v>44312</v>
      </c>
      <c r="E632" s="199" t="s">
        <v>9312</v>
      </c>
      <c r="I632" s="198">
        <v>2.83</v>
      </c>
      <c r="K632" s="198">
        <v>64146.42</v>
      </c>
    </row>
    <row r="633" spans="3:11" x14ac:dyDescent="0.2">
      <c r="C633" s="201" t="s">
        <v>9311</v>
      </c>
      <c r="D633" s="200">
        <v>44312</v>
      </c>
      <c r="E633" s="199" t="s">
        <v>9310</v>
      </c>
      <c r="I633" s="198">
        <v>16.149999999999999</v>
      </c>
      <c r="K633" s="198">
        <v>64162.57</v>
      </c>
    </row>
    <row r="634" spans="3:11" x14ac:dyDescent="0.2">
      <c r="C634" s="201" t="s">
        <v>9309</v>
      </c>
      <c r="D634" s="200">
        <v>44312</v>
      </c>
      <c r="E634" s="199" t="s">
        <v>9308</v>
      </c>
      <c r="I634" s="198">
        <v>7419.64</v>
      </c>
      <c r="K634" s="198">
        <v>71582.210000000006</v>
      </c>
    </row>
    <row r="635" spans="3:11" x14ac:dyDescent="0.2">
      <c r="C635" s="201" t="s">
        <v>9307</v>
      </c>
      <c r="D635" s="200">
        <v>44312</v>
      </c>
      <c r="E635" s="199" t="s">
        <v>9306</v>
      </c>
      <c r="I635" s="198">
        <v>5</v>
      </c>
      <c r="K635" s="198">
        <v>71587.210000000006</v>
      </c>
    </row>
    <row r="636" spans="3:11" x14ac:dyDescent="0.2">
      <c r="C636" s="201" t="s">
        <v>9305</v>
      </c>
      <c r="D636" s="200">
        <v>44313</v>
      </c>
      <c r="E636" s="199" t="s">
        <v>9304</v>
      </c>
      <c r="I636" s="198">
        <v>6.18</v>
      </c>
      <c r="K636" s="198">
        <v>71593.39</v>
      </c>
    </row>
    <row r="637" spans="3:11" x14ac:dyDescent="0.2">
      <c r="C637" s="201" t="s">
        <v>9303</v>
      </c>
      <c r="D637" s="200">
        <v>44313</v>
      </c>
      <c r="E637" s="199" t="s">
        <v>9302</v>
      </c>
      <c r="I637" s="198">
        <v>1.94</v>
      </c>
      <c r="K637" s="198">
        <v>71595.33</v>
      </c>
    </row>
    <row r="638" spans="3:11" x14ac:dyDescent="0.2">
      <c r="C638" s="201" t="s">
        <v>9301</v>
      </c>
      <c r="D638" s="200">
        <v>44313</v>
      </c>
      <c r="E638" s="199" t="s">
        <v>9300</v>
      </c>
      <c r="I638" s="198">
        <v>12.3</v>
      </c>
      <c r="K638" s="198">
        <v>71607.63</v>
      </c>
    </row>
    <row r="639" spans="3:11" x14ac:dyDescent="0.2">
      <c r="C639" s="201" t="s">
        <v>9299</v>
      </c>
      <c r="D639" s="200">
        <v>44313</v>
      </c>
      <c r="E639" s="199" t="s">
        <v>9298</v>
      </c>
      <c r="I639" s="198">
        <v>6.23</v>
      </c>
      <c r="K639" s="198">
        <v>71613.86</v>
      </c>
    </row>
    <row r="640" spans="3:11" x14ac:dyDescent="0.2">
      <c r="C640" s="201" t="s">
        <v>9297</v>
      </c>
      <c r="D640" s="200">
        <v>44313</v>
      </c>
      <c r="E640" s="199" t="s">
        <v>9296</v>
      </c>
      <c r="I640" s="198">
        <v>1.74</v>
      </c>
      <c r="K640" s="198">
        <v>71615.600000000006</v>
      </c>
    </row>
    <row r="641" spans="3:11" x14ac:dyDescent="0.2">
      <c r="C641" s="201" t="s">
        <v>9295</v>
      </c>
      <c r="D641" s="200">
        <v>44313</v>
      </c>
      <c r="E641" s="199" t="s">
        <v>9294</v>
      </c>
      <c r="I641" s="198">
        <v>1.68</v>
      </c>
      <c r="K641" s="198">
        <v>71617.279999999999</v>
      </c>
    </row>
    <row r="642" spans="3:11" x14ac:dyDescent="0.2">
      <c r="C642" s="201" t="s">
        <v>9293</v>
      </c>
      <c r="D642" s="200">
        <v>44313</v>
      </c>
      <c r="E642" s="199" t="s">
        <v>9292</v>
      </c>
      <c r="I642" s="198">
        <v>1.68</v>
      </c>
      <c r="K642" s="198">
        <v>71618.960000000006</v>
      </c>
    </row>
    <row r="643" spans="3:11" x14ac:dyDescent="0.2">
      <c r="C643" s="201" t="s">
        <v>9291</v>
      </c>
      <c r="D643" s="200">
        <v>44313</v>
      </c>
      <c r="E643" s="199" t="s">
        <v>9290</v>
      </c>
      <c r="I643" s="198">
        <v>9.15</v>
      </c>
      <c r="K643" s="198">
        <v>71628.11</v>
      </c>
    </row>
    <row r="644" spans="3:11" x14ac:dyDescent="0.2">
      <c r="C644" s="201" t="s">
        <v>9289</v>
      </c>
      <c r="D644" s="200">
        <v>44313</v>
      </c>
      <c r="E644" s="199" t="s">
        <v>9288</v>
      </c>
      <c r="I644" s="198">
        <v>3.17</v>
      </c>
      <c r="K644" s="198">
        <v>71631.28</v>
      </c>
    </row>
    <row r="645" spans="3:11" x14ac:dyDescent="0.2">
      <c r="C645" s="201" t="s">
        <v>9287</v>
      </c>
      <c r="D645" s="200">
        <v>44313</v>
      </c>
      <c r="E645" s="199" t="s">
        <v>9286</v>
      </c>
      <c r="I645" s="198">
        <v>4.9400000000000004</v>
      </c>
      <c r="K645" s="198">
        <v>71636.22</v>
      </c>
    </row>
    <row r="646" spans="3:11" x14ac:dyDescent="0.2">
      <c r="C646" s="201" t="s">
        <v>9285</v>
      </c>
      <c r="D646" s="200">
        <v>44313</v>
      </c>
      <c r="E646" s="199" t="s">
        <v>9284</v>
      </c>
      <c r="I646" s="198">
        <v>17.45</v>
      </c>
      <c r="K646" s="198">
        <v>71653.67</v>
      </c>
    </row>
    <row r="647" spans="3:11" x14ac:dyDescent="0.2">
      <c r="C647" s="201" t="s">
        <v>9283</v>
      </c>
      <c r="D647" s="200">
        <v>44313</v>
      </c>
      <c r="E647" s="199" t="s">
        <v>9282</v>
      </c>
      <c r="I647" s="198">
        <v>2.27</v>
      </c>
      <c r="K647" s="198">
        <v>71655.94</v>
      </c>
    </row>
    <row r="648" spans="3:11" x14ac:dyDescent="0.2">
      <c r="C648" s="201" t="s">
        <v>9281</v>
      </c>
      <c r="D648" s="200">
        <v>44313</v>
      </c>
      <c r="E648" s="199" t="s">
        <v>9280</v>
      </c>
      <c r="I648" s="198">
        <v>19.87</v>
      </c>
      <c r="K648" s="198">
        <v>71675.81</v>
      </c>
    </row>
    <row r="649" spans="3:11" x14ac:dyDescent="0.2">
      <c r="C649" s="201" t="s">
        <v>9279</v>
      </c>
      <c r="D649" s="200">
        <v>44313</v>
      </c>
      <c r="E649" s="199" t="s">
        <v>9278</v>
      </c>
      <c r="I649" s="198">
        <v>5.18</v>
      </c>
      <c r="K649" s="198">
        <v>71680.990000000005</v>
      </c>
    </row>
    <row r="650" spans="3:11" x14ac:dyDescent="0.2">
      <c r="C650" s="201" t="s">
        <v>9277</v>
      </c>
      <c r="D650" s="200">
        <v>44313</v>
      </c>
      <c r="E650" s="199" t="s">
        <v>9276</v>
      </c>
      <c r="I650" s="198">
        <v>201.86</v>
      </c>
      <c r="K650" s="198">
        <v>71882.850000000006</v>
      </c>
    </row>
    <row r="651" spans="3:11" x14ac:dyDescent="0.2">
      <c r="C651" s="201" t="s">
        <v>9275</v>
      </c>
      <c r="D651" s="200">
        <v>44313</v>
      </c>
      <c r="E651" s="199" t="s">
        <v>9274</v>
      </c>
      <c r="I651" s="198">
        <v>5.49</v>
      </c>
      <c r="K651" s="198">
        <v>71888.34</v>
      </c>
    </row>
    <row r="652" spans="3:11" x14ac:dyDescent="0.2">
      <c r="C652" s="201" t="s">
        <v>9273</v>
      </c>
      <c r="D652" s="200">
        <v>44313</v>
      </c>
      <c r="E652" s="199" t="s">
        <v>9272</v>
      </c>
      <c r="I652" s="198">
        <v>5.85</v>
      </c>
      <c r="K652" s="198">
        <v>71894.19</v>
      </c>
    </row>
    <row r="653" spans="3:11" x14ac:dyDescent="0.2">
      <c r="C653" s="201" t="s">
        <v>9271</v>
      </c>
      <c r="D653" s="200">
        <v>44313</v>
      </c>
      <c r="E653" s="199" t="s">
        <v>9270</v>
      </c>
      <c r="I653" s="198">
        <v>7.68</v>
      </c>
      <c r="K653" s="198">
        <v>71901.87</v>
      </c>
    </row>
    <row r="654" spans="3:11" x14ac:dyDescent="0.2">
      <c r="C654" s="201" t="s">
        <v>9269</v>
      </c>
      <c r="D654" s="200">
        <v>44313</v>
      </c>
      <c r="E654" s="199" t="s">
        <v>9268</v>
      </c>
      <c r="I654" s="198">
        <v>5.8</v>
      </c>
      <c r="K654" s="198">
        <v>71907.67</v>
      </c>
    </row>
    <row r="655" spans="3:11" x14ac:dyDescent="0.2">
      <c r="C655" s="201" t="s">
        <v>9267</v>
      </c>
      <c r="D655" s="200">
        <v>44313</v>
      </c>
      <c r="E655" s="199" t="s">
        <v>9266</v>
      </c>
      <c r="I655" s="198">
        <v>2.63</v>
      </c>
      <c r="K655" s="198">
        <v>71910.3</v>
      </c>
    </row>
    <row r="656" spans="3:11" x14ac:dyDescent="0.2">
      <c r="C656" s="201" t="s">
        <v>9265</v>
      </c>
      <c r="D656" s="200">
        <v>44313</v>
      </c>
      <c r="E656" s="199" t="s">
        <v>9264</v>
      </c>
      <c r="I656" s="198">
        <v>8</v>
      </c>
      <c r="K656" s="198">
        <v>71918.3</v>
      </c>
    </row>
    <row r="657" spans="3:11" x14ac:dyDescent="0.2">
      <c r="C657" s="201" t="s">
        <v>9263</v>
      </c>
      <c r="D657" s="200">
        <v>44313</v>
      </c>
      <c r="E657" s="199" t="s">
        <v>9262</v>
      </c>
      <c r="I657" s="198">
        <v>1.68</v>
      </c>
      <c r="K657" s="198">
        <v>71919.98</v>
      </c>
    </row>
    <row r="658" spans="3:11" x14ac:dyDescent="0.2">
      <c r="C658" s="201" t="s">
        <v>9261</v>
      </c>
      <c r="D658" s="200">
        <v>44313</v>
      </c>
      <c r="E658" s="199" t="s">
        <v>9260</v>
      </c>
      <c r="I658" s="198">
        <v>3.75</v>
      </c>
      <c r="K658" s="198">
        <v>71923.73</v>
      </c>
    </row>
    <row r="659" spans="3:11" x14ac:dyDescent="0.2">
      <c r="C659" s="201" t="s">
        <v>9259</v>
      </c>
      <c r="D659" s="200">
        <v>44313</v>
      </c>
      <c r="E659" s="199" t="s">
        <v>9258</v>
      </c>
      <c r="I659" s="198">
        <v>1.68</v>
      </c>
      <c r="K659" s="198">
        <v>71925.41</v>
      </c>
    </row>
    <row r="660" spans="3:11" x14ac:dyDescent="0.2">
      <c r="C660" s="201" t="s">
        <v>9257</v>
      </c>
      <c r="D660" s="200">
        <v>44313</v>
      </c>
      <c r="E660" s="199" t="s">
        <v>9256</v>
      </c>
      <c r="I660" s="198">
        <v>1.77</v>
      </c>
      <c r="K660" s="198">
        <v>71927.179999999993</v>
      </c>
    </row>
    <row r="661" spans="3:11" x14ac:dyDescent="0.2">
      <c r="C661" s="201" t="s">
        <v>9255</v>
      </c>
      <c r="D661" s="200">
        <v>44313</v>
      </c>
      <c r="E661" s="199" t="s">
        <v>9254</v>
      </c>
      <c r="I661" s="198">
        <v>11.87</v>
      </c>
      <c r="K661" s="198">
        <v>71939.05</v>
      </c>
    </row>
    <row r="662" spans="3:11" x14ac:dyDescent="0.2">
      <c r="C662" s="201" t="s">
        <v>9253</v>
      </c>
      <c r="D662" s="200">
        <v>44313</v>
      </c>
      <c r="E662" s="199" t="s">
        <v>9252</v>
      </c>
      <c r="I662" s="198">
        <v>8.3800000000000008</v>
      </c>
      <c r="K662" s="198">
        <v>71947.429999999993</v>
      </c>
    </row>
    <row r="663" spans="3:11" x14ac:dyDescent="0.2">
      <c r="C663" s="201" t="s">
        <v>9251</v>
      </c>
      <c r="D663" s="200">
        <v>44313</v>
      </c>
      <c r="E663" s="199" t="s">
        <v>9250</v>
      </c>
      <c r="I663" s="198">
        <v>0.25</v>
      </c>
      <c r="K663" s="198">
        <v>71947.679999999993</v>
      </c>
    </row>
    <row r="664" spans="3:11" x14ac:dyDescent="0.2">
      <c r="C664" s="201" t="s">
        <v>9249</v>
      </c>
      <c r="D664" s="200">
        <v>44313</v>
      </c>
      <c r="E664" s="199" t="s">
        <v>9248</v>
      </c>
      <c r="I664" s="198">
        <v>5.38</v>
      </c>
      <c r="K664" s="198">
        <v>71953.06</v>
      </c>
    </row>
    <row r="665" spans="3:11" x14ac:dyDescent="0.2">
      <c r="C665" s="201" t="s">
        <v>9247</v>
      </c>
      <c r="D665" s="200">
        <v>44313</v>
      </c>
      <c r="E665" s="199" t="s">
        <v>9246</v>
      </c>
      <c r="I665" s="198">
        <v>3.48</v>
      </c>
      <c r="K665" s="198">
        <v>71956.539999999994</v>
      </c>
    </row>
    <row r="666" spans="3:11" x14ac:dyDescent="0.2">
      <c r="C666" s="201" t="s">
        <v>9245</v>
      </c>
      <c r="D666" s="200">
        <v>44313</v>
      </c>
      <c r="E666" s="199" t="s">
        <v>9244</v>
      </c>
      <c r="I666" s="198">
        <v>7.3</v>
      </c>
      <c r="K666" s="198">
        <v>71963.839999999997</v>
      </c>
    </row>
    <row r="667" spans="3:11" x14ac:dyDescent="0.2">
      <c r="C667" s="201" t="s">
        <v>9243</v>
      </c>
      <c r="D667" s="200">
        <v>44313</v>
      </c>
      <c r="E667" s="199" t="s">
        <v>9242</v>
      </c>
      <c r="I667" s="198">
        <v>1.68</v>
      </c>
      <c r="K667" s="198">
        <v>71965.52</v>
      </c>
    </row>
    <row r="668" spans="3:11" x14ac:dyDescent="0.2">
      <c r="C668" s="201" t="s">
        <v>9241</v>
      </c>
      <c r="D668" s="200">
        <v>44313</v>
      </c>
      <c r="E668" s="199" t="s">
        <v>9240</v>
      </c>
      <c r="I668" s="198">
        <v>10.6</v>
      </c>
      <c r="K668" s="198">
        <v>71976.12</v>
      </c>
    </row>
    <row r="669" spans="3:11" x14ac:dyDescent="0.2">
      <c r="C669" s="201" t="s">
        <v>9239</v>
      </c>
      <c r="D669" s="200">
        <v>44313</v>
      </c>
      <c r="E669" s="199" t="s">
        <v>9238</v>
      </c>
      <c r="I669" s="198">
        <v>1.86</v>
      </c>
      <c r="K669" s="198">
        <v>71977.98</v>
      </c>
    </row>
    <row r="670" spans="3:11" x14ac:dyDescent="0.2">
      <c r="C670" s="201" t="s">
        <v>9237</v>
      </c>
      <c r="D670" s="200">
        <v>44313</v>
      </c>
      <c r="E670" s="199" t="s">
        <v>9236</v>
      </c>
      <c r="I670" s="198">
        <v>25.14</v>
      </c>
      <c r="K670" s="198">
        <v>72003.12</v>
      </c>
    </row>
    <row r="671" spans="3:11" x14ac:dyDescent="0.2">
      <c r="C671" s="201" t="s">
        <v>9235</v>
      </c>
      <c r="D671" s="200">
        <v>44313</v>
      </c>
      <c r="E671" s="199" t="s">
        <v>9234</v>
      </c>
      <c r="I671" s="198">
        <v>0.99</v>
      </c>
      <c r="K671" s="198">
        <v>72004.11</v>
      </c>
    </row>
    <row r="672" spans="3:11" x14ac:dyDescent="0.2">
      <c r="C672" s="201" t="s">
        <v>9233</v>
      </c>
      <c r="D672" s="200">
        <v>44313</v>
      </c>
      <c r="E672" s="199" t="s">
        <v>9232</v>
      </c>
      <c r="I672" s="198">
        <v>1.9</v>
      </c>
      <c r="K672" s="198">
        <v>72006.009999999995</v>
      </c>
    </row>
    <row r="673" spans="3:11" x14ac:dyDescent="0.2">
      <c r="C673" s="201" t="s">
        <v>9231</v>
      </c>
      <c r="D673" s="200">
        <v>44313</v>
      </c>
      <c r="E673" s="199" t="s">
        <v>9230</v>
      </c>
      <c r="I673" s="198">
        <v>4.1900000000000004</v>
      </c>
      <c r="K673" s="198">
        <v>72010.2</v>
      </c>
    </row>
    <row r="674" spans="3:11" x14ac:dyDescent="0.2">
      <c r="C674" s="201" t="s">
        <v>9229</v>
      </c>
      <c r="D674" s="200">
        <v>44313</v>
      </c>
      <c r="E674" s="199" t="s">
        <v>9228</v>
      </c>
      <c r="I674" s="198">
        <v>24.12</v>
      </c>
      <c r="K674" s="198">
        <v>72034.320000000007</v>
      </c>
    </row>
    <row r="675" spans="3:11" x14ac:dyDescent="0.2">
      <c r="C675" s="201" t="s">
        <v>9227</v>
      </c>
      <c r="D675" s="200">
        <v>44313</v>
      </c>
      <c r="E675" s="199" t="s">
        <v>9226</v>
      </c>
      <c r="I675" s="198">
        <v>10</v>
      </c>
      <c r="K675" s="198">
        <v>72044.320000000007</v>
      </c>
    </row>
    <row r="676" spans="3:11" x14ac:dyDescent="0.2">
      <c r="C676" s="201" t="s">
        <v>9225</v>
      </c>
      <c r="D676" s="200">
        <v>44313</v>
      </c>
      <c r="E676" s="199" t="s">
        <v>9224</v>
      </c>
      <c r="I676" s="198">
        <v>4.53</v>
      </c>
      <c r="K676" s="198">
        <v>72048.850000000006</v>
      </c>
    </row>
    <row r="677" spans="3:11" x14ac:dyDescent="0.2">
      <c r="C677" s="201" t="s">
        <v>1554</v>
      </c>
      <c r="D677" s="200">
        <v>44313</v>
      </c>
      <c r="E677" s="199" t="s">
        <v>9223</v>
      </c>
      <c r="J677" s="222">
        <v>600</v>
      </c>
      <c r="K677" s="198">
        <v>71448.850000000006</v>
      </c>
    </row>
    <row r="678" spans="3:11" x14ac:dyDescent="0.2">
      <c r="C678" s="201" t="s">
        <v>1561</v>
      </c>
      <c r="D678" s="200">
        <v>44313</v>
      </c>
      <c r="E678" s="199" t="s">
        <v>9222</v>
      </c>
      <c r="J678" s="222">
        <v>700</v>
      </c>
      <c r="K678" s="198">
        <v>70748.850000000006</v>
      </c>
    </row>
    <row r="679" spans="3:11" x14ac:dyDescent="0.2">
      <c r="C679" s="201" t="s">
        <v>9221</v>
      </c>
      <c r="D679" s="200">
        <v>44314.535520833335</v>
      </c>
      <c r="E679" s="199" t="s">
        <v>9220</v>
      </c>
      <c r="I679" s="198">
        <v>5.04</v>
      </c>
      <c r="K679" s="198">
        <v>70753.89</v>
      </c>
    </row>
    <row r="680" spans="3:11" x14ac:dyDescent="0.2">
      <c r="C680" s="201" t="s">
        <v>9219</v>
      </c>
      <c r="D680" s="200">
        <v>44314</v>
      </c>
      <c r="E680" s="199" t="s">
        <v>9218</v>
      </c>
      <c r="I680" s="198">
        <v>1.57</v>
      </c>
      <c r="K680" s="198">
        <v>70755.460000000006</v>
      </c>
    </row>
    <row r="681" spans="3:11" x14ac:dyDescent="0.2">
      <c r="C681" s="201" t="s">
        <v>9217</v>
      </c>
      <c r="D681" s="200">
        <v>44314</v>
      </c>
      <c r="E681" s="199" t="s">
        <v>9216</v>
      </c>
      <c r="I681" s="198">
        <v>1.68</v>
      </c>
      <c r="K681" s="198">
        <v>70757.14</v>
      </c>
    </row>
    <row r="682" spans="3:11" x14ac:dyDescent="0.2">
      <c r="C682" s="201" t="s">
        <v>9215</v>
      </c>
      <c r="D682" s="200">
        <v>44314</v>
      </c>
      <c r="E682" s="199" t="s">
        <v>9214</v>
      </c>
      <c r="I682" s="198">
        <v>6.06</v>
      </c>
      <c r="K682" s="198">
        <v>70763.199999999997</v>
      </c>
    </row>
    <row r="683" spans="3:11" x14ac:dyDescent="0.2">
      <c r="C683" s="201" t="s">
        <v>9213</v>
      </c>
      <c r="D683" s="200">
        <v>44314</v>
      </c>
      <c r="E683" s="199" t="s">
        <v>9212</v>
      </c>
      <c r="I683" s="198">
        <v>6.08</v>
      </c>
      <c r="K683" s="198">
        <v>70769.279999999999</v>
      </c>
    </row>
    <row r="684" spans="3:11" x14ac:dyDescent="0.2">
      <c r="C684" s="201" t="s">
        <v>9211</v>
      </c>
      <c r="D684" s="200">
        <v>44314</v>
      </c>
      <c r="E684" s="199" t="s">
        <v>9210</v>
      </c>
      <c r="I684" s="198">
        <v>2.98</v>
      </c>
      <c r="K684" s="198">
        <v>70772.259999999995</v>
      </c>
    </row>
    <row r="685" spans="3:11" x14ac:dyDescent="0.2">
      <c r="C685" s="201" t="s">
        <v>9209</v>
      </c>
      <c r="D685" s="200">
        <v>44314</v>
      </c>
      <c r="E685" s="199" t="s">
        <v>9208</v>
      </c>
      <c r="I685" s="198">
        <v>6.13</v>
      </c>
      <c r="K685" s="198">
        <v>70778.39</v>
      </c>
    </row>
    <row r="686" spans="3:11" x14ac:dyDescent="0.2">
      <c r="C686" s="201" t="s">
        <v>9207</v>
      </c>
      <c r="D686" s="200">
        <v>44314</v>
      </c>
      <c r="E686" s="199" t="s">
        <v>9206</v>
      </c>
      <c r="I686" s="198">
        <v>3.85</v>
      </c>
      <c r="K686" s="198">
        <v>70782.240000000005</v>
      </c>
    </row>
    <row r="687" spans="3:11" x14ac:dyDescent="0.2">
      <c r="C687" s="201" t="s">
        <v>9205</v>
      </c>
      <c r="D687" s="200">
        <v>44314</v>
      </c>
      <c r="E687" s="199" t="s">
        <v>9204</v>
      </c>
      <c r="I687" s="198">
        <v>2.68</v>
      </c>
      <c r="K687" s="198">
        <v>70784.92</v>
      </c>
    </row>
    <row r="688" spans="3:11" x14ac:dyDescent="0.2">
      <c r="C688" s="201" t="s">
        <v>9203</v>
      </c>
      <c r="D688" s="200">
        <v>44314</v>
      </c>
      <c r="E688" s="199" t="s">
        <v>9202</v>
      </c>
      <c r="I688" s="198">
        <v>7.86</v>
      </c>
      <c r="K688" s="198">
        <v>70792.78</v>
      </c>
    </row>
    <row r="689" spans="3:11" x14ac:dyDescent="0.2">
      <c r="C689" s="201" t="s">
        <v>9201</v>
      </c>
      <c r="D689" s="200">
        <v>44314</v>
      </c>
      <c r="E689" s="199" t="s">
        <v>9200</v>
      </c>
      <c r="I689" s="198">
        <v>3.47</v>
      </c>
      <c r="K689" s="198">
        <v>70796.25</v>
      </c>
    </row>
    <row r="690" spans="3:11" x14ac:dyDescent="0.2">
      <c r="C690" s="201" t="s">
        <v>9199</v>
      </c>
      <c r="D690" s="200">
        <v>44314</v>
      </c>
      <c r="E690" s="199" t="s">
        <v>9198</v>
      </c>
      <c r="I690" s="198">
        <v>10.02</v>
      </c>
      <c r="K690" s="198">
        <v>70806.27</v>
      </c>
    </row>
    <row r="691" spans="3:11" x14ac:dyDescent="0.2">
      <c r="C691" s="201" t="s">
        <v>9197</v>
      </c>
      <c r="D691" s="200">
        <v>44314</v>
      </c>
      <c r="E691" s="199" t="s">
        <v>9196</v>
      </c>
      <c r="I691" s="198">
        <v>10.26</v>
      </c>
      <c r="K691" s="198">
        <v>70816.53</v>
      </c>
    </row>
    <row r="692" spans="3:11" x14ac:dyDescent="0.2">
      <c r="C692" s="201" t="s">
        <v>9195</v>
      </c>
      <c r="D692" s="200">
        <v>44314</v>
      </c>
      <c r="E692" s="199" t="s">
        <v>9194</v>
      </c>
      <c r="I692" s="198">
        <v>6.28</v>
      </c>
      <c r="K692" s="198">
        <v>70822.81</v>
      </c>
    </row>
    <row r="693" spans="3:11" x14ac:dyDescent="0.2">
      <c r="C693" s="201" t="s">
        <v>9193</v>
      </c>
      <c r="D693" s="200">
        <v>44314</v>
      </c>
      <c r="E693" s="199" t="s">
        <v>9192</v>
      </c>
      <c r="I693" s="198">
        <v>6.45</v>
      </c>
      <c r="K693" s="198">
        <v>70829.259999999995</v>
      </c>
    </row>
    <row r="694" spans="3:11" x14ac:dyDescent="0.2">
      <c r="C694" s="201" t="s">
        <v>9191</v>
      </c>
      <c r="D694" s="200">
        <v>44314</v>
      </c>
      <c r="E694" s="199" t="s">
        <v>9190</v>
      </c>
      <c r="I694" s="198">
        <v>11.32</v>
      </c>
      <c r="K694" s="198">
        <v>70840.58</v>
      </c>
    </row>
    <row r="695" spans="3:11" x14ac:dyDescent="0.2">
      <c r="C695" s="201" t="s">
        <v>9189</v>
      </c>
      <c r="D695" s="200">
        <v>44314</v>
      </c>
      <c r="E695" s="199" t="s">
        <v>9188</v>
      </c>
      <c r="I695" s="198">
        <v>5.04</v>
      </c>
      <c r="K695" s="198">
        <v>70845.62</v>
      </c>
    </row>
    <row r="696" spans="3:11" x14ac:dyDescent="0.2">
      <c r="C696" s="201" t="s">
        <v>9187</v>
      </c>
      <c r="D696" s="200">
        <v>44314</v>
      </c>
      <c r="E696" s="199" t="s">
        <v>9186</v>
      </c>
      <c r="I696" s="198">
        <v>4.26</v>
      </c>
      <c r="K696" s="198">
        <v>70849.88</v>
      </c>
    </row>
    <row r="697" spans="3:11" x14ac:dyDescent="0.2">
      <c r="C697" s="201" t="s">
        <v>9185</v>
      </c>
      <c r="D697" s="200">
        <v>44314</v>
      </c>
      <c r="E697" s="199" t="s">
        <v>9184</v>
      </c>
      <c r="I697" s="198">
        <v>4.18</v>
      </c>
      <c r="K697" s="198">
        <v>70854.06</v>
      </c>
    </row>
    <row r="698" spans="3:11" x14ac:dyDescent="0.2">
      <c r="C698" s="201" t="s">
        <v>9183</v>
      </c>
      <c r="D698" s="200">
        <v>44314</v>
      </c>
      <c r="E698" s="199" t="s">
        <v>9182</v>
      </c>
      <c r="I698" s="198">
        <v>5.15</v>
      </c>
      <c r="K698" s="198">
        <v>70859.210000000006</v>
      </c>
    </row>
    <row r="699" spans="3:11" x14ac:dyDescent="0.2">
      <c r="C699" s="201" t="s">
        <v>9181</v>
      </c>
      <c r="D699" s="200">
        <v>44314</v>
      </c>
      <c r="E699" s="199" t="s">
        <v>9180</v>
      </c>
      <c r="I699" s="198">
        <v>6.94</v>
      </c>
      <c r="K699" s="198">
        <v>70866.149999999994</v>
      </c>
    </row>
    <row r="700" spans="3:11" x14ac:dyDescent="0.2">
      <c r="C700" s="201" t="s">
        <v>9179</v>
      </c>
      <c r="D700" s="200">
        <v>44314</v>
      </c>
      <c r="E700" s="199" t="s">
        <v>9178</v>
      </c>
      <c r="I700" s="198">
        <v>4.12</v>
      </c>
      <c r="K700" s="198">
        <v>70870.27</v>
      </c>
    </row>
    <row r="701" spans="3:11" x14ac:dyDescent="0.2">
      <c r="C701" s="201" t="s">
        <v>9177</v>
      </c>
      <c r="D701" s="200">
        <v>44314</v>
      </c>
      <c r="E701" s="199" t="s">
        <v>9176</v>
      </c>
      <c r="I701" s="198">
        <v>1.68</v>
      </c>
      <c r="K701" s="198">
        <v>70871.95</v>
      </c>
    </row>
    <row r="702" spans="3:11" x14ac:dyDescent="0.2">
      <c r="C702" s="201" t="s">
        <v>9175</v>
      </c>
      <c r="D702" s="200">
        <v>44314</v>
      </c>
      <c r="E702" s="199" t="s">
        <v>9174</v>
      </c>
      <c r="I702" s="198">
        <v>0.75</v>
      </c>
      <c r="K702" s="198">
        <v>70872.7</v>
      </c>
    </row>
    <row r="703" spans="3:11" x14ac:dyDescent="0.2">
      <c r="C703" s="201" t="s">
        <v>9173</v>
      </c>
      <c r="D703" s="200">
        <v>44314</v>
      </c>
      <c r="E703" s="199" t="s">
        <v>9172</v>
      </c>
      <c r="I703" s="198">
        <v>1.94</v>
      </c>
      <c r="K703" s="198">
        <v>70874.64</v>
      </c>
    </row>
    <row r="704" spans="3:11" x14ac:dyDescent="0.2">
      <c r="C704" s="201" t="s">
        <v>9171</v>
      </c>
      <c r="D704" s="200">
        <v>44314</v>
      </c>
      <c r="E704" s="199" t="s">
        <v>9170</v>
      </c>
      <c r="I704" s="198">
        <v>1.78</v>
      </c>
      <c r="K704" s="198">
        <v>70876.42</v>
      </c>
    </row>
    <row r="705" spans="3:11" x14ac:dyDescent="0.2">
      <c r="C705" s="201" t="s">
        <v>9169</v>
      </c>
      <c r="D705" s="200">
        <v>44314</v>
      </c>
      <c r="E705" s="199" t="s">
        <v>9168</v>
      </c>
      <c r="I705" s="198">
        <v>4.5599999999999996</v>
      </c>
      <c r="K705" s="198">
        <v>70880.98</v>
      </c>
    </row>
    <row r="706" spans="3:11" x14ac:dyDescent="0.2">
      <c r="C706" s="201" t="s">
        <v>9167</v>
      </c>
      <c r="D706" s="200">
        <v>44314</v>
      </c>
      <c r="E706" s="199" t="s">
        <v>9166</v>
      </c>
      <c r="I706" s="198">
        <v>1.05</v>
      </c>
      <c r="K706" s="198">
        <v>70882.03</v>
      </c>
    </row>
    <row r="707" spans="3:11" x14ac:dyDescent="0.2">
      <c r="C707" s="201" t="s">
        <v>9165</v>
      </c>
      <c r="D707" s="200">
        <v>44314</v>
      </c>
      <c r="E707" s="199" t="s">
        <v>9164</v>
      </c>
      <c r="I707" s="198">
        <v>2.04</v>
      </c>
      <c r="K707" s="198">
        <v>70884.070000000007</v>
      </c>
    </row>
    <row r="708" spans="3:11" x14ac:dyDescent="0.2">
      <c r="C708" s="201" t="s">
        <v>9163</v>
      </c>
      <c r="D708" s="200">
        <v>44314</v>
      </c>
      <c r="E708" s="199" t="s">
        <v>9162</v>
      </c>
      <c r="I708" s="198">
        <v>9</v>
      </c>
      <c r="K708" s="198">
        <v>70893.070000000007</v>
      </c>
    </row>
    <row r="709" spans="3:11" x14ac:dyDescent="0.2">
      <c r="C709" s="201" t="s">
        <v>9161</v>
      </c>
      <c r="D709" s="200">
        <v>44315</v>
      </c>
      <c r="E709" s="199" t="s">
        <v>9160</v>
      </c>
      <c r="I709" s="198">
        <v>103.44</v>
      </c>
      <c r="K709" s="198">
        <v>70996.509999999995</v>
      </c>
    </row>
    <row r="710" spans="3:11" x14ac:dyDescent="0.2">
      <c r="C710" s="201" t="s">
        <v>9159</v>
      </c>
      <c r="D710" s="200">
        <v>44315</v>
      </c>
      <c r="E710" s="199" t="s">
        <v>9158</v>
      </c>
      <c r="I710" s="198">
        <v>7.82</v>
      </c>
      <c r="K710" s="198">
        <v>71004.33</v>
      </c>
    </row>
    <row r="711" spans="3:11" x14ac:dyDescent="0.2">
      <c r="C711" s="201" t="s">
        <v>9157</v>
      </c>
      <c r="D711" s="200">
        <v>44315</v>
      </c>
      <c r="E711" s="199" t="s">
        <v>9156</v>
      </c>
      <c r="I711" s="198">
        <v>1</v>
      </c>
      <c r="K711" s="198">
        <v>71005.33</v>
      </c>
    </row>
    <row r="712" spans="3:11" x14ac:dyDescent="0.2">
      <c r="C712" s="201" t="s">
        <v>9155</v>
      </c>
      <c r="D712" s="200">
        <v>44315</v>
      </c>
      <c r="E712" s="199" t="s">
        <v>9154</v>
      </c>
      <c r="I712" s="198">
        <v>12.71</v>
      </c>
      <c r="K712" s="198">
        <v>71018.039999999994</v>
      </c>
    </row>
    <row r="713" spans="3:11" x14ac:dyDescent="0.2">
      <c r="C713" s="201" t="s">
        <v>9153</v>
      </c>
      <c r="D713" s="200">
        <v>44315</v>
      </c>
      <c r="E713" s="199" t="s">
        <v>9152</v>
      </c>
      <c r="I713" s="198">
        <v>2.25</v>
      </c>
      <c r="K713" s="198">
        <v>71020.289999999994</v>
      </c>
    </row>
    <row r="714" spans="3:11" x14ac:dyDescent="0.2">
      <c r="C714" s="201" t="s">
        <v>9151</v>
      </c>
      <c r="D714" s="200">
        <v>44315</v>
      </c>
      <c r="E714" s="199" t="s">
        <v>9150</v>
      </c>
      <c r="I714" s="198">
        <v>7.27</v>
      </c>
      <c r="K714" s="198">
        <v>71027.56</v>
      </c>
    </row>
    <row r="715" spans="3:11" x14ac:dyDescent="0.2">
      <c r="C715" s="201" t="s">
        <v>9149</v>
      </c>
      <c r="D715" s="200">
        <v>44315</v>
      </c>
      <c r="E715" s="199" t="s">
        <v>9148</v>
      </c>
      <c r="I715" s="198">
        <v>1.68</v>
      </c>
      <c r="K715" s="198">
        <v>71029.240000000005</v>
      </c>
    </row>
    <row r="716" spans="3:11" x14ac:dyDescent="0.2">
      <c r="C716" s="201" t="s">
        <v>9147</v>
      </c>
      <c r="D716" s="200">
        <v>44315</v>
      </c>
      <c r="E716" s="199" t="s">
        <v>9146</v>
      </c>
      <c r="I716" s="198">
        <v>12.41</v>
      </c>
      <c r="K716" s="198">
        <v>71041.649999999994</v>
      </c>
    </row>
    <row r="717" spans="3:11" x14ac:dyDescent="0.2">
      <c r="C717" s="201" t="s">
        <v>9145</v>
      </c>
      <c r="D717" s="200">
        <v>44315</v>
      </c>
      <c r="E717" s="199" t="s">
        <v>9144</v>
      </c>
      <c r="I717" s="198">
        <v>3.43</v>
      </c>
      <c r="K717" s="198">
        <v>71045.08</v>
      </c>
    </row>
    <row r="718" spans="3:11" x14ac:dyDescent="0.2">
      <c r="C718" s="201" t="s">
        <v>9143</v>
      </c>
      <c r="D718" s="200">
        <v>44315</v>
      </c>
      <c r="E718" s="199" t="s">
        <v>9142</v>
      </c>
      <c r="I718" s="198">
        <v>4.45</v>
      </c>
      <c r="K718" s="198">
        <v>71049.53</v>
      </c>
    </row>
    <row r="719" spans="3:11" x14ac:dyDescent="0.2">
      <c r="C719" s="201" t="s">
        <v>9141</v>
      </c>
      <c r="D719" s="200">
        <v>44315</v>
      </c>
      <c r="E719" s="199" t="s">
        <v>9140</v>
      </c>
      <c r="I719" s="198">
        <v>3.61</v>
      </c>
      <c r="K719" s="198">
        <v>71053.14</v>
      </c>
    </row>
    <row r="720" spans="3:11" x14ac:dyDescent="0.2">
      <c r="C720" s="201" t="s">
        <v>9139</v>
      </c>
      <c r="D720" s="200">
        <v>44315</v>
      </c>
      <c r="E720" s="199" t="s">
        <v>9138</v>
      </c>
      <c r="I720" s="198">
        <v>4.7699999999999996</v>
      </c>
      <c r="K720" s="198">
        <v>71057.91</v>
      </c>
    </row>
    <row r="721" spans="3:11" x14ac:dyDescent="0.2">
      <c r="C721" s="201" t="s">
        <v>9137</v>
      </c>
      <c r="D721" s="200">
        <v>44315</v>
      </c>
      <c r="E721" s="199" t="s">
        <v>9136</v>
      </c>
      <c r="I721" s="198">
        <v>50.95</v>
      </c>
      <c r="K721" s="198">
        <v>71108.86</v>
      </c>
    </row>
    <row r="722" spans="3:11" x14ac:dyDescent="0.2">
      <c r="C722" s="201" t="s">
        <v>9135</v>
      </c>
      <c r="D722" s="200">
        <v>44315</v>
      </c>
      <c r="E722" s="199" t="s">
        <v>9134</v>
      </c>
      <c r="I722" s="198">
        <v>8.57</v>
      </c>
      <c r="K722" s="198">
        <v>71117.429999999993</v>
      </c>
    </row>
    <row r="723" spans="3:11" x14ac:dyDescent="0.2">
      <c r="C723" s="201" t="s">
        <v>9133</v>
      </c>
      <c r="D723" s="200">
        <v>44315</v>
      </c>
      <c r="E723" s="199" t="s">
        <v>9132</v>
      </c>
      <c r="I723" s="198">
        <v>1.1100000000000001</v>
      </c>
      <c r="K723" s="198">
        <v>71118.539999999994</v>
      </c>
    </row>
    <row r="724" spans="3:11" x14ac:dyDescent="0.2">
      <c r="C724" s="201" t="s">
        <v>9131</v>
      </c>
      <c r="D724" s="200">
        <v>44315</v>
      </c>
      <c r="E724" s="199" t="s">
        <v>9130</v>
      </c>
      <c r="I724" s="198">
        <v>23.85</v>
      </c>
      <c r="K724" s="198">
        <v>71142.39</v>
      </c>
    </row>
    <row r="725" spans="3:11" x14ac:dyDescent="0.2">
      <c r="C725" s="201" t="s">
        <v>9129</v>
      </c>
      <c r="D725" s="200">
        <v>44315</v>
      </c>
      <c r="E725" s="199" t="s">
        <v>9128</v>
      </c>
      <c r="I725" s="198">
        <v>10</v>
      </c>
      <c r="K725" s="198">
        <v>71152.39</v>
      </c>
    </row>
    <row r="726" spans="3:11" x14ac:dyDescent="0.2">
      <c r="C726" s="201" t="s">
        <v>9127</v>
      </c>
      <c r="D726" s="200">
        <v>44315</v>
      </c>
      <c r="E726" s="199" t="s">
        <v>9126</v>
      </c>
      <c r="I726" s="198">
        <v>13.89</v>
      </c>
      <c r="K726" s="198">
        <v>71166.28</v>
      </c>
    </row>
    <row r="727" spans="3:11" x14ac:dyDescent="0.2">
      <c r="C727" s="201" t="s">
        <v>9125</v>
      </c>
      <c r="D727" s="200">
        <v>44315</v>
      </c>
      <c r="E727" s="199" t="s">
        <v>9124</v>
      </c>
      <c r="I727" s="198">
        <v>4.05</v>
      </c>
      <c r="K727" s="198">
        <v>71170.33</v>
      </c>
    </row>
    <row r="728" spans="3:11" x14ac:dyDescent="0.2">
      <c r="C728" s="201" t="s">
        <v>9123</v>
      </c>
      <c r="D728" s="200">
        <v>44315</v>
      </c>
      <c r="E728" s="199" t="s">
        <v>9122</v>
      </c>
      <c r="I728" s="198">
        <v>6.18</v>
      </c>
      <c r="K728" s="198">
        <v>71176.509999999995</v>
      </c>
    </row>
    <row r="729" spans="3:11" x14ac:dyDescent="0.2">
      <c r="C729" s="201" t="s">
        <v>9121</v>
      </c>
      <c r="D729" s="200">
        <v>44315</v>
      </c>
      <c r="E729" s="199" t="s">
        <v>9120</v>
      </c>
      <c r="I729" s="198">
        <v>9.0299999999999994</v>
      </c>
      <c r="K729" s="198">
        <v>71185.539999999994</v>
      </c>
    </row>
    <row r="730" spans="3:11" x14ac:dyDescent="0.2">
      <c r="C730" s="201" t="s">
        <v>9119</v>
      </c>
      <c r="D730" s="200">
        <v>44315</v>
      </c>
      <c r="E730" s="199" t="s">
        <v>9118</v>
      </c>
      <c r="I730" s="198">
        <v>5.35</v>
      </c>
      <c r="K730" s="198">
        <v>71190.89</v>
      </c>
    </row>
    <row r="731" spans="3:11" x14ac:dyDescent="0.2">
      <c r="C731" s="201" t="s">
        <v>9117</v>
      </c>
      <c r="D731" s="200">
        <v>44315</v>
      </c>
      <c r="E731" s="199" t="s">
        <v>9116</v>
      </c>
      <c r="I731" s="198">
        <v>1.72</v>
      </c>
      <c r="K731" s="198">
        <v>71192.61</v>
      </c>
    </row>
    <row r="732" spans="3:11" x14ac:dyDescent="0.2">
      <c r="C732" s="201" t="s">
        <v>9115</v>
      </c>
      <c r="D732" s="200">
        <v>44315</v>
      </c>
      <c r="E732" s="199" t="s">
        <v>9114</v>
      </c>
      <c r="I732" s="198">
        <v>1.72</v>
      </c>
      <c r="K732" s="198">
        <v>71194.33</v>
      </c>
    </row>
    <row r="733" spans="3:11" x14ac:dyDescent="0.2">
      <c r="C733" s="201" t="s">
        <v>9113</v>
      </c>
      <c r="D733" s="200">
        <v>44315</v>
      </c>
      <c r="E733" s="199" t="s">
        <v>9112</v>
      </c>
      <c r="I733" s="198">
        <v>1.75</v>
      </c>
      <c r="K733" s="198">
        <v>71196.08</v>
      </c>
    </row>
    <row r="734" spans="3:11" x14ac:dyDescent="0.2">
      <c r="C734" s="201" t="s">
        <v>9111</v>
      </c>
      <c r="D734" s="200">
        <v>44315</v>
      </c>
      <c r="E734" s="199" t="s">
        <v>9110</v>
      </c>
      <c r="I734" s="198">
        <v>2.1800000000000002</v>
      </c>
      <c r="K734" s="198">
        <v>71198.259999999995</v>
      </c>
    </row>
    <row r="735" spans="3:11" x14ac:dyDescent="0.2">
      <c r="C735" s="201" t="s">
        <v>9109</v>
      </c>
      <c r="D735" s="200">
        <v>44315</v>
      </c>
      <c r="E735" s="199" t="s">
        <v>9108</v>
      </c>
      <c r="I735" s="198">
        <v>4.43</v>
      </c>
      <c r="K735" s="198">
        <v>71202.69</v>
      </c>
    </row>
    <row r="736" spans="3:11" x14ac:dyDescent="0.2">
      <c r="C736" s="201" t="s">
        <v>9107</v>
      </c>
      <c r="D736" s="200">
        <v>44315</v>
      </c>
      <c r="E736" s="199" t="s">
        <v>9106</v>
      </c>
      <c r="I736" s="198">
        <v>1.68</v>
      </c>
      <c r="K736" s="198">
        <v>71204.37</v>
      </c>
    </row>
    <row r="737" spans="3:11" x14ac:dyDescent="0.2">
      <c r="C737" s="201" t="s">
        <v>9105</v>
      </c>
      <c r="D737" s="200">
        <v>44315</v>
      </c>
      <c r="E737" s="199" t="s">
        <v>9104</v>
      </c>
      <c r="I737" s="198">
        <v>0.9</v>
      </c>
      <c r="K737" s="198">
        <v>71205.27</v>
      </c>
    </row>
    <row r="738" spans="3:11" x14ac:dyDescent="0.2">
      <c r="C738" s="201" t="s">
        <v>9103</v>
      </c>
      <c r="D738" s="200">
        <v>44315</v>
      </c>
      <c r="E738" s="199" t="s">
        <v>9102</v>
      </c>
      <c r="I738" s="198">
        <v>86.81</v>
      </c>
      <c r="K738" s="198">
        <v>71292.08</v>
      </c>
    </row>
    <row r="739" spans="3:11" x14ac:dyDescent="0.2">
      <c r="C739" s="201" t="s">
        <v>1560</v>
      </c>
      <c r="D739" s="200">
        <v>44315</v>
      </c>
      <c r="E739" s="199" t="s">
        <v>9101</v>
      </c>
      <c r="J739" s="222">
        <v>313.41000000000003</v>
      </c>
      <c r="K739" s="198">
        <v>70978.67</v>
      </c>
    </row>
    <row r="740" spans="3:11" x14ac:dyDescent="0.2">
      <c r="C740" s="201" t="s">
        <v>9100</v>
      </c>
      <c r="D740" s="200">
        <v>44315</v>
      </c>
      <c r="E740" s="199" t="s">
        <v>9099</v>
      </c>
      <c r="J740" s="222">
        <v>2873.17</v>
      </c>
      <c r="K740" s="198">
        <v>68105.5</v>
      </c>
    </row>
    <row r="741" spans="3:11" x14ac:dyDescent="0.2">
      <c r="C741" s="201" t="s">
        <v>6180</v>
      </c>
      <c r="D741" s="200">
        <v>44315</v>
      </c>
      <c r="E741" s="199" t="s">
        <v>9098</v>
      </c>
      <c r="J741" s="222">
        <v>1607.47</v>
      </c>
      <c r="K741" s="198">
        <v>66498.03</v>
      </c>
    </row>
    <row r="742" spans="3:11" x14ac:dyDescent="0.2">
      <c r="C742" s="201" t="s">
        <v>9097</v>
      </c>
      <c r="D742" s="200">
        <v>44316</v>
      </c>
      <c r="E742" s="199" t="s">
        <v>9096</v>
      </c>
      <c r="J742" s="222">
        <v>117.74</v>
      </c>
      <c r="K742" s="198">
        <v>66380.289999999994</v>
      </c>
    </row>
    <row r="743" spans="3:11" x14ac:dyDescent="0.2">
      <c r="C743" s="201" t="s">
        <v>9095</v>
      </c>
      <c r="D743" s="200">
        <v>44316</v>
      </c>
      <c r="E743" s="199" t="s">
        <v>9094</v>
      </c>
      <c r="I743" s="198">
        <v>4.4800000000000004</v>
      </c>
      <c r="K743" s="198">
        <v>66384.77</v>
      </c>
    </row>
    <row r="744" spans="3:11" x14ac:dyDescent="0.2">
      <c r="C744" s="201" t="s">
        <v>9093</v>
      </c>
      <c r="D744" s="200">
        <v>44316</v>
      </c>
      <c r="E744" s="199" t="s">
        <v>9092</v>
      </c>
      <c r="I744" s="198">
        <v>4.9800000000000004</v>
      </c>
      <c r="K744" s="198">
        <v>66389.75</v>
      </c>
    </row>
    <row r="745" spans="3:11" x14ac:dyDescent="0.2">
      <c r="C745" s="201" t="s">
        <v>9091</v>
      </c>
      <c r="D745" s="200">
        <v>44316</v>
      </c>
      <c r="E745" s="199" t="s">
        <v>9090</v>
      </c>
      <c r="I745" s="198">
        <v>17.45</v>
      </c>
      <c r="K745" s="198">
        <v>66407.199999999997</v>
      </c>
    </row>
    <row r="746" spans="3:11" x14ac:dyDescent="0.2">
      <c r="C746" s="201" t="s">
        <v>9089</v>
      </c>
      <c r="D746" s="200">
        <v>44316</v>
      </c>
      <c r="E746" s="199" t="s">
        <v>9088</v>
      </c>
      <c r="I746" s="198">
        <v>27.33</v>
      </c>
      <c r="K746" s="198">
        <v>66434.53</v>
      </c>
    </row>
    <row r="747" spans="3:11" x14ac:dyDescent="0.2">
      <c r="C747" s="201" t="s">
        <v>9087</v>
      </c>
      <c r="D747" s="200">
        <v>44316</v>
      </c>
      <c r="E747" s="199" t="s">
        <v>9086</v>
      </c>
      <c r="I747" s="198">
        <v>2.06</v>
      </c>
      <c r="K747" s="198">
        <v>66436.59</v>
      </c>
    </row>
    <row r="748" spans="3:11" x14ac:dyDescent="0.2">
      <c r="C748" s="201" t="s">
        <v>9085</v>
      </c>
      <c r="D748" s="200">
        <v>44316</v>
      </c>
      <c r="E748" s="199" t="s">
        <v>9084</v>
      </c>
      <c r="I748" s="198">
        <v>3.74</v>
      </c>
      <c r="K748" s="198">
        <v>66440.33</v>
      </c>
    </row>
    <row r="749" spans="3:11" x14ac:dyDescent="0.2">
      <c r="C749" s="201" t="s">
        <v>9083</v>
      </c>
      <c r="D749" s="200">
        <v>44316</v>
      </c>
      <c r="E749" s="199" t="s">
        <v>9082</v>
      </c>
      <c r="I749" s="198">
        <v>1.72</v>
      </c>
      <c r="K749" s="198">
        <v>66442.05</v>
      </c>
    </row>
    <row r="750" spans="3:11" x14ac:dyDescent="0.2">
      <c r="C750" s="201" t="s">
        <v>9081</v>
      </c>
      <c r="D750" s="200">
        <v>44316</v>
      </c>
      <c r="E750" s="199" t="s">
        <v>9080</v>
      </c>
      <c r="I750" s="198">
        <v>2.1800000000000002</v>
      </c>
      <c r="K750" s="198">
        <v>66444.23</v>
      </c>
    </row>
    <row r="751" spans="3:11" x14ac:dyDescent="0.2">
      <c r="C751" s="201" t="s">
        <v>9079</v>
      </c>
      <c r="D751" s="200">
        <v>44316</v>
      </c>
      <c r="E751" s="199" t="s">
        <v>9078</v>
      </c>
      <c r="I751" s="198">
        <v>6.24</v>
      </c>
      <c r="K751" s="198">
        <v>66450.47</v>
      </c>
    </row>
    <row r="752" spans="3:11" x14ac:dyDescent="0.2">
      <c r="C752" s="201" t="s">
        <v>9077</v>
      </c>
      <c r="D752" s="200">
        <v>44316</v>
      </c>
      <c r="E752" s="199" t="s">
        <v>9076</v>
      </c>
      <c r="I752" s="198">
        <v>7.82</v>
      </c>
      <c r="K752" s="198">
        <v>66458.289999999994</v>
      </c>
    </row>
    <row r="753" spans="3:11" x14ac:dyDescent="0.2">
      <c r="C753" s="201" t="s">
        <v>9075</v>
      </c>
      <c r="D753" s="200">
        <v>44316</v>
      </c>
      <c r="E753" s="199" t="s">
        <v>9074</v>
      </c>
      <c r="I753" s="198">
        <v>1.68</v>
      </c>
      <c r="K753" s="198">
        <v>66459.97</v>
      </c>
    </row>
    <row r="754" spans="3:11" x14ac:dyDescent="0.2">
      <c r="C754" s="201" t="s">
        <v>9073</v>
      </c>
      <c r="D754" s="200">
        <v>44316</v>
      </c>
      <c r="E754" s="199" t="s">
        <v>9072</v>
      </c>
      <c r="I754" s="198">
        <v>3.43</v>
      </c>
      <c r="K754" s="198">
        <v>66463.399999999994</v>
      </c>
    </row>
    <row r="755" spans="3:11" x14ac:dyDescent="0.2">
      <c r="C755" s="201" t="s">
        <v>9071</v>
      </c>
      <c r="D755" s="200">
        <v>44316</v>
      </c>
      <c r="E755" s="199" t="s">
        <v>9070</v>
      </c>
      <c r="I755" s="198">
        <v>8.2200000000000006</v>
      </c>
      <c r="K755" s="198">
        <v>66471.62</v>
      </c>
    </row>
    <row r="756" spans="3:11" x14ac:dyDescent="0.2">
      <c r="C756" s="201" t="s">
        <v>9069</v>
      </c>
      <c r="D756" s="200">
        <v>44316</v>
      </c>
      <c r="E756" s="199" t="s">
        <v>9068</v>
      </c>
      <c r="I756" s="198">
        <v>2.4500000000000002</v>
      </c>
      <c r="K756" s="198">
        <v>66474.070000000007</v>
      </c>
    </row>
    <row r="757" spans="3:11" x14ac:dyDescent="0.2">
      <c r="C757" s="201" t="s">
        <v>9067</v>
      </c>
      <c r="D757" s="200">
        <v>44316</v>
      </c>
      <c r="E757" s="199" t="s">
        <v>9066</v>
      </c>
      <c r="I757" s="198">
        <v>10.45</v>
      </c>
      <c r="K757" s="198">
        <v>66484.52</v>
      </c>
    </row>
    <row r="758" spans="3:11" x14ac:dyDescent="0.2">
      <c r="C758" s="201" t="s">
        <v>9065</v>
      </c>
      <c r="D758" s="200">
        <v>44316</v>
      </c>
      <c r="E758" s="199" t="s">
        <v>9064</v>
      </c>
      <c r="I758" s="198">
        <v>1.83</v>
      </c>
      <c r="K758" s="198">
        <v>66486.350000000006</v>
      </c>
    </row>
    <row r="759" spans="3:11" x14ac:dyDescent="0.2">
      <c r="C759" s="201" t="s">
        <v>9063</v>
      </c>
      <c r="D759" s="200">
        <v>44316</v>
      </c>
      <c r="E759" s="199" t="s">
        <v>9062</v>
      </c>
      <c r="I759" s="198">
        <v>1.19</v>
      </c>
      <c r="K759" s="198">
        <v>66487.539999999994</v>
      </c>
    </row>
    <row r="760" spans="3:11" x14ac:dyDescent="0.2">
      <c r="C760" s="201" t="s">
        <v>9061</v>
      </c>
      <c r="D760" s="200">
        <v>44316</v>
      </c>
      <c r="E760" s="199" t="s">
        <v>9060</v>
      </c>
      <c r="I760" s="198">
        <v>2.5299999999999998</v>
      </c>
      <c r="K760" s="198">
        <v>66490.070000000007</v>
      </c>
    </row>
    <row r="761" spans="3:11" x14ac:dyDescent="0.2">
      <c r="C761" s="201" t="s">
        <v>9059</v>
      </c>
      <c r="D761" s="200">
        <v>44316</v>
      </c>
      <c r="E761" s="199" t="s">
        <v>9058</v>
      </c>
      <c r="I761" s="198">
        <v>2.69</v>
      </c>
      <c r="K761" s="198">
        <v>66492.759999999995</v>
      </c>
    </row>
    <row r="762" spans="3:11" x14ac:dyDescent="0.2">
      <c r="C762" s="201" t="s">
        <v>9057</v>
      </c>
      <c r="D762" s="200">
        <v>44316</v>
      </c>
      <c r="E762" s="199" t="s">
        <v>9056</v>
      </c>
      <c r="I762" s="198">
        <v>18.93</v>
      </c>
      <c r="K762" s="198">
        <v>66511.69</v>
      </c>
    </row>
    <row r="763" spans="3:11" x14ac:dyDescent="0.2">
      <c r="C763" s="201" t="s">
        <v>9055</v>
      </c>
      <c r="D763" s="200">
        <v>44316</v>
      </c>
      <c r="E763" s="199" t="s">
        <v>9054</v>
      </c>
      <c r="I763" s="198">
        <v>5.57</v>
      </c>
      <c r="K763" s="198">
        <v>66517.259999999995</v>
      </c>
    </row>
    <row r="764" spans="3:11" x14ac:dyDescent="0.2">
      <c r="C764" s="201" t="s">
        <v>9053</v>
      </c>
      <c r="D764" s="200">
        <v>44316</v>
      </c>
      <c r="E764" s="199" t="s">
        <v>9052</v>
      </c>
      <c r="I764" s="198">
        <v>2.9</v>
      </c>
      <c r="K764" s="198">
        <v>66520.160000000003</v>
      </c>
    </row>
    <row r="765" spans="3:11" x14ac:dyDescent="0.2">
      <c r="C765" s="201" t="s">
        <v>9051</v>
      </c>
      <c r="D765" s="200">
        <v>44316</v>
      </c>
      <c r="E765" s="199" t="s">
        <v>9050</v>
      </c>
      <c r="I765" s="198">
        <v>2.08</v>
      </c>
      <c r="K765" s="198">
        <v>66522.240000000005</v>
      </c>
    </row>
    <row r="766" spans="3:11" x14ac:dyDescent="0.2">
      <c r="C766" s="201" t="s">
        <v>9049</v>
      </c>
      <c r="D766" s="200">
        <v>44316</v>
      </c>
      <c r="E766" s="199" t="s">
        <v>9048</v>
      </c>
      <c r="I766" s="198">
        <v>2.2999999999999998</v>
      </c>
      <c r="K766" s="198">
        <v>66524.539999999994</v>
      </c>
    </row>
    <row r="767" spans="3:11" x14ac:dyDescent="0.2">
      <c r="C767" s="201" t="s">
        <v>9047</v>
      </c>
      <c r="D767" s="200">
        <v>44316</v>
      </c>
      <c r="E767" s="199" t="s">
        <v>9046</v>
      </c>
      <c r="I767" s="198">
        <v>3.75</v>
      </c>
      <c r="K767" s="198">
        <v>66528.289999999994</v>
      </c>
    </row>
    <row r="768" spans="3:11" x14ac:dyDescent="0.2">
      <c r="C768" s="201" t="s">
        <v>9045</v>
      </c>
      <c r="D768" s="200">
        <v>44316</v>
      </c>
      <c r="E768" s="199" t="s">
        <v>9044</v>
      </c>
      <c r="I768" s="198">
        <v>4.5</v>
      </c>
      <c r="K768" s="198">
        <v>66532.789999999994</v>
      </c>
    </row>
    <row r="769" spans="3:11" x14ac:dyDescent="0.2">
      <c r="C769" s="201" t="s">
        <v>9043</v>
      </c>
      <c r="D769" s="200">
        <v>44316</v>
      </c>
      <c r="E769" s="199" t="s">
        <v>9042</v>
      </c>
      <c r="I769" s="198">
        <v>12.62</v>
      </c>
      <c r="K769" s="198">
        <v>66545.41</v>
      </c>
    </row>
    <row r="770" spans="3:11" x14ac:dyDescent="0.2">
      <c r="C770" s="201" t="s">
        <v>9041</v>
      </c>
      <c r="D770" s="200">
        <v>44316</v>
      </c>
      <c r="E770" s="199" t="s">
        <v>9040</v>
      </c>
      <c r="I770" s="198">
        <v>1.68</v>
      </c>
      <c r="K770" s="198">
        <v>66547.09</v>
      </c>
    </row>
    <row r="771" spans="3:11" x14ac:dyDescent="0.2">
      <c r="C771" s="201" t="s">
        <v>9039</v>
      </c>
      <c r="D771" s="200">
        <v>44316</v>
      </c>
      <c r="E771" s="199" t="s">
        <v>9038</v>
      </c>
      <c r="I771" s="198">
        <v>6.08</v>
      </c>
      <c r="K771" s="198">
        <v>66553.17</v>
      </c>
    </row>
    <row r="772" spans="3:11" x14ac:dyDescent="0.2">
      <c r="C772" s="201" t="s">
        <v>9037</v>
      </c>
      <c r="D772" s="200">
        <v>44316</v>
      </c>
      <c r="E772" s="199" t="s">
        <v>9036</v>
      </c>
      <c r="I772" s="198">
        <v>9.5</v>
      </c>
      <c r="K772" s="198">
        <v>66562.67</v>
      </c>
    </row>
    <row r="773" spans="3:11" x14ac:dyDescent="0.2">
      <c r="C773" s="201" t="s">
        <v>9035</v>
      </c>
      <c r="D773" s="200">
        <v>44316</v>
      </c>
      <c r="E773" s="199" t="s">
        <v>9034</v>
      </c>
      <c r="I773" s="198">
        <v>2.86</v>
      </c>
      <c r="K773" s="198">
        <v>66565.53</v>
      </c>
    </row>
    <row r="774" spans="3:11" x14ac:dyDescent="0.2">
      <c r="C774" s="201" t="s">
        <v>9033</v>
      </c>
      <c r="D774" s="200">
        <v>44316</v>
      </c>
      <c r="E774" s="199" t="s">
        <v>9032</v>
      </c>
      <c r="I774" s="198">
        <v>9.0399999999999991</v>
      </c>
      <c r="K774" s="198">
        <v>66574.570000000007</v>
      </c>
    </row>
    <row r="775" spans="3:11" x14ac:dyDescent="0.2">
      <c r="C775" s="201" t="s">
        <v>20189</v>
      </c>
      <c r="D775" s="200">
        <v>44316</v>
      </c>
      <c r="E775" s="199" t="s">
        <v>20188</v>
      </c>
      <c r="J775" s="222">
        <v>111.08</v>
      </c>
      <c r="K775" s="198">
        <v>66463.490000000005</v>
      </c>
    </row>
    <row r="776" spans="3:11" x14ac:dyDescent="0.2">
      <c r="C776" s="197" t="s">
        <v>22</v>
      </c>
      <c r="D776" s="196">
        <v>64014.33</v>
      </c>
      <c r="E776" s="197" t="s">
        <v>21</v>
      </c>
      <c r="F776" s="196">
        <v>22987.040000000001</v>
      </c>
      <c r="G776" s="197" t="s">
        <v>20</v>
      </c>
      <c r="H776" s="196">
        <v>20537.88</v>
      </c>
      <c r="J776" s="197" t="s">
        <v>19</v>
      </c>
      <c r="K776" s="196">
        <v>66463.490000000005</v>
      </c>
    </row>
    <row r="779" spans="3:11" x14ac:dyDescent="0.2">
      <c r="E779" s="87" t="s">
        <v>18</v>
      </c>
      <c r="K779" s="86" t="s">
        <v>17</v>
      </c>
    </row>
  </sheetData>
  <pageMargins left="0.75" right="0.75" top="1" bottom="1" header="0" footer="0"/>
  <pageSetup orientation="portrait" errors="NA" horizontalDpi="120" verticalDpi="72"/>
  <headerFooter alignWithMargins="0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05F40-1636-4B5A-AFE3-DC79DC6BB013}">
  <dimension ref="A1:G272"/>
  <sheetViews>
    <sheetView topLeftCell="B175" workbookViewId="0">
      <selection activeCell="G19" sqref="G19"/>
    </sheetView>
  </sheetViews>
  <sheetFormatPr baseColWidth="10" defaultRowHeight="15" x14ac:dyDescent="0.25"/>
  <cols>
    <col min="2" max="2" width="45.42578125" customWidth="1"/>
    <col min="3" max="3" width="7.7109375" customWidth="1"/>
    <col min="4" max="4" width="12" customWidth="1"/>
    <col min="5" max="5" width="15.7109375" bestFit="1" customWidth="1"/>
    <col min="6" max="6" width="10.28515625" bestFit="1" customWidth="1"/>
    <col min="7" max="7" width="10.7109375" customWidth="1"/>
    <col min="258" max="258" width="45.42578125" customWidth="1"/>
    <col min="259" max="259" width="7.7109375" customWidth="1"/>
    <col min="260" max="260" width="12" customWidth="1"/>
    <col min="261" max="261" width="15.7109375" bestFit="1" customWidth="1"/>
    <col min="262" max="262" width="10.28515625" bestFit="1" customWidth="1"/>
    <col min="263" max="263" width="10.7109375" customWidth="1"/>
    <col min="514" max="514" width="45.42578125" customWidth="1"/>
    <col min="515" max="515" width="7.7109375" customWidth="1"/>
    <col min="516" max="516" width="12" customWidth="1"/>
    <col min="517" max="517" width="15.7109375" bestFit="1" customWidth="1"/>
    <col min="518" max="518" width="10.28515625" bestFit="1" customWidth="1"/>
    <col min="519" max="519" width="10.7109375" customWidth="1"/>
    <col min="770" max="770" width="45.42578125" customWidth="1"/>
    <col min="771" max="771" width="7.7109375" customWidth="1"/>
    <col min="772" max="772" width="12" customWidth="1"/>
    <col min="773" max="773" width="15.7109375" bestFit="1" customWidth="1"/>
    <col min="774" max="774" width="10.28515625" bestFit="1" customWidth="1"/>
    <col min="775" max="775" width="10.7109375" customWidth="1"/>
    <col min="1026" max="1026" width="45.42578125" customWidth="1"/>
    <col min="1027" max="1027" width="7.7109375" customWidth="1"/>
    <col min="1028" max="1028" width="12" customWidth="1"/>
    <col min="1029" max="1029" width="15.7109375" bestFit="1" customWidth="1"/>
    <col min="1030" max="1030" width="10.28515625" bestFit="1" customWidth="1"/>
    <col min="1031" max="1031" width="10.7109375" customWidth="1"/>
    <col min="1282" max="1282" width="45.42578125" customWidth="1"/>
    <col min="1283" max="1283" width="7.7109375" customWidth="1"/>
    <col min="1284" max="1284" width="12" customWidth="1"/>
    <col min="1285" max="1285" width="15.7109375" bestFit="1" customWidth="1"/>
    <col min="1286" max="1286" width="10.28515625" bestFit="1" customWidth="1"/>
    <col min="1287" max="1287" width="10.7109375" customWidth="1"/>
    <col min="1538" max="1538" width="45.42578125" customWidth="1"/>
    <col min="1539" max="1539" width="7.7109375" customWidth="1"/>
    <col min="1540" max="1540" width="12" customWidth="1"/>
    <col min="1541" max="1541" width="15.7109375" bestFit="1" customWidth="1"/>
    <col min="1542" max="1542" width="10.28515625" bestFit="1" customWidth="1"/>
    <col min="1543" max="1543" width="10.7109375" customWidth="1"/>
    <col min="1794" max="1794" width="45.42578125" customWidth="1"/>
    <col min="1795" max="1795" width="7.7109375" customWidth="1"/>
    <col min="1796" max="1796" width="12" customWidth="1"/>
    <col min="1797" max="1797" width="15.7109375" bestFit="1" customWidth="1"/>
    <col min="1798" max="1798" width="10.28515625" bestFit="1" customWidth="1"/>
    <col min="1799" max="1799" width="10.7109375" customWidth="1"/>
    <col min="2050" max="2050" width="45.42578125" customWidth="1"/>
    <col min="2051" max="2051" width="7.7109375" customWidth="1"/>
    <col min="2052" max="2052" width="12" customWidth="1"/>
    <col min="2053" max="2053" width="15.7109375" bestFit="1" customWidth="1"/>
    <col min="2054" max="2054" width="10.28515625" bestFit="1" customWidth="1"/>
    <col min="2055" max="2055" width="10.7109375" customWidth="1"/>
    <col min="2306" max="2306" width="45.42578125" customWidth="1"/>
    <col min="2307" max="2307" width="7.7109375" customWidth="1"/>
    <col min="2308" max="2308" width="12" customWidth="1"/>
    <col min="2309" max="2309" width="15.7109375" bestFit="1" customWidth="1"/>
    <col min="2310" max="2310" width="10.28515625" bestFit="1" customWidth="1"/>
    <col min="2311" max="2311" width="10.7109375" customWidth="1"/>
    <col min="2562" max="2562" width="45.42578125" customWidth="1"/>
    <col min="2563" max="2563" width="7.7109375" customWidth="1"/>
    <col min="2564" max="2564" width="12" customWidth="1"/>
    <col min="2565" max="2565" width="15.7109375" bestFit="1" customWidth="1"/>
    <col min="2566" max="2566" width="10.28515625" bestFit="1" customWidth="1"/>
    <col min="2567" max="2567" width="10.7109375" customWidth="1"/>
    <col min="2818" max="2818" width="45.42578125" customWidth="1"/>
    <col min="2819" max="2819" width="7.7109375" customWidth="1"/>
    <col min="2820" max="2820" width="12" customWidth="1"/>
    <col min="2821" max="2821" width="15.7109375" bestFit="1" customWidth="1"/>
    <col min="2822" max="2822" width="10.28515625" bestFit="1" customWidth="1"/>
    <col min="2823" max="2823" width="10.7109375" customWidth="1"/>
    <col min="3074" max="3074" width="45.42578125" customWidth="1"/>
    <col min="3075" max="3075" width="7.7109375" customWidth="1"/>
    <col min="3076" max="3076" width="12" customWidth="1"/>
    <col min="3077" max="3077" width="15.7109375" bestFit="1" customWidth="1"/>
    <col min="3078" max="3078" width="10.28515625" bestFit="1" customWidth="1"/>
    <col min="3079" max="3079" width="10.7109375" customWidth="1"/>
    <col min="3330" max="3330" width="45.42578125" customWidth="1"/>
    <col min="3331" max="3331" width="7.7109375" customWidth="1"/>
    <col min="3332" max="3332" width="12" customWidth="1"/>
    <col min="3333" max="3333" width="15.7109375" bestFit="1" customWidth="1"/>
    <col min="3334" max="3334" width="10.28515625" bestFit="1" customWidth="1"/>
    <col min="3335" max="3335" width="10.7109375" customWidth="1"/>
    <col min="3586" max="3586" width="45.42578125" customWidth="1"/>
    <col min="3587" max="3587" width="7.7109375" customWidth="1"/>
    <col min="3588" max="3588" width="12" customWidth="1"/>
    <col min="3589" max="3589" width="15.7109375" bestFit="1" customWidth="1"/>
    <col min="3590" max="3590" width="10.28515625" bestFit="1" customWidth="1"/>
    <col min="3591" max="3591" width="10.7109375" customWidth="1"/>
    <col min="3842" max="3842" width="45.42578125" customWidth="1"/>
    <col min="3843" max="3843" width="7.7109375" customWidth="1"/>
    <col min="3844" max="3844" width="12" customWidth="1"/>
    <col min="3845" max="3845" width="15.7109375" bestFit="1" customWidth="1"/>
    <col min="3846" max="3846" width="10.28515625" bestFit="1" customWidth="1"/>
    <col min="3847" max="3847" width="10.7109375" customWidth="1"/>
    <col min="4098" max="4098" width="45.42578125" customWidth="1"/>
    <col min="4099" max="4099" width="7.7109375" customWidth="1"/>
    <col min="4100" max="4100" width="12" customWidth="1"/>
    <col min="4101" max="4101" width="15.7109375" bestFit="1" customWidth="1"/>
    <col min="4102" max="4102" width="10.28515625" bestFit="1" customWidth="1"/>
    <col min="4103" max="4103" width="10.7109375" customWidth="1"/>
    <col min="4354" max="4354" width="45.42578125" customWidth="1"/>
    <col min="4355" max="4355" width="7.7109375" customWidth="1"/>
    <col min="4356" max="4356" width="12" customWidth="1"/>
    <col min="4357" max="4357" width="15.7109375" bestFit="1" customWidth="1"/>
    <col min="4358" max="4358" width="10.28515625" bestFit="1" customWidth="1"/>
    <col min="4359" max="4359" width="10.7109375" customWidth="1"/>
    <col min="4610" max="4610" width="45.42578125" customWidth="1"/>
    <col min="4611" max="4611" width="7.7109375" customWidth="1"/>
    <col min="4612" max="4612" width="12" customWidth="1"/>
    <col min="4613" max="4613" width="15.7109375" bestFit="1" customWidth="1"/>
    <col min="4614" max="4614" width="10.28515625" bestFit="1" customWidth="1"/>
    <col min="4615" max="4615" width="10.7109375" customWidth="1"/>
    <col min="4866" max="4866" width="45.42578125" customWidth="1"/>
    <col min="4867" max="4867" width="7.7109375" customWidth="1"/>
    <col min="4868" max="4868" width="12" customWidth="1"/>
    <col min="4869" max="4869" width="15.7109375" bestFit="1" customWidth="1"/>
    <col min="4870" max="4870" width="10.28515625" bestFit="1" customWidth="1"/>
    <col min="4871" max="4871" width="10.7109375" customWidth="1"/>
    <col min="5122" max="5122" width="45.42578125" customWidth="1"/>
    <col min="5123" max="5123" width="7.7109375" customWidth="1"/>
    <col min="5124" max="5124" width="12" customWidth="1"/>
    <col min="5125" max="5125" width="15.7109375" bestFit="1" customWidth="1"/>
    <col min="5126" max="5126" width="10.28515625" bestFit="1" customWidth="1"/>
    <col min="5127" max="5127" width="10.7109375" customWidth="1"/>
    <col min="5378" max="5378" width="45.42578125" customWidth="1"/>
    <col min="5379" max="5379" width="7.7109375" customWidth="1"/>
    <col min="5380" max="5380" width="12" customWidth="1"/>
    <col min="5381" max="5381" width="15.7109375" bestFit="1" customWidth="1"/>
    <col min="5382" max="5382" width="10.28515625" bestFit="1" customWidth="1"/>
    <col min="5383" max="5383" width="10.7109375" customWidth="1"/>
    <col min="5634" max="5634" width="45.42578125" customWidth="1"/>
    <col min="5635" max="5635" width="7.7109375" customWidth="1"/>
    <col min="5636" max="5636" width="12" customWidth="1"/>
    <col min="5637" max="5637" width="15.7109375" bestFit="1" customWidth="1"/>
    <col min="5638" max="5638" width="10.28515625" bestFit="1" customWidth="1"/>
    <col min="5639" max="5639" width="10.7109375" customWidth="1"/>
    <col min="5890" max="5890" width="45.42578125" customWidth="1"/>
    <col min="5891" max="5891" width="7.7109375" customWidth="1"/>
    <col min="5892" max="5892" width="12" customWidth="1"/>
    <col min="5893" max="5893" width="15.7109375" bestFit="1" customWidth="1"/>
    <col min="5894" max="5894" width="10.28515625" bestFit="1" customWidth="1"/>
    <col min="5895" max="5895" width="10.7109375" customWidth="1"/>
    <col min="6146" max="6146" width="45.42578125" customWidth="1"/>
    <col min="6147" max="6147" width="7.7109375" customWidth="1"/>
    <col min="6148" max="6148" width="12" customWidth="1"/>
    <col min="6149" max="6149" width="15.7109375" bestFit="1" customWidth="1"/>
    <col min="6150" max="6150" width="10.28515625" bestFit="1" customWidth="1"/>
    <col min="6151" max="6151" width="10.7109375" customWidth="1"/>
    <col min="6402" max="6402" width="45.42578125" customWidth="1"/>
    <col min="6403" max="6403" width="7.7109375" customWidth="1"/>
    <col min="6404" max="6404" width="12" customWidth="1"/>
    <col min="6405" max="6405" width="15.7109375" bestFit="1" customWidth="1"/>
    <col min="6406" max="6406" width="10.28515625" bestFit="1" customWidth="1"/>
    <col min="6407" max="6407" width="10.7109375" customWidth="1"/>
    <col min="6658" max="6658" width="45.42578125" customWidth="1"/>
    <col min="6659" max="6659" width="7.7109375" customWidth="1"/>
    <col min="6660" max="6660" width="12" customWidth="1"/>
    <col min="6661" max="6661" width="15.7109375" bestFit="1" customWidth="1"/>
    <col min="6662" max="6662" width="10.28515625" bestFit="1" customWidth="1"/>
    <col min="6663" max="6663" width="10.7109375" customWidth="1"/>
    <col min="6914" max="6914" width="45.42578125" customWidth="1"/>
    <col min="6915" max="6915" width="7.7109375" customWidth="1"/>
    <col min="6916" max="6916" width="12" customWidth="1"/>
    <col min="6917" max="6917" width="15.7109375" bestFit="1" customWidth="1"/>
    <col min="6918" max="6918" width="10.28515625" bestFit="1" customWidth="1"/>
    <col min="6919" max="6919" width="10.7109375" customWidth="1"/>
    <col min="7170" max="7170" width="45.42578125" customWidth="1"/>
    <col min="7171" max="7171" width="7.7109375" customWidth="1"/>
    <col min="7172" max="7172" width="12" customWidth="1"/>
    <col min="7173" max="7173" width="15.7109375" bestFit="1" customWidth="1"/>
    <col min="7174" max="7174" width="10.28515625" bestFit="1" customWidth="1"/>
    <col min="7175" max="7175" width="10.7109375" customWidth="1"/>
    <col min="7426" max="7426" width="45.42578125" customWidth="1"/>
    <col min="7427" max="7427" width="7.7109375" customWidth="1"/>
    <col min="7428" max="7428" width="12" customWidth="1"/>
    <col min="7429" max="7429" width="15.7109375" bestFit="1" customWidth="1"/>
    <col min="7430" max="7430" width="10.28515625" bestFit="1" customWidth="1"/>
    <col min="7431" max="7431" width="10.7109375" customWidth="1"/>
    <col min="7682" max="7682" width="45.42578125" customWidth="1"/>
    <col min="7683" max="7683" width="7.7109375" customWidth="1"/>
    <col min="7684" max="7684" width="12" customWidth="1"/>
    <col min="7685" max="7685" width="15.7109375" bestFit="1" customWidth="1"/>
    <col min="7686" max="7686" width="10.28515625" bestFit="1" customWidth="1"/>
    <col min="7687" max="7687" width="10.7109375" customWidth="1"/>
    <col min="7938" max="7938" width="45.42578125" customWidth="1"/>
    <col min="7939" max="7939" width="7.7109375" customWidth="1"/>
    <col min="7940" max="7940" width="12" customWidth="1"/>
    <col min="7941" max="7941" width="15.7109375" bestFit="1" customWidth="1"/>
    <col min="7942" max="7942" width="10.28515625" bestFit="1" customWidth="1"/>
    <col min="7943" max="7943" width="10.7109375" customWidth="1"/>
    <col min="8194" max="8194" width="45.42578125" customWidth="1"/>
    <col min="8195" max="8195" width="7.7109375" customWidth="1"/>
    <col min="8196" max="8196" width="12" customWidth="1"/>
    <col min="8197" max="8197" width="15.7109375" bestFit="1" customWidth="1"/>
    <col min="8198" max="8198" width="10.28515625" bestFit="1" customWidth="1"/>
    <col min="8199" max="8199" width="10.7109375" customWidth="1"/>
    <col min="8450" max="8450" width="45.42578125" customWidth="1"/>
    <col min="8451" max="8451" width="7.7109375" customWidth="1"/>
    <col min="8452" max="8452" width="12" customWidth="1"/>
    <col min="8453" max="8453" width="15.7109375" bestFit="1" customWidth="1"/>
    <col min="8454" max="8454" width="10.28515625" bestFit="1" customWidth="1"/>
    <col min="8455" max="8455" width="10.7109375" customWidth="1"/>
    <col min="8706" max="8706" width="45.42578125" customWidth="1"/>
    <col min="8707" max="8707" width="7.7109375" customWidth="1"/>
    <col min="8708" max="8708" width="12" customWidth="1"/>
    <col min="8709" max="8709" width="15.7109375" bestFit="1" customWidth="1"/>
    <col min="8710" max="8710" width="10.28515625" bestFit="1" customWidth="1"/>
    <col min="8711" max="8711" width="10.7109375" customWidth="1"/>
    <col min="8962" max="8962" width="45.42578125" customWidth="1"/>
    <col min="8963" max="8963" width="7.7109375" customWidth="1"/>
    <col min="8964" max="8964" width="12" customWidth="1"/>
    <col min="8965" max="8965" width="15.7109375" bestFit="1" customWidth="1"/>
    <col min="8966" max="8966" width="10.28515625" bestFit="1" customWidth="1"/>
    <col min="8967" max="8967" width="10.7109375" customWidth="1"/>
    <col min="9218" max="9218" width="45.42578125" customWidth="1"/>
    <col min="9219" max="9219" width="7.7109375" customWidth="1"/>
    <col min="9220" max="9220" width="12" customWidth="1"/>
    <col min="9221" max="9221" width="15.7109375" bestFit="1" customWidth="1"/>
    <col min="9222" max="9222" width="10.28515625" bestFit="1" customWidth="1"/>
    <col min="9223" max="9223" width="10.7109375" customWidth="1"/>
    <col min="9474" max="9474" width="45.42578125" customWidth="1"/>
    <col min="9475" max="9475" width="7.7109375" customWidth="1"/>
    <col min="9476" max="9476" width="12" customWidth="1"/>
    <col min="9477" max="9477" width="15.7109375" bestFit="1" customWidth="1"/>
    <col min="9478" max="9478" width="10.28515625" bestFit="1" customWidth="1"/>
    <col min="9479" max="9479" width="10.7109375" customWidth="1"/>
    <col min="9730" max="9730" width="45.42578125" customWidth="1"/>
    <col min="9731" max="9731" width="7.7109375" customWidth="1"/>
    <col min="9732" max="9732" width="12" customWidth="1"/>
    <col min="9733" max="9733" width="15.7109375" bestFit="1" customWidth="1"/>
    <col min="9734" max="9734" width="10.28515625" bestFit="1" customWidth="1"/>
    <col min="9735" max="9735" width="10.7109375" customWidth="1"/>
    <col min="9986" max="9986" width="45.42578125" customWidth="1"/>
    <col min="9987" max="9987" width="7.7109375" customWidth="1"/>
    <col min="9988" max="9988" width="12" customWidth="1"/>
    <col min="9989" max="9989" width="15.7109375" bestFit="1" customWidth="1"/>
    <col min="9990" max="9990" width="10.28515625" bestFit="1" customWidth="1"/>
    <col min="9991" max="9991" width="10.7109375" customWidth="1"/>
    <col min="10242" max="10242" width="45.42578125" customWidth="1"/>
    <col min="10243" max="10243" width="7.7109375" customWidth="1"/>
    <col min="10244" max="10244" width="12" customWidth="1"/>
    <col min="10245" max="10245" width="15.7109375" bestFit="1" customWidth="1"/>
    <col min="10246" max="10246" width="10.28515625" bestFit="1" customWidth="1"/>
    <col min="10247" max="10247" width="10.7109375" customWidth="1"/>
    <col min="10498" max="10498" width="45.42578125" customWidth="1"/>
    <col min="10499" max="10499" width="7.7109375" customWidth="1"/>
    <col min="10500" max="10500" width="12" customWidth="1"/>
    <col min="10501" max="10501" width="15.7109375" bestFit="1" customWidth="1"/>
    <col min="10502" max="10502" width="10.28515625" bestFit="1" customWidth="1"/>
    <col min="10503" max="10503" width="10.7109375" customWidth="1"/>
    <col min="10754" max="10754" width="45.42578125" customWidth="1"/>
    <col min="10755" max="10755" width="7.7109375" customWidth="1"/>
    <col min="10756" max="10756" width="12" customWidth="1"/>
    <col min="10757" max="10757" width="15.7109375" bestFit="1" customWidth="1"/>
    <col min="10758" max="10758" width="10.28515625" bestFit="1" customWidth="1"/>
    <col min="10759" max="10759" width="10.7109375" customWidth="1"/>
    <col min="11010" max="11010" width="45.42578125" customWidth="1"/>
    <col min="11011" max="11011" width="7.7109375" customWidth="1"/>
    <col min="11012" max="11012" width="12" customWidth="1"/>
    <col min="11013" max="11013" width="15.7109375" bestFit="1" customWidth="1"/>
    <col min="11014" max="11014" width="10.28515625" bestFit="1" customWidth="1"/>
    <col min="11015" max="11015" width="10.7109375" customWidth="1"/>
    <col min="11266" max="11266" width="45.42578125" customWidth="1"/>
    <col min="11267" max="11267" width="7.7109375" customWidth="1"/>
    <col min="11268" max="11268" width="12" customWidth="1"/>
    <col min="11269" max="11269" width="15.7109375" bestFit="1" customWidth="1"/>
    <col min="11270" max="11270" width="10.28515625" bestFit="1" customWidth="1"/>
    <col min="11271" max="11271" width="10.7109375" customWidth="1"/>
    <col min="11522" max="11522" width="45.42578125" customWidth="1"/>
    <col min="11523" max="11523" width="7.7109375" customWidth="1"/>
    <col min="11524" max="11524" width="12" customWidth="1"/>
    <col min="11525" max="11525" width="15.7109375" bestFit="1" customWidth="1"/>
    <col min="11526" max="11526" width="10.28515625" bestFit="1" customWidth="1"/>
    <col min="11527" max="11527" width="10.7109375" customWidth="1"/>
    <col min="11778" max="11778" width="45.42578125" customWidth="1"/>
    <col min="11779" max="11779" width="7.7109375" customWidth="1"/>
    <col min="11780" max="11780" width="12" customWidth="1"/>
    <col min="11781" max="11781" width="15.7109375" bestFit="1" customWidth="1"/>
    <col min="11782" max="11782" width="10.28515625" bestFit="1" customWidth="1"/>
    <col min="11783" max="11783" width="10.7109375" customWidth="1"/>
    <col min="12034" max="12034" width="45.42578125" customWidth="1"/>
    <col min="12035" max="12035" width="7.7109375" customWidth="1"/>
    <col min="12036" max="12036" width="12" customWidth="1"/>
    <col min="12037" max="12037" width="15.7109375" bestFit="1" customWidth="1"/>
    <col min="12038" max="12038" width="10.28515625" bestFit="1" customWidth="1"/>
    <col min="12039" max="12039" width="10.7109375" customWidth="1"/>
    <col min="12290" max="12290" width="45.42578125" customWidth="1"/>
    <col min="12291" max="12291" width="7.7109375" customWidth="1"/>
    <col min="12292" max="12292" width="12" customWidth="1"/>
    <col min="12293" max="12293" width="15.7109375" bestFit="1" customWidth="1"/>
    <col min="12294" max="12294" width="10.28515625" bestFit="1" customWidth="1"/>
    <col min="12295" max="12295" width="10.7109375" customWidth="1"/>
    <col min="12546" max="12546" width="45.42578125" customWidth="1"/>
    <col min="12547" max="12547" width="7.7109375" customWidth="1"/>
    <col min="12548" max="12548" width="12" customWidth="1"/>
    <col min="12549" max="12549" width="15.7109375" bestFit="1" customWidth="1"/>
    <col min="12550" max="12550" width="10.28515625" bestFit="1" customWidth="1"/>
    <col min="12551" max="12551" width="10.7109375" customWidth="1"/>
    <col min="12802" max="12802" width="45.42578125" customWidth="1"/>
    <col min="12803" max="12803" width="7.7109375" customWidth="1"/>
    <col min="12804" max="12804" width="12" customWidth="1"/>
    <col min="12805" max="12805" width="15.7109375" bestFit="1" customWidth="1"/>
    <col min="12806" max="12806" width="10.28515625" bestFit="1" customWidth="1"/>
    <col min="12807" max="12807" width="10.7109375" customWidth="1"/>
    <col min="13058" max="13058" width="45.42578125" customWidth="1"/>
    <col min="13059" max="13059" width="7.7109375" customWidth="1"/>
    <col min="13060" max="13060" width="12" customWidth="1"/>
    <col min="13061" max="13061" width="15.7109375" bestFit="1" customWidth="1"/>
    <col min="13062" max="13062" width="10.28515625" bestFit="1" customWidth="1"/>
    <col min="13063" max="13063" width="10.7109375" customWidth="1"/>
    <col min="13314" max="13314" width="45.42578125" customWidth="1"/>
    <col min="13315" max="13315" width="7.7109375" customWidth="1"/>
    <col min="13316" max="13316" width="12" customWidth="1"/>
    <col min="13317" max="13317" width="15.7109375" bestFit="1" customWidth="1"/>
    <col min="13318" max="13318" width="10.28515625" bestFit="1" customWidth="1"/>
    <col min="13319" max="13319" width="10.7109375" customWidth="1"/>
    <col min="13570" max="13570" width="45.42578125" customWidth="1"/>
    <col min="13571" max="13571" width="7.7109375" customWidth="1"/>
    <col min="13572" max="13572" width="12" customWidth="1"/>
    <col min="13573" max="13573" width="15.7109375" bestFit="1" customWidth="1"/>
    <col min="13574" max="13574" width="10.28515625" bestFit="1" customWidth="1"/>
    <col min="13575" max="13575" width="10.7109375" customWidth="1"/>
    <col min="13826" max="13826" width="45.42578125" customWidth="1"/>
    <col min="13827" max="13827" width="7.7109375" customWidth="1"/>
    <col min="13828" max="13828" width="12" customWidth="1"/>
    <col min="13829" max="13829" width="15.7109375" bestFit="1" customWidth="1"/>
    <col min="13830" max="13830" width="10.28515625" bestFit="1" customWidth="1"/>
    <col min="13831" max="13831" width="10.7109375" customWidth="1"/>
    <col min="14082" max="14082" width="45.42578125" customWidth="1"/>
    <col min="14083" max="14083" width="7.7109375" customWidth="1"/>
    <col min="14084" max="14084" width="12" customWidth="1"/>
    <col min="14085" max="14085" width="15.7109375" bestFit="1" customWidth="1"/>
    <col min="14086" max="14086" width="10.28515625" bestFit="1" customWidth="1"/>
    <col min="14087" max="14087" width="10.7109375" customWidth="1"/>
    <col min="14338" max="14338" width="45.42578125" customWidth="1"/>
    <col min="14339" max="14339" width="7.7109375" customWidth="1"/>
    <col min="14340" max="14340" width="12" customWidth="1"/>
    <col min="14341" max="14341" width="15.7109375" bestFit="1" customWidth="1"/>
    <col min="14342" max="14342" width="10.28515625" bestFit="1" customWidth="1"/>
    <col min="14343" max="14343" width="10.7109375" customWidth="1"/>
    <col min="14594" max="14594" width="45.42578125" customWidth="1"/>
    <col min="14595" max="14595" width="7.7109375" customWidth="1"/>
    <col min="14596" max="14596" width="12" customWidth="1"/>
    <col min="14597" max="14597" width="15.7109375" bestFit="1" customWidth="1"/>
    <col min="14598" max="14598" width="10.28515625" bestFit="1" customWidth="1"/>
    <col min="14599" max="14599" width="10.7109375" customWidth="1"/>
    <col min="14850" max="14850" width="45.42578125" customWidth="1"/>
    <col min="14851" max="14851" width="7.7109375" customWidth="1"/>
    <col min="14852" max="14852" width="12" customWidth="1"/>
    <col min="14853" max="14853" width="15.7109375" bestFit="1" customWidth="1"/>
    <col min="14854" max="14854" width="10.28515625" bestFit="1" customWidth="1"/>
    <col min="14855" max="14855" width="10.7109375" customWidth="1"/>
    <col min="15106" max="15106" width="45.42578125" customWidth="1"/>
    <col min="15107" max="15107" width="7.7109375" customWidth="1"/>
    <col min="15108" max="15108" width="12" customWidth="1"/>
    <col min="15109" max="15109" width="15.7109375" bestFit="1" customWidth="1"/>
    <col min="15110" max="15110" width="10.28515625" bestFit="1" customWidth="1"/>
    <col min="15111" max="15111" width="10.7109375" customWidth="1"/>
    <col min="15362" max="15362" width="45.42578125" customWidth="1"/>
    <col min="15363" max="15363" width="7.7109375" customWidth="1"/>
    <col min="15364" max="15364" width="12" customWidth="1"/>
    <col min="15365" max="15365" width="15.7109375" bestFit="1" customWidth="1"/>
    <col min="15366" max="15366" width="10.28515625" bestFit="1" customWidth="1"/>
    <col min="15367" max="15367" width="10.7109375" customWidth="1"/>
    <col min="15618" max="15618" width="45.42578125" customWidth="1"/>
    <col min="15619" max="15619" width="7.7109375" customWidth="1"/>
    <col min="15620" max="15620" width="12" customWidth="1"/>
    <col min="15621" max="15621" width="15.7109375" bestFit="1" customWidth="1"/>
    <col min="15622" max="15622" width="10.28515625" bestFit="1" customWidth="1"/>
    <col min="15623" max="15623" width="10.7109375" customWidth="1"/>
    <col min="15874" max="15874" width="45.42578125" customWidth="1"/>
    <col min="15875" max="15875" width="7.7109375" customWidth="1"/>
    <col min="15876" max="15876" width="12" customWidth="1"/>
    <col min="15877" max="15877" width="15.7109375" bestFit="1" customWidth="1"/>
    <col min="15878" max="15878" width="10.28515625" bestFit="1" customWidth="1"/>
    <col min="15879" max="15879" width="10.7109375" customWidth="1"/>
    <col min="16130" max="16130" width="45.42578125" customWidth="1"/>
    <col min="16131" max="16131" width="7.7109375" customWidth="1"/>
    <col min="16132" max="16132" width="12" customWidth="1"/>
    <col min="16133" max="16133" width="15.7109375" bestFit="1" customWidth="1"/>
    <col min="16134" max="16134" width="10.28515625" bestFit="1" customWidth="1"/>
    <col min="16135" max="16135" width="10.7109375" customWidth="1"/>
  </cols>
  <sheetData>
    <row r="1" spans="1:6" x14ac:dyDescent="0.25">
      <c r="A1" s="294" t="s">
        <v>11587</v>
      </c>
      <c r="B1" s="294"/>
      <c r="C1" s="294"/>
      <c r="D1" s="294"/>
      <c r="E1" s="294"/>
      <c r="F1" s="294"/>
    </row>
    <row r="2" spans="1:6" x14ac:dyDescent="0.25">
      <c r="A2" s="190" t="s">
        <v>542</v>
      </c>
      <c r="B2" s="190" t="s">
        <v>543</v>
      </c>
      <c r="C2" s="190" t="s">
        <v>9</v>
      </c>
      <c r="D2" s="190" t="s">
        <v>544</v>
      </c>
      <c r="E2" s="190" t="s">
        <v>5</v>
      </c>
      <c r="F2" s="190" t="s">
        <v>545</v>
      </c>
    </row>
    <row r="3" spans="1:6" x14ac:dyDescent="0.25">
      <c r="A3" s="23" t="s">
        <v>11588</v>
      </c>
      <c r="B3" s="23" t="s">
        <v>1092</v>
      </c>
      <c r="C3" s="23">
        <v>13.88</v>
      </c>
      <c r="D3" s="23">
        <v>356083</v>
      </c>
      <c r="E3" s="24">
        <v>44287.402731481481</v>
      </c>
      <c r="F3" s="190">
        <v>4470</v>
      </c>
    </row>
    <row r="4" spans="1:6" x14ac:dyDescent="0.25">
      <c r="A4" s="23" t="s">
        <v>11589</v>
      </c>
      <c r="B4" s="23" t="s">
        <v>3792</v>
      </c>
      <c r="C4" s="23">
        <v>1.68</v>
      </c>
      <c r="D4" s="23">
        <v>356847</v>
      </c>
      <c r="E4" s="24">
        <v>44287.485243055555</v>
      </c>
      <c r="F4" s="190">
        <v>4471</v>
      </c>
    </row>
    <row r="5" spans="1:6" x14ac:dyDescent="0.25">
      <c r="A5" s="23" t="s">
        <v>11590</v>
      </c>
      <c r="B5" s="23" t="s">
        <v>3799</v>
      </c>
      <c r="C5" s="23">
        <v>16.22</v>
      </c>
      <c r="D5" s="23">
        <v>356702</v>
      </c>
      <c r="E5" s="24">
        <v>44287.492002314815</v>
      </c>
      <c r="F5" s="190">
        <v>4472</v>
      </c>
    </row>
    <row r="6" spans="1:6" x14ac:dyDescent="0.25">
      <c r="A6" s="23" t="s">
        <v>11591</v>
      </c>
      <c r="B6" s="23" t="s">
        <v>1129</v>
      </c>
      <c r="C6" s="23">
        <v>1.68</v>
      </c>
      <c r="D6" s="23">
        <v>357417</v>
      </c>
      <c r="E6" s="24">
        <v>44287.494942129626</v>
      </c>
      <c r="F6" s="190">
        <v>4473</v>
      </c>
    </row>
    <row r="7" spans="1:6" x14ac:dyDescent="0.25">
      <c r="A7" s="23" t="s">
        <v>11592</v>
      </c>
      <c r="B7" s="23" t="s">
        <v>11593</v>
      </c>
      <c r="C7" s="23">
        <v>3.91</v>
      </c>
      <c r="D7" s="23">
        <v>350934</v>
      </c>
      <c r="E7" s="24">
        <v>44287.566770833335</v>
      </c>
      <c r="F7" s="190">
        <v>4476</v>
      </c>
    </row>
    <row r="8" spans="1:6" x14ac:dyDescent="0.25">
      <c r="A8" s="23" t="s">
        <v>4755</v>
      </c>
      <c r="B8" s="23" t="s">
        <v>11594</v>
      </c>
      <c r="C8" s="23">
        <v>7.45</v>
      </c>
      <c r="D8" s="23">
        <v>356417</v>
      </c>
      <c r="E8" s="24">
        <v>44287.706828703704</v>
      </c>
      <c r="F8" s="190">
        <v>4474</v>
      </c>
    </row>
    <row r="9" spans="1:6" x14ac:dyDescent="0.25">
      <c r="A9" s="23" t="s">
        <v>11595</v>
      </c>
      <c r="B9" s="23" t="s">
        <v>3791</v>
      </c>
      <c r="C9" s="23">
        <v>1.94</v>
      </c>
      <c r="D9" s="23">
        <v>357009</v>
      </c>
      <c r="E9" s="24">
        <v>44287.847743055558</v>
      </c>
      <c r="F9" s="190">
        <v>4475</v>
      </c>
    </row>
    <row r="10" spans="1:6" x14ac:dyDescent="0.25">
      <c r="A10" s="23"/>
      <c r="B10" s="190">
        <v>1</v>
      </c>
      <c r="C10" s="189">
        <f>SUM(C3:C9)</f>
        <v>46.760000000000005</v>
      </c>
      <c r="D10" s="23"/>
      <c r="E10" s="24"/>
      <c r="F10" s="190"/>
    </row>
    <row r="11" spans="1:6" x14ac:dyDescent="0.25">
      <c r="A11" s="23" t="s">
        <v>11596</v>
      </c>
      <c r="B11" s="23" t="s">
        <v>585</v>
      </c>
      <c r="C11" s="23">
        <v>9.6</v>
      </c>
      <c r="D11" s="23">
        <v>355933</v>
      </c>
      <c r="E11" s="24">
        <v>44291.927708333336</v>
      </c>
      <c r="F11" s="190">
        <v>4595</v>
      </c>
    </row>
    <row r="12" spans="1:6" x14ac:dyDescent="0.25">
      <c r="A12" s="23" t="s">
        <v>11597</v>
      </c>
      <c r="B12" s="23" t="s">
        <v>593</v>
      </c>
      <c r="C12" s="23">
        <v>3.36</v>
      </c>
      <c r="D12" s="23">
        <v>355985</v>
      </c>
      <c r="E12" s="24">
        <v>44291.927708333336</v>
      </c>
      <c r="F12" s="190">
        <v>4596</v>
      </c>
    </row>
    <row r="13" spans="1:6" x14ac:dyDescent="0.25">
      <c r="A13" s="23" t="s">
        <v>11598</v>
      </c>
      <c r="B13" s="23" t="s">
        <v>594</v>
      </c>
      <c r="C13" s="23">
        <v>7.82</v>
      </c>
      <c r="D13" s="23">
        <v>355824</v>
      </c>
      <c r="E13" s="24">
        <v>44291.927708333336</v>
      </c>
      <c r="F13" s="190">
        <v>4597</v>
      </c>
    </row>
    <row r="14" spans="1:6" x14ac:dyDescent="0.25">
      <c r="A14" s="23" t="s">
        <v>11599</v>
      </c>
      <c r="B14" s="23" t="s">
        <v>582</v>
      </c>
      <c r="C14" s="23">
        <v>2.73</v>
      </c>
      <c r="D14" s="23">
        <v>356196</v>
      </c>
      <c r="E14" s="24">
        <v>44291.927708333336</v>
      </c>
      <c r="F14" s="190">
        <v>4598</v>
      </c>
    </row>
    <row r="15" spans="1:6" x14ac:dyDescent="0.25">
      <c r="A15" s="23" t="s">
        <v>11600</v>
      </c>
      <c r="B15" s="23" t="s">
        <v>595</v>
      </c>
      <c r="C15" s="23">
        <v>12.3</v>
      </c>
      <c r="D15" s="23">
        <v>355878</v>
      </c>
      <c r="E15" s="24">
        <v>44291.927708333336</v>
      </c>
      <c r="F15" s="190">
        <v>4599</v>
      </c>
    </row>
    <row r="16" spans="1:6" x14ac:dyDescent="0.25">
      <c r="A16" s="23" t="s">
        <v>11601</v>
      </c>
      <c r="B16" s="23" t="s">
        <v>591</v>
      </c>
      <c r="C16" s="23">
        <v>4.1900000000000004</v>
      </c>
      <c r="D16" s="23">
        <v>356000</v>
      </c>
      <c r="E16" s="24">
        <v>44291.927708333336</v>
      </c>
      <c r="F16" s="190">
        <v>4600</v>
      </c>
    </row>
    <row r="17" spans="1:6" x14ac:dyDescent="0.25">
      <c r="A17" s="23" t="s">
        <v>11602</v>
      </c>
      <c r="B17" s="23" t="s">
        <v>588</v>
      </c>
      <c r="C17" s="23">
        <v>7.82</v>
      </c>
      <c r="D17" s="23">
        <v>355816</v>
      </c>
      <c r="E17" s="24">
        <v>44291.927708333336</v>
      </c>
      <c r="F17" s="190">
        <v>4601</v>
      </c>
    </row>
    <row r="18" spans="1:6" x14ac:dyDescent="0.25">
      <c r="A18" s="23" t="s">
        <v>11603</v>
      </c>
      <c r="B18" s="23" t="s">
        <v>589</v>
      </c>
      <c r="C18" s="23">
        <v>4.1900000000000004</v>
      </c>
      <c r="D18" s="23">
        <v>355982</v>
      </c>
      <c r="E18" s="24">
        <v>44291.927708333336</v>
      </c>
      <c r="F18" s="190">
        <v>4602</v>
      </c>
    </row>
    <row r="19" spans="1:6" x14ac:dyDescent="0.25">
      <c r="A19" s="23" t="s">
        <v>11604</v>
      </c>
      <c r="B19" s="23" t="s">
        <v>583</v>
      </c>
      <c r="C19" s="23">
        <v>5.48</v>
      </c>
      <c r="D19" s="23">
        <v>356811</v>
      </c>
      <c r="E19" s="24">
        <v>44291.927708333336</v>
      </c>
      <c r="F19" s="190">
        <v>4611</v>
      </c>
    </row>
    <row r="20" spans="1:6" x14ac:dyDescent="0.25">
      <c r="A20" s="23" t="s">
        <v>11605</v>
      </c>
      <c r="B20" s="23" t="s">
        <v>581</v>
      </c>
      <c r="C20" s="23">
        <v>1.72</v>
      </c>
      <c r="D20" s="23">
        <v>356958</v>
      </c>
      <c r="E20" s="24">
        <v>44291.927708333336</v>
      </c>
      <c r="F20" s="190">
        <v>4603</v>
      </c>
    </row>
    <row r="21" spans="1:6" x14ac:dyDescent="0.25">
      <c r="A21" s="23" t="s">
        <v>11606</v>
      </c>
      <c r="B21" s="23" t="s">
        <v>584</v>
      </c>
      <c r="C21" s="23">
        <v>1.75</v>
      </c>
      <c r="D21" s="23">
        <v>357187</v>
      </c>
      <c r="E21" s="24">
        <v>44291.927708333336</v>
      </c>
      <c r="F21" s="190">
        <v>4604</v>
      </c>
    </row>
    <row r="22" spans="1:6" x14ac:dyDescent="0.25">
      <c r="A22" s="23" t="s">
        <v>11607</v>
      </c>
      <c r="B22" s="23" t="s">
        <v>592</v>
      </c>
      <c r="C22" s="23">
        <v>1.78</v>
      </c>
      <c r="D22" s="23">
        <v>356399</v>
      </c>
      <c r="E22" s="24">
        <v>44291.927708333336</v>
      </c>
      <c r="F22" s="190">
        <v>4605</v>
      </c>
    </row>
    <row r="23" spans="1:6" x14ac:dyDescent="0.25">
      <c r="A23" s="23" t="s">
        <v>11608</v>
      </c>
      <c r="B23" s="23" t="s">
        <v>1103</v>
      </c>
      <c r="C23" s="23">
        <v>1.68</v>
      </c>
      <c r="D23" s="23">
        <v>357339</v>
      </c>
      <c r="E23" s="24">
        <v>44291.927708333336</v>
      </c>
      <c r="F23" s="190">
        <v>4607</v>
      </c>
    </row>
    <row r="24" spans="1:6" x14ac:dyDescent="0.25">
      <c r="A24" s="23" t="s">
        <v>11609</v>
      </c>
      <c r="B24" s="23" t="s">
        <v>580</v>
      </c>
      <c r="C24" s="23">
        <v>17.899999999999999</v>
      </c>
      <c r="D24" s="23">
        <v>355835</v>
      </c>
      <c r="E24" s="24">
        <v>44291.927708333336</v>
      </c>
      <c r="F24" s="190">
        <v>4608</v>
      </c>
    </row>
    <row r="25" spans="1:6" x14ac:dyDescent="0.25">
      <c r="A25" s="23" t="s">
        <v>11610</v>
      </c>
      <c r="B25" s="23" t="s">
        <v>586</v>
      </c>
      <c r="C25" s="23">
        <v>2.0099999999999998</v>
      </c>
      <c r="D25" s="23">
        <v>356073</v>
      </c>
      <c r="E25" s="24">
        <v>44291.927708333336</v>
      </c>
      <c r="F25" s="190">
        <v>4609</v>
      </c>
    </row>
    <row r="26" spans="1:6" x14ac:dyDescent="0.25">
      <c r="A26" s="23" t="s">
        <v>11611</v>
      </c>
      <c r="B26" s="23" t="s">
        <v>569</v>
      </c>
      <c r="C26" s="23">
        <v>6.94</v>
      </c>
      <c r="D26" s="23">
        <v>356065</v>
      </c>
      <c r="E26" s="24">
        <v>44291.927708333336</v>
      </c>
      <c r="F26" s="190">
        <v>4610</v>
      </c>
    </row>
    <row r="27" spans="1:6" x14ac:dyDescent="0.25">
      <c r="A27" s="23" t="s">
        <v>11612</v>
      </c>
      <c r="B27" s="23" t="s">
        <v>1102</v>
      </c>
      <c r="C27" s="23">
        <v>1.68</v>
      </c>
      <c r="D27" s="23">
        <v>357430</v>
      </c>
      <c r="E27" s="24">
        <v>44291.927708333336</v>
      </c>
      <c r="F27" s="190">
        <v>4612</v>
      </c>
    </row>
    <row r="28" spans="1:6" x14ac:dyDescent="0.25">
      <c r="A28" s="23" t="s">
        <v>11613</v>
      </c>
      <c r="B28" s="23" t="s">
        <v>570</v>
      </c>
      <c r="C28" s="23">
        <v>2.16</v>
      </c>
      <c r="D28" s="23">
        <v>356592</v>
      </c>
      <c r="E28" s="24">
        <v>44291.927708333336</v>
      </c>
      <c r="F28" s="190">
        <v>4613</v>
      </c>
    </row>
    <row r="29" spans="1:6" x14ac:dyDescent="0.25">
      <c r="A29" s="23" t="s">
        <v>11614</v>
      </c>
      <c r="B29" s="23" t="s">
        <v>575</v>
      </c>
      <c r="C29" s="23">
        <v>7.82</v>
      </c>
      <c r="D29" s="23">
        <v>355847</v>
      </c>
      <c r="E29" s="24">
        <v>44291.927708333336</v>
      </c>
      <c r="F29" s="190">
        <v>4615</v>
      </c>
    </row>
    <row r="30" spans="1:6" x14ac:dyDescent="0.25">
      <c r="A30" s="23" t="s">
        <v>11615</v>
      </c>
      <c r="B30" s="23" t="s">
        <v>561</v>
      </c>
      <c r="C30" s="23">
        <v>11.5</v>
      </c>
      <c r="D30" s="23">
        <v>356762</v>
      </c>
      <c r="E30" s="24">
        <v>44291.927708333336</v>
      </c>
      <c r="F30" s="190">
        <v>4616</v>
      </c>
    </row>
    <row r="31" spans="1:6" x14ac:dyDescent="0.25">
      <c r="A31" s="23" t="s">
        <v>11616</v>
      </c>
      <c r="B31" s="23" t="s">
        <v>571</v>
      </c>
      <c r="C31" s="23">
        <v>8.3800000000000008</v>
      </c>
      <c r="D31" s="23">
        <v>355911</v>
      </c>
      <c r="E31" s="24">
        <v>44291.927708333336</v>
      </c>
      <c r="F31" s="190">
        <v>4617</v>
      </c>
    </row>
    <row r="32" spans="1:6" x14ac:dyDescent="0.25">
      <c r="A32" s="23" t="s">
        <v>11617</v>
      </c>
      <c r="B32" s="23" t="s">
        <v>577</v>
      </c>
      <c r="C32" s="23">
        <v>1.68</v>
      </c>
      <c r="D32" s="23">
        <v>356127</v>
      </c>
      <c r="E32" s="24">
        <v>44291.927708333336</v>
      </c>
      <c r="F32" s="190">
        <v>4618</v>
      </c>
    </row>
    <row r="33" spans="1:7" x14ac:dyDescent="0.25">
      <c r="A33" s="23" t="s">
        <v>11618</v>
      </c>
      <c r="B33" s="23" t="s">
        <v>1093</v>
      </c>
      <c r="C33" s="23">
        <v>8.3800000000000008</v>
      </c>
      <c r="D33" s="23">
        <v>355883</v>
      </c>
      <c r="E33" s="24">
        <v>44291.927708333336</v>
      </c>
      <c r="F33" s="190">
        <v>4619</v>
      </c>
    </row>
    <row r="34" spans="1:7" x14ac:dyDescent="0.25">
      <c r="A34" s="23" t="s">
        <v>11619</v>
      </c>
      <c r="B34" s="23" t="s">
        <v>578</v>
      </c>
      <c r="C34" s="23">
        <v>7.47</v>
      </c>
      <c r="D34" s="23">
        <v>356141</v>
      </c>
      <c r="E34" s="24">
        <v>44291.927708333336</v>
      </c>
      <c r="F34" s="190">
        <v>4620</v>
      </c>
      <c r="G34" s="26"/>
    </row>
    <row r="35" spans="1:7" x14ac:dyDescent="0.25">
      <c r="A35" s="23" t="s">
        <v>11620</v>
      </c>
      <c r="B35" s="23" t="s">
        <v>579</v>
      </c>
      <c r="C35" s="23">
        <v>8.3800000000000008</v>
      </c>
      <c r="D35" s="23">
        <v>355984</v>
      </c>
      <c r="E35" s="24">
        <v>44291.927708333336</v>
      </c>
      <c r="F35" s="190">
        <v>4621</v>
      </c>
    </row>
    <row r="36" spans="1:7" x14ac:dyDescent="0.25">
      <c r="A36" s="23" t="s">
        <v>11621</v>
      </c>
      <c r="B36" s="23" t="s">
        <v>572</v>
      </c>
      <c r="C36" s="23">
        <v>8.3800000000000008</v>
      </c>
      <c r="D36" s="23">
        <v>355877</v>
      </c>
      <c r="E36" s="24">
        <v>44291.927708333336</v>
      </c>
      <c r="F36" s="190">
        <v>4622</v>
      </c>
    </row>
    <row r="37" spans="1:7" x14ac:dyDescent="0.25">
      <c r="A37" s="23" t="s">
        <v>11622</v>
      </c>
      <c r="B37" s="23" t="s">
        <v>573</v>
      </c>
      <c r="C37" s="23">
        <v>7.94</v>
      </c>
      <c r="D37" s="23">
        <v>356054</v>
      </c>
      <c r="E37" s="24">
        <v>44291.927708333336</v>
      </c>
      <c r="F37" s="190">
        <v>4623</v>
      </c>
    </row>
    <row r="38" spans="1:7" x14ac:dyDescent="0.25">
      <c r="A38" s="23" t="s">
        <v>11623</v>
      </c>
      <c r="B38" s="23" t="s">
        <v>565</v>
      </c>
      <c r="C38" s="23">
        <v>6.12</v>
      </c>
      <c r="D38" s="23">
        <v>355931</v>
      </c>
      <c r="E38" s="24">
        <v>44291.927708333336</v>
      </c>
      <c r="F38" s="190">
        <v>4624</v>
      </c>
    </row>
    <row r="39" spans="1:7" x14ac:dyDescent="0.25">
      <c r="A39" s="23" t="s">
        <v>11624</v>
      </c>
      <c r="B39" s="23" t="s">
        <v>566</v>
      </c>
      <c r="C39" s="23">
        <v>2.72</v>
      </c>
      <c r="D39" s="23">
        <v>356946</v>
      </c>
      <c r="E39" s="24">
        <v>44291.927708333336</v>
      </c>
      <c r="F39" s="190">
        <v>4625</v>
      </c>
    </row>
    <row r="40" spans="1:7" x14ac:dyDescent="0.25">
      <c r="A40" s="23" t="s">
        <v>11625</v>
      </c>
      <c r="B40" s="23" t="s">
        <v>1118</v>
      </c>
      <c r="C40" s="23">
        <v>3.75</v>
      </c>
      <c r="D40" s="23">
        <v>357006</v>
      </c>
      <c r="E40" s="24">
        <v>44291.927708333336</v>
      </c>
      <c r="F40" s="190">
        <v>4626</v>
      </c>
    </row>
    <row r="41" spans="1:7" x14ac:dyDescent="0.25">
      <c r="A41" s="23" t="s">
        <v>11626</v>
      </c>
      <c r="B41" s="23" t="s">
        <v>568</v>
      </c>
      <c r="C41" s="23">
        <v>2.98</v>
      </c>
      <c r="D41" s="23">
        <v>357055</v>
      </c>
      <c r="E41" s="24">
        <v>44291.927708333336</v>
      </c>
      <c r="F41" s="190">
        <v>4627</v>
      </c>
    </row>
    <row r="42" spans="1:7" x14ac:dyDescent="0.25">
      <c r="A42" s="23" t="s">
        <v>11627</v>
      </c>
      <c r="B42" s="23" t="s">
        <v>563</v>
      </c>
      <c r="C42" s="23">
        <v>8.3800000000000008</v>
      </c>
      <c r="D42" s="23">
        <v>355973</v>
      </c>
      <c r="E42" s="24">
        <v>44291.927708333336</v>
      </c>
      <c r="F42" s="190">
        <v>4628</v>
      </c>
    </row>
    <row r="43" spans="1:7" x14ac:dyDescent="0.25">
      <c r="A43" s="23" t="s">
        <v>11628</v>
      </c>
      <c r="B43" s="23" t="s">
        <v>576</v>
      </c>
      <c r="C43" s="23">
        <v>6.68</v>
      </c>
      <c r="D43" s="23">
        <v>355890</v>
      </c>
      <c r="E43" s="24">
        <v>44291.927708333336</v>
      </c>
      <c r="F43" s="190">
        <v>4629</v>
      </c>
    </row>
    <row r="44" spans="1:7" x14ac:dyDescent="0.25">
      <c r="A44" s="23" t="s">
        <v>11629</v>
      </c>
      <c r="B44" s="23" t="s">
        <v>564</v>
      </c>
      <c r="C44" s="23">
        <v>5.36</v>
      </c>
      <c r="D44" s="23">
        <v>356351</v>
      </c>
      <c r="E44" s="24">
        <v>44291.927708333336</v>
      </c>
      <c r="F44" s="190">
        <v>4630</v>
      </c>
    </row>
    <row r="45" spans="1:7" x14ac:dyDescent="0.25">
      <c r="A45" s="23" t="s">
        <v>11630</v>
      </c>
      <c r="B45" s="23" t="s">
        <v>560</v>
      </c>
      <c r="C45" s="23">
        <v>4.6900000000000004</v>
      </c>
      <c r="D45" s="23">
        <v>356252</v>
      </c>
      <c r="E45" s="24">
        <v>44291.927708333336</v>
      </c>
      <c r="F45" s="190">
        <v>4631</v>
      </c>
    </row>
    <row r="46" spans="1:7" x14ac:dyDescent="0.25">
      <c r="A46" s="23" t="s">
        <v>11631</v>
      </c>
      <c r="B46" s="23" t="s">
        <v>567</v>
      </c>
      <c r="C46" s="23">
        <v>8.3800000000000008</v>
      </c>
      <c r="D46" s="23">
        <v>355837</v>
      </c>
      <c r="E46" s="24">
        <v>44291.927708333336</v>
      </c>
      <c r="F46" s="190">
        <v>4632</v>
      </c>
    </row>
    <row r="47" spans="1:7" x14ac:dyDescent="0.25">
      <c r="A47" s="23" t="s">
        <v>11632</v>
      </c>
      <c r="B47" s="23" t="s">
        <v>599</v>
      </c>
      <c r="C47" s="23">
        <v>15.3</v>
      </c>
      <c r="D47" s="23">
        <v>357850</v>
      </c>
      <c r="E47" s="24">
        <v>44291.927708333336</v>
      </c>
      <c r="F47" s="190">
        <v>4633</v>
      </c>
    </row>
    <row r="48" spans="1:7" x14ac:dyDescent="0.25">
      <c r="A48" s="23" t="s">
        <v>11633</v>
      </c>
      <c r="B48" s="23" t="s">
        <v>599</v>
      </c>
      <c r="C48" s="23">
        <v>15.3</v>
      </c>
      <c r="D48" s="23">
        <v>357851</v>
      </c>
      <c r="E48" s="24">
        <v>44291.927708333336</v>
      </c>
      <c r="F48" s="190">
        <v>4634</v>
      </c>
    </row>
    <row r="49" spans="1:6" x14ac:dyDescent="0.25">
      <c r="A49" s="23" t="s">
        <v>11634</v>
      </c>
      <c r="B49" s="23" t="s">
        <v>599</v>
      </c>
      <c r="C49" s="23">
        <v>15.3</v>
      </c>
      <c r="D49" s="23">
        <v>357852</v>
      </c>
      <c r="E49" s="24">
        <v>44291.927708333336</v>
      </c>
      <c r="F49" s="190">
        <v>4635</v>
      </c>
    </row>
    <row r="50" spans="1:6" x14ac:dyDescent="0.25">
      <c r="A50" s="23" t="s">
        <v>11635</v>
      </c>
      <c r="B50" s="23" t="s">
        <v>6080</v>
      </c>
      <c r="C50" s="23">
        <v>2.5</v>
      </c>
      <c r="D50" s="23">
        <v>358011</v>
      </c>
      <c r="E50" s="24">
        <v>44291.927708333336</v>
      </c>
      <c r="F50" s="190">
        <v>4636</v>
      </c>
    </row>
    <row r="51" spans="1:6" x14ac:dyDescent="0.25">
      <c r="A51" s="23" t="s">
        <v>11636</v>
      </c>
      <c r="B51" s="23" t="s">
        <v>6080</v>
      </c>
      <c r="C51" s="23">
        <v>1.94</v>
      </c>
      <c r="D51" s="23">
        <v>358063</v>
      </c>
      <c r="E51" s="24">
        <v>44291.927708333336</v>
      </c>
      <c r="F51" s="190">
        <v>4637</v>
      </c>
    </row>
    <row r="52" spans="1:6" x14ac:dyDescent="0.25">
      <c r="A52" s="23" t="s">
        <v>11637</v>
      </c>
      <c r="B52" s="23" t="s">
        <v>600</v>
      </c>
      <c r="C52" s="23">
        <v>15.3</v>
      </c>
      <c r="D52" s="23">
        <v>357855</v>
      </c>
      <c r="E52" s="24">
        <v>44291.927708333336</v>
      </c>
      <c r="F52" s="190">
        <v>4638</v>
      </c>
    </row>
    <row r="53" spans="1:6" x14ac:dyDescent="0.25">
      <c r="A53" s="23" t="s">
        <v>11638</v>
      </c>
      <c r="B53" s="23" t="s">
        <v>601</v>
      </c>
      <c r="C53" s="23">
        <v>32.1</v>
      </c>
      <c r="D53" s="23">
        <v>357860</v>
      </c>
      <c r="E53" s="24">
        <v>44291.927708333336</v>
      </c>
      <c r="F53" s="190">
        <v>4639</v>
      </c>
    </row>
    <row r="54" spans="1:6" x14ac:dyDescent="0.25">
      <c r="A54" s="23" t="s">
        <v>11639</v>
      </c>
      <c r="B54" s="23" t="s">
        <v>596</v>
      </c>
      <c r="C54" s="23">
        <v>4.22</v>
      </c>
      <c r="D54" s="23">
        <v>358045</v>
      </c>
      <c r="E54" s="24">
        <v>44291.927708333336</v>
      </c>
      <c r="F54" s="190">
        <v>4640</v>
      </c>
    </row>
    <row r="55" spans="1:6" x14ac:dyDescent="0.25">
      <c r="A55" s="23" t="s">
        <v>11640</v>
      </c>
      <c r="B55" s="23" t="s">
        <v>598</v>
      </c>
      <c r="C55" s="23">
        <v>1.98</v>
      </c>
      <c r="D55" s="23">
        <v>357942</v>
      </c>
      <c r="E55" s="24">
        <v>44291.927708333336</v>
      </c>
      <c r="F55" s="190">
        <v>4641</v>
      </c>
    </row>
    <row r="56" spans="1:6" x14ac:dyDescent="0.25">
      <c r="A56" s="23" t="s">
        <v>11641</v>
      </c>
      <c r="B56" s="23" t="s">
        <v>597</v>
      </c>
      <c r="C56" s="23">
        <v>10.25</v>
      </c>
      <c r="D56" s="23">
        <v>357951</v>
      </c>
      <c r="E56" s="24">
        <v>44291.927708333336</v>
      </c>
      <c r="F56" s="190">
        <v>4642</v>
      </c>
    </row>
    <row r="57" spans="1:6" x14ac:dyDescent="0.25">
      <c r="A57" s="23"/>
      <c r="B57" s="190">
        <v>2</v>
      </c>
      <c r="C57" s="189">
        <f>SUM(C11:C56)</f>
        <v>328.29000000000008</v>
      </c>
      <c r="D57" s="23"/>
      <c r="E57" s="24"/>
      <c r="F57" s="190"/>
    </row>
    <row r="58" spans="1:6" x14ac:dyDescent="0.25">
      <c r="A58" s="23" t="str">
        <f>"3901940"</f>
        <v>3901940</v>
      </c>
      <c r="B58" s="23" t="s">
        <v>547</v>
      </c>
      <c r="C58" s="23">
        <v>11.4</v>
      </c>
      <c r="D58" s="23">
        <v>356135</v>
      </c>
      <c r="E58" s="24">
        <v>44292.367361111108</v>
      </c>
      <c r="F58" s="190">
        <v>4717</v>
      </c>
    </row>
    <row r="59" spans="1:6" x14ac:dyDescent="0.25">
      <c r="A59" s="23" t="str">
        <f>"3908996"</f>
        <v>3908996</v>
      </c>
      <c r="B59" s="23" t="s">
        <v>1594</v>
      </c>
      <c r="C59" s="23">
        <v>13.41</v>
      </c>
      <c r="D59" s="23">
        <v>356444</v>
      </c>
      <c r="E59" s="24">
        <v>44292.417696759258</v>
      </c>
      <c r="F59" s="190">
        <v>4718</v>
      </c>
    </row>
    <row r="60" spans="1:6" x14ac:dyDescent="0.25">
      <c r="A60" s="23" t="str">
        <f>"3907527"</f>
        <v>3907527</v>
      </c>
      <c r="B60" s="23" t="s">
        <v>1089</v>
      </c>
      <c r="C60" s="23">
        <v>10.31</v>
      </c>
      <c r="D60" s="23">
        <v>356128</v>
      </c>
      <c r="E60" s="24">
        <v>44292.455000000002</v>
      </c>
      <c r="F60" s="190">
        <v>4719</v>
      </c>
    </row>
    <row r="61" spans="1:6" x14ac:dyDescent="0.25">
      <c r="A61" s="23" t="str">
        <f>"3920065"</f>
        <v>3920065</v>
      </c>
      <c r="B61" s="23" t="s">
        <v>610</v>
      </c>
      <c r="C61" s="23">
        <v>30.6</v>
      </c>
      <c r="D61" s="23">
        <v>357846</v>
      </c>
      <c r="E61" s="24">
        <v>44292.533483796295</v>
      </c>
      <c r="F61" s="190">
        <v>4720</v>
      </c>
    </row>
    <row r="62" spans="1:6" x14ac:dyDescent="0.25">
      <c r="A62" s="23" t="str">
        <f>"3907156"</f>
        <v>3907156</v>
      </c>
      <c r="B62" s="23" t="s">
        <v>1121</v>
      </c>
      <c r="C62" s="23">
        <v>6.94</v>
      </c>
      <c r="D62" s="23">
        <v>356040</v>
      </c>
      <c r="E62" s="24">
        <v>44292.631666666668</v>
      </c>
      <c r="F62" s="190">
        <v>4721</v>
      </c>
    </row>
    <row r="63" spans="1:6" x14ac:dyDescent="0.25">
      <c r="A63" s="23" t="str">
        <f>"3900695"</f>
        <v>3900695</v>
      </c>
      <c r="B63" s="23" t="s">
        <v>3763</v>
      </c>
      <c r="C63" s="23">
        <v>3.64</v>
      </c>
      <c r="D63" s="23">
        <v>357044</v>
      </c>
      <c r="E63" s="24">
        <v>44292.642731481479</v>
      </c>
      <c r="F63" s="190">
        <v>4722</v>
      </c>
    </row>
    <row r="64" spans="1:6" x14ac:dyDescent="0.25">
      <c r="A64" s="23" t="str">
        <f>"23923204"</f>
        <v>23923204</v>
      </c>
      <c r="B64" s="23" t="s">
        <v>11642</v>
      </c>
      <c r="C64" s="23">
        <v>8.91</v>
      </c>
      <c r="D64" s="23">
        <v>4121</v>
      </c>
      <c r="E64" s="24">
        <v>44292.761782407404</v>
      </c>
      <c r="F64" s="190">
        <v>4723</v>
      </c>
    </row>
    <row r="65" spans="1:6" x14ac:dyDescent="0.25">
      <c r="A65" s="23"/>
      <c r="B65" s="190">
        <v>3</v>
      </c>
      <c r="C65" s="189">
        <f>SUM(C58:C64)</f>
        <v>85.21</v>
      </c>
      <c r="D65" s="23"/>
      <c r="E65" s="24"/>
      <c r="F65" s="190"/>
    </row>
    <row r="66" spans="1:6" x14ac:dyDescent="0.25">
      <c r="A66" s="23" t="str">
        <f>"3945455"</f>
        <v>3945455</v>
      </c>
      <c r="B66" s="23" t="s">
        <v>1127</v>
      </c>
      <c r="C66" s="23">
        <v>8.3800000000000008</v>
      </c>
      <c r="D66" s="23">
        <v>355913</v>
      </c>
      <c r="E66" s="24">
        <v>44293.341087962966</v>
      </c>
      <c r="F66" s="190">
        <v>4916</v>
      </c>
    </row>
    <row r="67" spans="1:6" x14ac:dyDescent="0.25">
      <c r="A67" s="23" t="str">
        <f>"3930078"</f>
        <v>3930078</v>
      </c>
      <c r="B67" s="23" t="s">
        <v>11643</v>
      </c>
      <c r="C67" s="23">
        <v>5.04</v>
      </c>
      <c r="D67" s="23">
        <v>351588</v>
      </c>
      <c r="E67" s="24">
        <v>44293.494328703702</v>
      </c>
      <c r="F67" s="190">
        <v>4920</v>
      </c>
    </row>
    <row r="68" spans="1:6" x14ac:dyDescent="0.25">
      <c r="A68" s="23" t="str">
        <f>"3909789"</f>
        <v>3909789</v>
      </c>
      <c r="B68" s="23" t="s">
        <v>604</v>
      </c>
      <c r="C68" s="23">
        <v>5.08</v>
      </c>
      <c r="D68" s="23">
        <v>356842</v>
      </c>
      <c r="E68" s="24">
        <v>44293.56653935185</v>
      </c>
      <c r="F68" s="190">
        <v>4921</v>
      </c>
    </row>
    <row r="69" spans="1:6" x14ac:dyDescent="0.25">
      <c r="A69" s="23" t="str">
        <f>"3906033"</f>
        <v>3906033</v>
      </c>
      <c r="B69" s="23" t="s">
        <v>1099</v>
      </c>
      <c r="C69" s="23">
        <v>1.68</v>
      </c>
      <c r="D69" s="23">
        <v>357247</v>
      </c>
      <c r="E69" s="24">
        <v>44293.57953703704</v>
      </c>
      <c r="F69" s="190">
        <v>4917</v>
      </c>
    </row>
    <row r="70" spans="1:6" x14ac:dyDescent="0.25">
      <c r="A70" s="23" t="str">
        <f>"3900357"</f>
        <v>3900357</v>
      </c>
      <c r="B70" s="23" t="s">
        <v>11644</v>
      </c>
      <c r="C70" s="23">
        <v>172.48</v>
      </c>
      <c r="D70" s="23">
        <v>344907</v>
      </c>
      <c r="E70" s="24">
        <v>44293.595393518517</v>
      </c>
      <c r="F70" s="190">
        <v>4922</v>
      </c>
    </row>
    <row r="71" spans="1:6" x14ac:dyDescent="0.25">
      <c r="A71" s="23" t="str">
        <f>"3909154"</f>
        <v>3909154</v>
      </c>
      <c r="B71" s="23" t="s">
        <v>1113</v>
      </c>
      <c r="C71" s="23">
        <v>15.44</v>
      </c>
      <c r="D71" s="23">
        <v>358062</v>
      </c>
      <c r="E71" s="24">
        <v>44293.602858796294</v>
      </c>
      <c r="F71" s="190">
        <v>4918</v>
      </c>
    </row>
    <row r="72" spans="1:6" x14ac:dyDescent="0.25">
      <c r="A72" s="23" t="str">
        <f>"3901242"</f>
        <v>3901242</v>
      </c>
      <c r="B72" s="23" t="s">
        <v>11645</v>
      </c>
      <c r="C72" s="23">
        <v>5.05</v>
      </c>
      <c r="D72" s="23">
        <v>349668</v>
      </c>
      <c r="E72" s="24">
        <v>44293.640729166669</v>
      </c>
      <c r="F72" s="190">
        <v>4923</v>
      </c>
    </row>
    <row r="73" spans="1:6" x14ac:dyDescent="0.25">
      <c r="A73" s="23" t="str">
        <f>"3945281"</f>
        <v>3945281</v>
      </c>
      <c r="B73" s="23" t="s">
        <v>1125</v>
      </c>
      <c r="C73" s="23">
        <v>4.1900000000000004</v>
      </c>
      <c r="D73" s="23">
        <v>355983</v>
      </c>
      <c r="E73" s="24">
        <v>44293.741863425923</v>
      </c>
      <c r="F73" s="190">
        <v>4919</v>
      </c>
    </row>
    <row r="74" spans="1:6" x14ac:dyDescent="0.25">
      <c r="A74" s="23"/>
      <c r="B74" s="190">
        <v>4</v>
      </c>
      <c r="C74" s="189">
        <f>SUM(C66:C73)</f>
        <v>217.34</v>
      </c>
      <c r="D74" s="23"/>
      <c r="E74" s="24"/>
      <c r="F74" s="190"/>
    </row>
    <row r="75" spans="1:6" x14ac:dyDescent="0.25">
      <c r="A75" s="23" t="str">
        <f>"3945471"</f>
        <v>3945471</v>
      </c>
      <c r="B75" s="23" t="s">
        <v>1098</v>
      </c>
      <c r="C75" s="23">
        <v>23.66</v>
      </c>
      <c r="D75" s="23">
        <v>355919</v>
      </c>
      <c r="E75" s="24">
        <v>44294.561967592592</v>
      </c>
      <c r="F75" s="190">
        <v>5006</v>
      </c>
    </row>
    <row r="76" spans="1:6" x14ac:dyDescent="0.25">
      <c r="A76" s="23" t="str">
        <f>"23923029"</f>
        <v>23923029</v>
      </c>
      <c r="B76" s="23" t="s">
        <v>621</v>
      </c>
      <c r="C76" s="23">
        <v>10.3</v>
      </c>
      <c r="D76" s="23">
        <v>4045</v>
      </c>
      <c r="E76" s="24">
        <v>44294.579583333332</v>
      </c>
      <c r="F76" s="190">
        <v>5007</v>
      </c>
    </row>
    <row r="77" spans="1:6" x14ac:dyDescent="0.25">
      <c r="A77" s="23" t="str">
        <f>"3909261"</f>
        <v>3909261</v>
      </c>
      <c r="B77" s="23" t="s">
        <v>6076</v>
      </c>
      <c r="C77" s="23">
        <v>7.0000000000000007E-2</v>
      </c>
      <c r="D77" s="23">
        <v>357734</v>
      </c>
      <c r="E77" s="24">
        <v>44294.613680555558</v>
      </c>
      <c r="F77" s="190">
        <v>5008</v>
      </c>
    </row>
    <row r="78" spans="1:6" x14ac:dyDescent="0.25">
      <c r="A78" s="23" t="str">
        <f>"3908040"</f>
        <v>3908040</v>
      </c>
      <c r="B78" s="23" t="s">
        <v>11646</v>
      </c>
      <c r="C78" s="23">
        <v>9.93</v>
      </c>
      <c r="D78" s="23">
        <v>357368</v>
      </c>
      <c r="E78" s="24">
        <v>44294.616782407407</v>
      </c>
      <c r="F78" s="190">
        <v>5009</v>
      </c>
    </row>
    <row r="79" spans="1:6" x14ac:dyDescent="0.25">
      <c r="A79" s="23" t="str">
        <f>"3908657"</f>
        <v>3908657</v>
      </c>
      <c r="B79" s="23" t="s">
        <v>1128</v>
      </c>
      <c r="C79" s="23">
        <v>5.56</v>
      </c>
      <c r="D79" s="23">
        <v>356838</v>
      </c>
      <c r="E79" s="24">
        <v>44294.645439814813</v>
      </c>
      <c r="F79" s="190">
        <v>5010</v>
      </c>
    </row>
    <row r="80" spans="1:6" x14ac:dyDescent="0.25">
      <c r="A80" s="23" t="str">
        <f>"3907330"</f>
        <v>3907330</v>
      </c>
      <c r="B80" s="23" t="s">
        <v>3777</v>
      </c>
      <c r="C80" s="23">
        <v>33.090000000000003</v>
      </c>
      <c r="D80" s="23">
        <v>356017</v>
      </c>
      <c r="E80" s="24">
        <v>44294.796817129631</v>
      </c>
      <c r="F80" s="190">
        <v>5011</v>
      </c>
    </row>
    <row r="81" spans="1:6" x14ac:dyDescent="0.25">
      <c r="A81" s="23" t="str">
        <f>"3902041"</f>
        <v>3902041</v>
      </c>
      <c r="B81" s="23" t="s">
        <v>3776</v>
      </c>
      <c r="C81" s="23">
        <v>16.760000000000002</v>
      </c>
      <c r="D81" s="23">
        <v>355943</v>
      </c>
      <c r="E81" s="24">
        <v>44294.797372685185</v>
      </c>
      <c r="F81" s="190">
        <v>5012</v>
      </c>
    </row>
    <row r="82" spans="1:6" x14ac:dyDescent="0.25">
      <c r="A82" s="23"/>
      <c r="B82" s="190">
        <v>5</v>
      </c>
      <c r="C82" s="189">
        <f>SUM(C75:C81)</f>
        <v>99.370000000000019</v>
      </c>
      <c r="D82" s="23"/>
      <c r="E82" s="24"/>
      <c r="F82" s="190"/>
    </row>
    <row r="83" spans="1:6" x14ac:dyDescent="0.25">
      <c r="A83" s="23" t="str">
        <f>"3900329"</f>
        <v>3900329</v>
      </c>
      <c r="B83" s="23" t="s">
        <v>1097</v>
      </c>
      <c r="C83" s="23">
        <v>2.0499999999999998</v>
      </c>
      <c r="D83" s="23">
        <v>356940</v>
      </c>
      <c r="E83" s="24">
        <v>44295.400902777779</v>
      </c>
      <c r="F83" s="190">
        <v>5083</v>
      </c>
    </row>
    <row r="84" spans="1:6" x14ac:dyDescent="0.25">
      <c r="A84" s="23" t="str">
        <f>"3901650"</f>
        <v>3901650</v>
      </c>
      <c r="B84" s="23" t="s">
        <v>3771</v>
      </c>
      <c r="C84" s="23">
        <v>5.44</v>
      </c>
      <c r="D84" s="23">
        <v>357434</v>
      </c>
      <c r="E84" s="24">
        <v>44295.412962962961</v>
      </c>
      <c r="F84" s="190">
        <v>5084</v>
      </c>
    </row>
    <row r="85" spans="1:6" x14ac:dyDescent="0.25">
      <c r="A85" s="23" t="str">
        <f>"3903592"</f>
        <v>3903592</v>
      </c>
      <c r="B85" s="23" t="s">
        <v>3781</v>
      </c>
      <c r="C85" s="23">
        <v>4.3499999999999996</v>
      </c>
      <c r="D85" s="23">
        <v>356653</v>
      </c>
      <c r="E85" s="24">
        <v>44295.439756944441</v>
      </c>
      <c r="F85" s="190">
        <v>5085</v>
      </c>
    </row>
    <row r="86" spans="1:6" x14ac:dyDescent="0.25">
      <c r="A86" s="23" t="str">
        <f>"3907615"</f>
        <v>3907615</v>
      </c>
      <c r="B86" s="23" t="s">
        <v>548</v>
      </c>
      <c r="C86" s="23">
        <v>1.89</v>
      </c>
      <c r="D86" s="23">
        <v>356227</v>
      </c>
      <c r="E86" s="24">
        <v>44295.467233796298</v>
      </c>
      <c r="F86" s="190">
        <v>5086</v>
      </c>
    </row>
    <row r="87" spans="1:6" x14ac:dyDescent="0.25">
      <c r="A87" s="23" t="str">
        <f>"3909119"</f>
        <v>3909119</v>
      </c>
      <c r="B87" s="23" t="s">
        <v>1124</v>
      </c>
      <c r="C87" s="23">
        <v>29.5</v>
      </c>
      <c r="D87" s="23">
        <v>356688</v>
      </c>
      <c r="E87" s="24">
        <v>44295.495509259257</v>
      </c>
      <c r="F87" s="190">
        <v>5087</v>
      </c>
    </row>
    <row r="88" spans="1:6" x14ac:dyDescent="0.25">
      <c r="A88" s="23"/>
      <c r="B88" s="190">
        <v>6</v>
      </c>
      <c r="C88" s="189">
        <f>SUM(C83:C87)</f>
        <v>43.230000000000004</v>
      </c>
      <c r="D88" s="23"/>
      <c r="E88" s="24"/>
      <c r="F88" s="190"/>
    </row>
    <row r="89" spans="1:6" x14ac:dyDescent="0.25">
      <c r="A89" s="23" t="str">
        <f>"3950207"</f>
        <v>3950207</v>
      </c>
      <c r="B89" s="23" t="s">
        <v>3784</v>
      </c>
      <c r="C89" s="23">
        <v>17.899999999999999</v>
      </c>
      <c r="D89" s="23">
        <v>355888</v>
      </c>
      <c r="E89" s="24">
        <v>44298.484270833331</v>
      </c>
      <c r="F89" s="190">
        <v>5200</v>
      </c>
    </row>
    <row r="90" spans="1:6" x14ac:dyDescent="0.25">
      <c r="A90" s="23" t="str">
        <f>"3960293"</f>
        <v>3960293</v>
      </c>
      <c r="B90" s="23" t="s">
        <v>3774</v>
      </c>
      <c r="C90" s="23">
        <v>11.42</v>
      </c>
      <c r="D90" s="23">
        <v>355842</v>
      </c>
      <c r="E90" s="24">
        <v>44298.620648148149</v>
      </c>
      <c r="F90" s="190">
        <v>5201</v>
      </c>
    </row>
    <row r="91" spans="1:6" x14ac:dyDescent="0.25">
      <c r="A91" s="23" t="str">
        <f>"3901540"</f>
        <v>3901540</v>
      </c>
      <c r="B91" s="23" t="s">
        <v>1563</v>
      </c>
      <c r="C91" s="23">
        <v>5.04</v>
      </c>
      <c r="D91" s="23">
        <v>357074</v>
      </c>
      <c r="E91" s="24">
        <v>44298.444652777776</v>
      </c>
      <c r="F91" s="190">
        <v>5211</v>
      </c>
    </row>
    <row r="92" spans="1:6" x14ac:dyDescent="0.25">
      <c r="A92" s="23" t="str">
        <f>"3907937"</f>
        <v>3907937</v>
      </c>
      <c r="B92" s="23" t="s">
        <v>1131</v>
      </c>
      <c r="C92" s="23">
        <v>8.4700000000000006</v>
      </c>
      <c r="D92" s="23">
        <v>357361</v>
      </c>
      <c r="E92" s="24">
        <v>44298.4453587963</v>
      </c>
      <c r="F92" s="190">
        <v>5202</v>
      </c>
    </row>
    <row r="93" spans="1:6" x14ac:dyDescent="0.25">
      <c r="A93" s="23" t="str">
        <f>"3908571"</f>
        <v>3908571</v>
      </c>
      <c r="B93" s="23" t="s">
        <v>6090</v>
      </c>
      <c r="C93" s="23">
        <v>0.47</v>
      </c>
      <c r="D93" s="23">
        <v>357663</v>
      </c>
      <c r="E93" s="24">
        <v>44298.471990740742</v>
      </c>
      <c r="F93" s="190">
        <v>5203</v>
      </c>
    </row>
    <row r="94" spans="1:6" x14ac:dyDescent="0.25">
      <c r="A94" s="23" t="str">
        <f>"3945304"</f>
        <v>3945304</v>
      </c>
      <c r="B94" s="23" t="s">
        <v>549</v>
      </c>
      <c r="C94" s="23">
        <v>25.38</v>
      </c>
      <c r="D94" s="23">
        <v>356013</v>
      </c>
      <c r="E94" s="24">
        <v>44298.519965277781</v>
      </c>
      <c r="F94" s="190">
        <v>5204</v>
      </c>
    </row>
    <row r="95" spans="1:6" x14ac:dyDescent="0.25">
      <c r="A95" s="23" t="str">
        <f>"3907525"</f>
        <v>3907525</v>
      </c>
      <c r="B95" s="23" t="s">
        <v>3786</v>
      </c>
      <c r="C95" s="23">
        <v>2.68</v>
      </c>
      <c r="D95" s="23">
        <v>357945</v>
      </c>
      <c r="E95" s="24">
        <v>44298.525439814817</v>
      </c>
      <c r="F95" s="190">
        <v>5205</v>
      </c>
    </row>
    <row r="96" spans="1:6" x14ac:dyDescent="0.25">
      <c r="A96" s="23" t="str">
        <f>"3907544"</f>
        <v>3907544</v>
      </c>
      <c r="B96" s="23" t="s">
        <v>3786</v>
      </c>
      <c r="C96" s="23">
        <v>1.94</v>
      </c>
      <c r="D96" s="23">
        <v>357944</v>
      </c>
      <c r="E96" s="24">
        <v>44298.52611111111</v>
      </c>
      <c r="F96" s="190">
        <v>5206</v>
      </c>
    </row>
    <row r="97" spans="1:6" x14ac:dyDescent="0.25">
      <c r="A97" s="23" t="str">
        <f>"3909922"</f>
        <v>3909922</v>
      </c>
      <c r="B97" s="23" t="s">
        <v>1090</v>
      </c>
      <c r="C97" s="23">
        <v>4.63</v>
      </c>
      <c r="D97" s="23">
        <v>357948</v>
      </c>
      <c r="E97" s="24">
        <v>44298.535624999997</v>
      </c>
      <c r="F97" s="190">
        <v>5207</v>
      </c>
    </row>
    <row r="98" spans="1:6" x14ac:dyDescent="0.25">
      <c r="A98" s="23" t="str">
        <f>"3907169"</f>
        <v>3907169</v>
      </c>
      <c r="B98" s="23" t="s">
        <v>1134</v>
      </c>
      <c r="C98" s="23">
        <v>14.77</v>
      </c>
      <c r="D98" s="23">
        <v>358237</v>
      </c>
      <c r="E98" s="24">
        <v>44298.610925925925</v>
      </c>
      <c r="F98" s="190">
        <v>5208</v>
      </c>
    </row>
    <row r="99" spans="1:6" x14ac:dyDescent="0.25">
      <c r="A99" s="23" t="str">
        <f>"3900343"</f>
        <v>3900343</v>
      </c>
      <c r="B99" s="23" t="s">
        <v>3778</v>
      </c>
      <c r="C99" s="23">
        <v>5.16</v>
      </c>
      <c r="D99" s="23">
        <v>358120</v>
      </c>
      <c r="E99" s="24">
        <v>44298.758634259262</v>
      </c>
      <c r="F99" s="190">
        <v>5209</v>
      </c>
    </row>
    <row r="100" spans="1:6" x14ac:dyDescent="0.25">
      <c r="A100" s="23" t="str">
        <f>"3903080"</f>
        <v>3903080</v>
      </c>
      <c r="B100" s="23" t="s">
        <v>3772</v>
      </c>
      <c r="C100" s="23">
        <v>3.36</v>
      </c>
      <c r="D100" s="23">
        <v>357180</v>
      </c>
      <c r="E100" s="24">
        <v>44298.867627314816</v>
      </c>
      <c r="F100" s="190">
        <v>5210</v>
      </c>
    </row>
    <row r="101" spans="1:6" x14ac:dyDescent="0.25">
      <c r="A101" s="23"/>
      <c r="B101" s="190">
        <v>7</v>
      </c>
      <c r="C101" s="189">
        <f>SUM(C89:C100)</f>
        <v>101.21999999999998</v>
      </c>
      <c r="D101" s="23"/>
      <c r="E101" s="24"/>
      <c r="F101" s="190"/>
    </row>
    <row r="102" spans="1:6" x14ac:dyDescent="0.25">
      <c r="A102" s="23" t="str">
        <f>"3920523"</f>
        <v>3920523</v>
      </c>
      <c r="B102" s="23" t="s">
        <v>619</v>
      </c>
      <c r="C102" s="23">
        <v>25.14</v>
      </c>
      <c r="D102" s="23">
        <v>355873</v>
      </c>
      <c r="E102" s="24">
        <v>44299.369502314818</v>
      </c>
      <c r="F102" s="190">
        <v>5258</v>
      </c>
    </row>
    <row r="103" spans="1:6" x14ac:dyDescent="0.25">
      <c r="A103" s="23" t="str">
        <f>"3906658"</f>
        <v>3906658</v>
      </c>
      <c r="B103" s="23" t="s">
        <v>614</v>
      </c>
      <c r="C103" s="23">
        <v>4.7</v>
      </c>
      <c r="D103" s="23">
        <v>357998</v>
      </c>
      <c r="E103" s="24">
        <v>44299.53800925926</v>
      </c>
      <c r="F103" s="190">
        <v>5253</v>
      </c>
    </row>
    <row r="104" spans="1:6" x14ac:dyDescent="0.25">
      <c r="A104" s="23" t="str">
        <f>"3907531"</f>
        <v>3907531</v>
      </c>
      <c r="B104" s="23" t="s">
        <v>3755</v>
      </c>
      <c r="C104" s="23">
        <v>9.7899999999999991</v>
      </c>
      <c r="D104" s="23">
        <v>356092</v>
      </c>
      <c r="E104" s="24">
        <v>44299.595868055556</v>
      </c>
      <c r="F104" s="190">
        <v>5254</v>
      </c>
    </row>
    <row r="105" spans="1:6" x14ac:dyDescent="0.25">
      <c r="A105" s="23" t="str">
        <f>"3909013"</f>
        <v>3909013</v>
      </c>
      <c r="B105" s="23" t="s">
        <v>625</v>
      </c>
      <c r="C105" s="23">
        <v>3.36</v>
      </c>
      <c r="D105" s="23">
        <v>356468</v>
      </c>
      <c r="E105" s="24">
        <v>44299.654814814814</v>
      </c>
      <c r="F105" s="190">
        <v>5255</v>
      </c>
    </row>
    <row r="106" spans="1:6" x14ac:dyDescent="0.25">
      <c r="A106" s="23" t="str">
        <f>"3960257"</f>
        <v>3960257</v>
      </c>
      <c r="B106" s="23" t="s">
        <v>605</v>
      </c>
      <c r="C106" s="23">
        <v>15.3</v>
      </c>
      <c r="D106" s="23">
        <v>357847</v>
      </c>
      <c r="E106" s="24">
        <v>44299.809027777781</v>
      </c>
      <c r="F106" s="190">
        <v>5256</v>
      </c>
    </row>
    <row r="107" spans="1:6" x14ac:dyDescent="0.25">
      <c r="A107" s="23" t="str">
        <f>"3960275"</f>
        <v>3960275</v>
      </c>
      <c r="B107" s="23" t="s">
        <v>605</v>
      </c>
      <c r="C107" s="23">
        <v>15.3</v>
      </c>
      <c r="D107" s="23">
        <v>357854</v>
      </c>
      <c r="E107" s="24">
        <v>44299.80945601852</v>
      </c>
      <c r="F107" s="190">
        <v>5257</v>
      </c>
    </row>
    <row r="108" spans="1:6" x14ac:dyDescent="0.25">
      <c r="A108" s="23"/>
      <c r="B108" s="190">
        <v>8</v>
      </c>
      <c r="C108" s="189">
        <f>SUM(C102:C107)</f>
        <v>73.589999999999989</v>
      </c>
      <c r="D108" s="23"/>
      <c r="E108" s="24"/>
      <c r="F108" s="190"/>
    </row>
    <row r="109" spans="1:6" x14ac:dyDescent="0.25">
      <c r="A109" s="23" t="str">
        <f>"3903487"</f>
        <v>3903487</v>
      </c>
      <c r="B109" s="23" t="s">
        <v>11647</v>
      </c>
      <c r="C109" s="23">
        <v>4.12</v>
      </c>
      <c r="D109" s="23">
        <v>356557</v>
      </c>
      <c r="E109" s="24">
        <v>44300.432291666664</v>
      </c>
      <c r="F109" s="190">
        <v>5271</v>
      </c>
    </row>
    <row r="110" spans="1:6" x14ac:dyDescent="0.25">
      <c r="A110" s="23" t="str">
        <f>"3901111"</f>
        <v>3901111</v>
      </c>
      <c r="B110" s="23" t="s">
        <v>636</v>
      </c>
      <c r="C110" s="23">
        <v>10.75</v>
      </c>
      <c r="D110" s="23">
        <v>357996</v>
      </c>
      <c r="E110" s="24">
        <v>44300.446840277778</v>
      </c>
      <c r="F110" s="190">
        <v>5272</v>
      </c>
    </row>
    <row r="111" spans="1:6" x14ac:dyDescent="0.25">
      <c r="A111" s="23" t="str">
        <f>"3902009"</f>
        <v>3902009</v>
      </c>
      <c r="B111" s="23" t="s">
        <v>608</v>
      </c>
      <c r="C111" s="23">
        <v>3.36</v>
      </c>
      <c r="D111" s="23">
        <v>357981</v>
      </c>
      <c r="E111" s="24">
        <v>44300.569328703707</v>
      </c>
      <c r="F111" s="190">
        <v>5273</v>
      </c>
    </row>
    <row r="112" spans="1:6" x14ac:dyDescent="0.25">
      <c r="A112" s="23" t="str">
        <f>"3903516"</f>
        <v>3903516</v>
      </c>
      <c r="B112" s="23" t="s">
        <v>3794</v>
      </c>
      <c r="C112" s="23">
        <v>1.88</v>
      </c>
      <c r="D112" s="23">
        <v>356707</v>
      </c>
      <c r="E112" s="24">
        <v>44300.634189814817</v>
      </c>
      <c r="F112" s="190">
        <v>5274</v>
      </c>
    </row>
    <row r="113" spans="1:6" x14ac:dyDescent="0.25">
      <c r="A113" s="23" t="str">
        <f>"3907960"</f>
        <v>3907960</v>
      </c>
      <c r="B113" s="23" t="s">
        <v>618</v>
      </c>
      <c r="C113" s="23">
        <v>4.28</v>
      </c>
      <c r="D113" s="23">
        <v>356748</v>
      </c>
      <c r="E113" s="24">
        <v>44300.658171296294</v>
      </c>
      <c r="F113" s="190">
        <v>5275</v>
      </c>
    </row>
    <row r="114" spans="1:6" x14ac:dyDescent="0.25">
      <c r="A114" s="23" t="str">
        <f>"3960392"</f>
        <v>3960392</v>
      </c>
      <c r="B114" s="23" t="s">
        <v>602</v>
      </c>
      <c r="C114" s="23">
        <v>8.3800000000000008</v>
      </c>
      <c r="D114" s="23">
        <v>355926</v>
      </c>
      <c r="E114" s="24">
        <v>44300.673321759263</v>
      </c>
      <c r="F114" s="190">
        <v>5276</v>
      </c>
    </row>
    <row r="115" spans="1:6" x14ac:dyDescent="0.25">
      <c r="A115" s="23"/>
      <c r="B115" s="190">
        <v>9</v>
      </c>
      <c r="C115" s="189">
        <f>SUM(C109:C114)</f>
        <v>32.770000000000003</v>
      </c>
      <c r="D115" s="23"/>
      <c r="E115" s="24"/>
      <c r="F115" s="190"/>
    </row>
    <row r="116" spans="1:6" x14ac:dyDescent="0.25">
      <c r="A116" s="23" t="str">
        <f>"3901461"</f>
        <v>3901461</v>
      </c>
      <c r="B116" s="23" t="s">
        <v>622</v>
      </c>
      <c r="C116" s="23">
        <v>15.3</v>
      </c>
      <c r="D116" s="23">
        <v>357865</v>
      </c>
      <c r="E116" s="24">
        <v>44301.352199074077</v>
      </c>
      <c r="F116" s="190">
        <v>5379</v>
      </c>
    </row>
    <row r="117" spans="1:6" x14ac:dyDescent="0.25">
      <c r="A117" s="23" t="str">
        <f>"3904232"</f>
        <v>3904232</v>
      </c>
      <c r="B117" s="23" t="s">
        <v>1122</v>
      </c>
      <c r="C117" s="23">
        <v>13.82</v>
      </c>
      <c r="D117" s="23">
        <v>357872</v>
      </c>
      <c r="E117" s="24">
        <v>44301.577453703707</v>
      </c>
      <c r="F117" s="190">
        <v>5380</v>
      </c>
    </row>
    <row r="118" spans="1:6" x14ac:dyDescent="0.25">
      <c r="A118" s="23" t="str">
        <f>"3960375"</f>
        <v>3960375</v>
      </c>
      <c r="B118" s="23" t="s">
        <v>624</v>
      </c>
      <c r="C118" s="23">
        <v>4.1900000000000004</v>
      </c>
      <c r="D118" s="23">
        <v>355905</v>
      </c>
      <c r="E118" s="24">
        <v>44301.623553240737</v>
      </c>
      <c r="F118" s="190">
        <v>5381</v>
      </c>
    </row>
    <row r="119" spans="1:6" x14ac:dyDescent="0.25">
      <c r="A119" s="23" t="str">
        <f>"3960269"</f>
        <v>3960269</v>
      </c>
      <c r="B119" s="23" t="s">
        <v>3745</v>
      </c>
      <c r="C119" s="23">
        <v>12.3</v>
      </c>
      <c r="D119" s="23">
        <v>355829</v>
      </c>
      <c r="E119" s="24">
        <v>44301.64947916667</v>
      </c>
      <c r="F119" s="190">
        <v>5382</v>
      </c>
    </row>
    <row r="120" spans="1:6" x14ac:dyDescent="0.25">
      <c r="A120" s="23" t="str">
        <f>"3930042"</f>
        <v>3930042</v>
      </c>
      <c r="B120" s="23" t="s">
        <v>620</v>
      </c>
      <c r="C120" s="23">
        <v>3.44</v>
      </c>
      <c r="D120" s="23">
        <v>357965</v>
      </c>
      <c r="E120" s="24">
        <v>44301.659490740742</v>
      </c>
      <c r="F120" s="190">
        <v>5383</v>
      </c>
    </row>
    <row r="121" spans="1:6" x14ac:dyDescent="0.25">
      <c r="A121" s="23" t="str">
        <f>"3900257"</f>
        <v>3900257</v>
      </c>
      <c r="B121" s="23" t="s">
        <v>3757</v>
      </c>
      <c r="C121" s="23">
        <v>3.86</v>
      </c>
      <c r="D121" s="23">
        <v>356925</v>
      </c>
      <c r="E121" s="24">
        <v>44301.689837962964</v>
      </c>
      <c r="F121" s="190">
        <v>5384</v>
      </c>
    </row>
    <row r="122" spans="1:6" x14ac:dyDescent="0.25">
      <c r="A122" s="23"/>
      <c r="B122" s="190">
        <v>10</v>
      </c>
      <c r="C122" s="189">
        <f>SUM(C116:C121)</f>
        <v>52.91</v>
      </c>
      <c r="D122" s="189"/>
      <c r="E122" s="24"/>
      <c r="F122" s="190"/>
    </row>
    <row r="123" spans="1:6" x14ac:dyDescent="0.25">
      <c r="A123" s="23" t="str">
        <f>"3960338"</f>
        <v>3960338</v>
      </c>
      <c r="B123" s="23" t="s">
        <v>11648</v>
      </c>
      <c r="C123" s="23">
        <v>58.25</v>
      </c>
      <c r="D123" s="23">
        <v>357856</v>
      </c>
      <c r="E123" s="24">
        <v>44302.411979166667</v>
      </c>
      <c r="F123" s="190">
        <v>5385</v>
      </c>
    </row>
    <row r="124" spans="1:6" x14ac:dyDescent="0.25">
      <c r="A124" s="23" t="str">
        <f>"3960344"</f>
        <v>3960344</v>
      </c>
      <c r="B124" s="23" t="s">
        <v>3747</v>
      </c>
      <c r="C124" s="23">
        <v>8.3800000000000008</v>
      </c>
      <c r="D124" s="23">
        <v>355885</v>
      </c>
      <c r="E124" s="24">
        <v>44302.464375000003</v>
      </c>
      <c r="F124" s="190">
        <v>5386</v>
      </c>
    </row>
    <row r="125" spans="1:6" x14ac:dyDescent="0.25">
      <c r="A125" s="23" t="str">
        <f>"23923238"</f>
        <v>23923238</v>
      </c>
      <c r="B125" s="23" t="s">
        <v>11649</v>
      </c>
      <c r="C125" s="23">
        <v>5.47</v>
      </c>
      <c r="D125" s="23">
        <v>4224</v>
      </c>
      <c r="E125" s="24">
        <v>44302.503136574072</v>
      </c>
      <c r="F125" s="190">
        <v>5387</v>
      </c>
    </row>
    <row r="126" spans="1:6" x14ac:dyDescent="0.25">
      <c r="A126" s="23" t="str">
        <f>"3908130"</f>
        <v>3908130</v>
      </c>
      <c r="B126" s="23" t="s">
        <v>3571</v>
      </c>
      <c r="C126" s="23">
        <v>3.74</v>
      </c>
      <c r="D126" s="23">
        <v>357383</v>
      </c>
      <c r="E126" s="24">
        <v>44302.559548611112</v>
      </c>
      <c r="F126" s="190">
        <v>5388</v>
      </c>
    </row>
    <row r="127" spans="1:6" x14ac:dyDescent="0.25">
      <c r="A127" s="23" t="str">
        <f>"3908344"</f>
        <v>3908344</v>
      </c>
      <c r="B127" s="23" t="s">
        <v>1130</v>
      </c>
      <c r="C127" s="23">
        <v>4.41</v>
      </c>
      <c r="D127" s="23">
        <v>357518</v>
      </c>
      <c r="E127" s="24">
        <v>44302.607627314814</v>
      </c>
      <c r="F127" s="190">
        <v>5389</v>
      </c>
    </row>
    <row r="128" spans="1:6" x14ac:dyDescent="0.25">
      <c r="A128" s="23" t="str">
        <f>"3908064"</f>
        <v>3908064</v>
      </c>
      <c r="B128" s="23" t="s">
        <v>6109</v>
      </c>
      <c r="C128" s="23">
        <v>2.11</v>
      </c>
      <c r="D128" s="23">
        <v>356790</v>
      </c>
      <c r="E128" s="24">
        <v>44302.609710648147</v>
      </c>
      <c r="F128" s="190">
        <v>5390</v>
      </c>
    </row>
    <row r="129" spans="1:6" x14ac:dyDescent="0.25">
      <c r="A129" s="23" t="str">
        <f>"3902744"</f>
        <v>3902744</v>
      </c>
      <c r="B129" s="23" t="s">
        <v>3764</v>
      </c>
      <c r="C129" s="23">
        <v>12.41</v>
      </c>
      <c r="D129" s="23">
        <v>357159</v>
      </c>
      <c r="E129" s="24">
        <v>44302.642291666663</v>
      </c>
      <c r="F129" s="190">
        <v>5391</v>
      </c>
    </row>
    <row r="130" spans="1:6" x14ac:dyDescent="0.25">
      <c r="A130" s="23" t="str">
        <f>"3903952"</f>
        <v>3903952</v>
      </c>
      <c r="B130" s="23" t="s">
        <v>3762</v>
      </c>
      <c r="C130" s="23">
        <v>19.39</v>
      </c>
      <c r="D130" s="23">
        <v>357226</v>
      </c>
      <c r="E130" s="24">
        <v>44302.738668981481</v>
      </c>
      <c r="F130" s="190">
        <v>5392</v>
      </c>
    </row>
    <row r="131" spans="1:6" x14ac:dyDescent="0.25">
      <c r="A131" s="23"/>
      <c r="B131" s="190">
        <v>11</v>
      </c>
      <c r="C131" s="189">
        <f>SUM(C123:C130)</f>
        <v>114.15999999999998</v>
      </c>
      <c r="D131" s="23"/>
      <c r="E131" s="24"/>
      <c r="F131" s="190"/>
    </row>
    <row r="132" spans="1:6" x14ac:dyDescent="0.25">
      <c r="A132" s="23" t="str">
        <f>"3903497"</f>
        <v>3903497</v>
      </c>
      <c r="B132" s="23" t="s">
        <v>1117</v>
      </c>
      <c r="C132" s="23">
        <v>2.58</v>
      </c>
      <c r="D132" s="23">
        <v>358209</v>
      </c>
      <c r="E132" s="24">
        <v>44305.438923611109</v>
      </c>
      <c r="F132" s="190">
        <v>5496</v>
      </c>
    </row>
    <row r="133" spans="1:6" x14ac:dyDescent="0.25">
      <c r="A133" s="23" t="str">
        <f>"3930382"</f>
        <v>3930382</v>
      </c>
      <c r="B133" s="23" t="s">
        <v>11650</v>
      </c>
      <c r="C133" s="23">
        <v>5.34</v>
      </c>
      <c r="D133" s="23">
        <v>358070</v>
      </c>
      <c r="E133" s="24">
        <v>44305.52511574074</v>
      </c>
      <c r="F133" s="190">
        <v>5497</v>
      </c>
    </row>
    <row r="134" spans="1:6" x14ac:dyDescent="0.25">
      <c r="A134" s="23" t="str">
        <f>"3930383"</f>
        <v>3930383</v>
      </c>
      <c r="B134" s="23" t="s">
        <v>11650</v>
      </c>
      <c r="C134" s="23">
        <v>2.9</v>
      </c>
      <c r="D134" s="23">
        <v>358071</v>
      </c>
      <c r="E134" s="24">
        <v>44305.525983796295</v>
      </c>
      <c r="F134" s="190">
        <v>5498</v>
      </c>
    </row>
    <row r="135" spans="1:6" x14ac:dyDescent="0.25">
      <c r="A135" s="23" t="str">
        <f>"3906821"</f>
        <v>3906821</v>
      </c>
      <c r="B135" s="23" t="s">
        <v>629</v>
      </c>
      <c r="C135" s="23">
        <v>4.79</v>
      </c>
      <c r="D135" s="23">
        <v>356679</v>
      </c>
      <c r="E135" s="24">
        <v>44305.557627314818</v>
      </c>
      <c r="F135" s="190">
        <v>5499</v>
      </c>
    </row>
    <row r="136" spans="1:6" x14ac:dyDescent="0.25">
      <c r="A136" s="23" t="str">
        <f>"3945113"</f>
        <v>3945113</v>
      </c>
      <c r="B136" s="23" t="s">
        <v>551</v>
      </c>
      <c r="C136" s="23">
        <v>8.3800000000000008</v>
      </c>
      <c r="D136" s="23">
        <v>355892</v>
      </c>
      <c r="E136" s="24">
        <v>44305.603831018518</v>
      </c>
      <c r="F136" s="190">
        <v>5500</v>
      </c>
    </row>
    <row r="137" spans="1:6" x14ac:dyDescent="0.25">
      <c r="A137" s="23" t="str">
        <f>"3900926"</f>
        <v>3900926</v>
      </c>
      <c r="B137" s="23" t="s">
        <v>3761</v>
      </c>
      <c r="C137" s="23">
        <v>1.68</v>
      </c>
      <c r="D137" s="23">
        <v>354642</v>
      </c>
      <c r="E137" s="24">
        <v>44305.65320601852</v>
      </c>
      <c r="F137" s="190">
        <v>5501</v>
      </c>
    </row>
    <row r="138" spans="1:6" x14ac:dyDescent="0.25">
      <c r="A138" s="23" t="str">
        <f>"3960357"</f>
        <v>3960357</v>
      </c>
      <c r="B138" s="23" t="s">
        <v>1086</v>
      </c>
      <c r="C138" s="23">
        <v>8.3800000000000008</v>
      </c>
      <c r="D138" s="23">
        <v>355928</v>
      </c>
      <c r="E138" s="24">
        <v>44305.851967592593</v>
      </c>
      <c r="F138" s="190">
        <v>5502</v>
      </c>
    </row>
    <row r="139" spans="1:6" x14ac:dyDescent="0.25">
      <c r="A139" s="23"/>
      <c r="B139" s="190">
        <v>12</v>
      </c>
      <c r="C139" s="189">
        <f>SUM(C132:C138)</f>
        <v>34.050000000000004</v>
      </c>
      <c r="D139" s="23"/>
      <c r="E139" s="24"/>
      <c r="F139" s="190"/>
    </row>
    <row r="140" spans="1:6" x14ac:dyDescent="0.25">
      <c r="A140" s="23" t="str">
        <f>"3945114"</f>
        <v>3945114</v>
      </c>
      <c r="B140" s="23" t="s">
        <v>627</v>
      </c>
      <c r="C140" s="23">
        <v>8.3800000000000008</v>
      </c>
      <c r="D140" s="23">
        <v>355891</v>
      </c>
      <c r="E140" s="24">
        <v>44306.421319444446</v>
      </c>
      <c r="F140" s="190">
        <v>5555</v>
      </c>
    </row>
    <row r="141" spans="1:6" x14ac:dyDescent="0.25">
      <c r="A141" s="23" t="str">
        <f>"3960373"</f>
        <v>3960373</v>
      </c>
      <c r="B141" s="23" t="s">
        <v>626</v>
      </c>
      <c r="C141" s="23">
        <v>8.3800000000000008</v>
      </c>
      <c r="D141" s="23">
        <v>355903</v>
      </c>
      <c r="E141" s="24">
        <v>44306.422453703701</v>
      </c>
      <c r="F141" s="190">
        <v>5556</v>
      </c>
    </row>
    <row r="142" spans="1:6" x14ac:dyDescent="0.25">
      <c r="A142" s="23" t="str">
        <f>"3907618"</f>
        <v>3907618</v>
      </c>
      <c r="B142" s="23" t="s">
        <v>550</v>
      </c>
      <c r="C142" s="23">
        <v>1.96</v>
      </c>
      <c r="D142" s="23">
        <v>357348</v>
      </c>
      <c r="E142" s="24">
        <v>44306.466909722221</v>
      </c>
      <c r="F142" s="190">
        <v>5557</v>
      </c>
    </row>
    <row r="143" spans="1:6" x14ac:dyDescent="0.25">
      <c r="A143" s="23" t="str">
        <f>"3903535"</f>
        <v>3903535</v>
      </c>
      <c r="B143" s="23" t="s">
        <v>11651</v>
      </c>
      <c r="C143" s="23">
        <v>5.2</v>
      </c>
      <c r="D143" s="23">
        <v>357192</v>
      </c>
      <c r="E143" s="24">
        <v>44306.549409722225</v>
      </c>
      <c r="F143" s="190">
        <v>5558</v>
      </c>
    </row>
    <row r="144" spans="1:6" x14ac:dyDescent="0.25">
      <c r="A144" s="23" t="str">
        <f>"3900176"</f>
        <v>3900176</v>
      </c>
      <c r="B144" s="23" t="s">
        <v>1114</v>
      </c>
      <c r="C144" s="23">
        <v>1.94</v>
      </c>
      <c r="D144" s="23">
        <v>358201</v>
      </c>
      <c r="E144" s="24">
        <v>44306.552337962959</v>
      </c>
      <c r="F144" s="190">
        <v>5559</v>
      </c>
    </row>
    <row r="145" spans="1:6" x14ac:dyDescent="0.25">
      <c r="A145" s="23" t="str">
        <f>"3960363"</f>
        <v>3960363</v>
      </c>
      <c r="B145" s="23" t="s">
        <v>11652</v>
      </c>
      <c r="C145" s="23">
        <v>25.14</v>
      </c>
      <c r="D145" s="23">
        <v>355889</v>
      </c>
      <c r="E145" s="24">
        <v>44306.554791666669</v>
      </c>
      <c r="F145" s="190">
        <v>5561</v>
      </c>
    </row>
    <row r="146" spans="1:6" x14ac:dyDescent="0.25">
      <c r="A146" s="23" t="str">
        <f>"3908228"</f>
        <v>3908228</v>
      </c>
      <c r="B146" s="23" t="s">
        <v>6078</v>
      </c>
      <c r="C146" s="23">
        <v>4.95</v>
      </c>
      <c r="D146" s="23">
        <v>357424</v>
      </c>
      <c r="E146" s="24">
        <v>44306.650405092594</v>
      </c>
      <c r="F146" s="190">
        <v>5560</v>
      </c>
    </row>
    <row r="147" spans="1:6" x14ac:dyDescent="0.25">
      <c r="A147" s="23"/>
      <c r="B147" s="190">
        <v>13</v>
      </c>
      <c r="C147" s="189">
        <f>SUM(C140:C146)</f>
        <v>55.95</v>
      </c>
      <c r="D147" s="23"/>
      <c r="E147" s="24"/>
      <c r="F147" s="190"/>
    </row>
    <row r="148" spans="1:6" x14ac:dyDescent="0.25">
      <c r="A148" s="23" t="str">
        <f>"3960276"</f>
        <v>3960276</v>
      </c>
      <c r="B148" s="23" t="s">
        <v>3750</v>
      </c>
      <c r="C148" s="23">
        <v>12.3</v>
      </c>
      <c r="D148" s="23">
        <v>355846</v>
      </c>
      <c r="E148" s="24">
        <v>44307.418402777781</v>
      </c>
      <c r="F148" s="190">
        <v>5584</v>
      </c>
    </row>
    <row r="149" spans="1:6" x14ac:dyDescent="0.25">
      <c r="A149" s="23" t="str">
        <f>"3920083"</f>
        <v>3920083</v>
      </c>
      <c r="B149" s="23" t="s">
        <v>630</v>
      </c>
      <c r="C149" s="23">
        <v>3.91</v>
      </c>
      <c r="D149" s="23">
        <v>355853</v>
      </c>
      <c r="E149" s="24">
        <v>44307.510162037041</v>
      </c>
      <c r="F149" s="190">
        <v>5585</v>
      </c>
    </row>
    <row r="150" spans="1:6" x14ac:dyDescent="0.25">
      <c r="A150" s="23" t="str">
        <f>"3960252"</f>
        <v>3960252</v>
      </c>
      <c r="B150" s="23" t="s">
        <v>1106</v>
      </c>
      <c r="C150" s="23">
        <v>8.3800000000000008</v>
      </c>
      <c r="D150" s="23">
        <v>355874</v>
      </c>
      <c r="E150" s="24">
        <v>44307.631805555553</v>
      </c>
      <c r="F150" s="190">
        <v>5586</v>
      </c>
    </row>
    <row r="151" spans="1:6" x14ac:dyDescent="0.25">
      <c r="A151" s="23" t="str">
        <f>"3903951"</f>
        <v>3903951</v>
      </c>
      <c r="B151" s="23" t="s">
        <v>1565</v>
      </c>
      <c r="C151" s="23">
        <v>4.1900000000000004</v>
      </c>
      <c r="D151" s="23">
        <v>355989</v>
      </c>
      <c r="E151" s="24">
        <v>44307.633472222224</v>
      </c>
      <c r="F151" s="190">
        <v>5587</v>
      </c>
    </row>
    <row r="152" spans="1:6" x14ac:dyDescent="0.25">
      <c r="A152" s="23"/>
      <c r="B152" s="190">
        <v>14</v>
      </c>
      <c r="C152" s="189">
        <f>SUM(C148:C151)</f>
        <v>28.780000000000005</v>
      </c>
      <c r="D152" s="23"/>
      <c r="E152" s="24"/>
      <c r="F152" s="190"/>
    </row>
    <row r="153" spans="1:6" x14ac:dyDescent="0.25">
      <c r="A153" s="23" t="str">
        <f>"3909002"</f>
        <v>3909002</v>
      </c>
      <c r="B153" s="23" t="s">
        <v>11653</v>
      </c>
      <c r="C153" s="23">
        <v>12.12</v>
      </c>
      <c r="D153" s="23">
        <v>358911</v>
      </c>
      <c r="E153" s="24">
        <v>44309.429791666669</v>
      </c>
      <c r="F153" s="190">
        <v>5628</v>
      </c>
    </row>
    <row r="154" spans="1:6" x14ac:dyDescent="0.25">
      <c r="A154" s="23" t="str">
        <f>"3960274"</f>
        <v>3960274</v>
      </c>
      <c r="B154" s="23" t="s">
        <v>553</v>
      </c>
      <c r="C154" s="23">
        <v>2.48</v>
      </c>
      <c r="D154" s="23">
        <v>358314</v>
      </c>
      <c r="E154" s="24">
        <v>44309.441851851851</v>
      </c>
      <c r="F154" s="190">
        <v>5629</v>
      </c>
    </row>
    <row r="155" spans="1:6" x14ac:dyDescent="0.25">
      <c r="A155" s="23" t="str">
        <f>"3903204"</f>
        <v>3903204</v>
      </c>
      <c r="B155" s="23" t="s">
        <v>1101</v>
      </c>
      <c r="C155" s="23">
        <v>13.51</v>
      </c>
      <c r="D155" s="23">
        <v>358680</v>
      </c>
      <c r="E155" s="24">
        <v>44309.736261574071</v>
      </c>
      <c r="F155" s="190">
        <v>5630</v>
      </c>
    </row>
    <row r="156" spans="1:6" x14ac:dyDescent="0.25">
      <c r="A156" s="23"/>
      <c r="B156" s="190">
        <v>15</v>
      </c>
      <c r="C156" s="189">
        <f>SUM(C153:C155)</f>
        <v>28.11</v>
      </c>
      <c r="D156" s="23"/>
      <c r="E156" s="24"/>
      <c r="F156" s="190"/>
    </row>
    <row r="157" spans="1:6" x14ac:dyDescent="0.25">
      <c r="A157" s="23" t="str">
        <f>"3908293"</f>
        <v>3908293</v>
      </c>
      <c r="B157" s="23" t="s">
        <v>1564</v>
      </c>
      <c r="C157" s="23">
        <v>1.68</v>
      </c>
      <c r="D157" s="23">
        <v>359933</v>
      </c>
      <c r="E157" s="24">
        <v>44312.447453703702</v>
      </c>
      <c r="F157" s="190">
        <v>5755</v>
      </c>
    </row>
    <row r="158" spans="1:6" x14ac:dyDescent="0.25">
      <c r="A158" s="23" t="str">
        <f>"3908160"</f>
        <v>3908160</v>
      </c>
      <c r="B158" s="23" t="s">
        <v>3798</v>
      </c>
      <c r="C158" s="23">
        <v>10.41</v>
      </c>
      <c r="D158" s="23">
        <v>359866</v>
      </c>
      <c r="E158" s="24">
        <v>44312.707268518519</v>
      </c>
      <c r="F158" s="190">
        <v>5756</v>
      </c>
    </row>
    <row r="159" spans="1:6" x14ac:dyDescent="0.25">
      <c r="A159" s="23" t="str">
        <f>"3906750"</f>
        <v>3906750</v>
      </c>
      <c r="B159" s="23" t="s">
        <v>616</v>
      </c>
      <c r="C159" s="23">
        <v>4.9800000000000004</v>
      </c>
      <c r="D159" s="23">
        <v>359023</v>
      </c>
      <c r="E159" s="24">
        <v>44312.513321759259</v>
      </c>
      <c r="F159" s="190">
        <v>5757</v>
      </c>
    </row>
    <row r="160" spans="1:6" x14ac:dyDescent="0.25">
      <c r="A160" s="23" t="str">
        <f>"3900563"</f>
        <v>3900563</v>
      </c>
      <c r="B160" s="23" t="s">
        <v>3567</v>
      </c>
      <c r="C160" s="23">
        <v>2.95</v>
      </c>
      <c r="D160" s="23">
        <v>359468</v>
      </c>
      <c r="E160" s="24">
        <v>44312.576620370368</v>
      </c>
      <c r="F160" s="190">
        <v>5758</v>
      </c>
    </row>
    <row r="161" spans="1:6" x14ac:dyDescent="0.25">
      <c r="A161" s="23" t="str">
        <f>"3930318"</f>
        <v>3930318</v>
      </c>
      <c r="B161" s="23" t="s">
        <v>11654</v>
      </c>
      <c r="C161" s="23">
        <v>1.68</v>
      </c>
      <c r="D161" s="23">
        <v>359187</v>
      </c>
      <c r="E161" s="24">
        <v>44312.581620370373</v>
      </c>
      <c r="F161" s="190">
        <v>5759</v>
      </c>
    </row>
    <row r="162" spans="1:6" x14ac:dyDescent="0.25">
      <c r="A162" s="23" t="str">
        <f>"3903179"</f>
        <v>3903179</v>
      </c>
      <c r="B162" s="23" t="s">
        <v>11655</v>
      </c>
      <c r="C162" s="23">
        <v>2.83</v>
      </c>
      <c r="D162" s="23">
        <v>358577</v>
      </c>
      <c r="E162" s="24">
        <v>44312.581990740742</v>
      </c>
      <c r="F162" s="190">
        <v>5760</v>
      </c>
    </row>
    <row r="163" spans="1:6" x14ac:dyDescent="0.25">
      <c r="A163" s="23" t="str">
        <f>"3903332"</f>
        <v>3903332</v>
      </c>
      <c r="B163" s="23" t="s">
        <v>11656</v>
      </c>
      <c r="C163" s="23">
        <v>16.149999999999999</v>
      </c>
      <c r="D163" s="23">
        <v>358762</v>
      </c>
      <c r="E163" s="24">
        <v>44312.872719907406</v>
      </c>
      <c r="F163" s="190">
        <v>5761</v>
      </c>
    </row>
    <row r="164" spans="1:6" x14ac:dyDescent="0.25">
      <c r="A164" s="23"/>
      <c r="B164" s="190">
        <v>16</v>
      </c>
      <c r="C164" s="189">
        <f>SUM(C157:C163)</f>
        <v>40.68</v>
      </c>
      <c r="D164" s="23"/>
      <c r="E164" s="24"/>
      <c r="F164" s="190"/>
    </row>
    <row r="165" spans="1:6" x14ac:dyDescent="0.25">
      <c r="A165" s="23" t="str">
        <f>"3903105"</f>
        <v>3903105</v>
      </c>
      <c r="B165" s="23" t="s">
        <v>611</v>
      </c>
      <c r="C165" s="23">
        <v>1.94</v>
      </c>
      <c r="D165" s="23">
        <v>358099</v>
      </c>
      <c r="E165" s="24">
        <v>44313.372106481482</v>
      </c>
      <c r="F165" s="190">
        <v>5787</v>
      </c>
    </row>
    <row r="166" spans="1:6" x14ac:dyDescent="0.25">
      <c r="A166" s="23" t="str">
        <f>"3960265"</f>
        <v>3960265</v>
      </c>
      <c r="B166" s="23" t="s">
        <v>638</v>
      </c>
      <c r="C166" s="23">
        <v>12.3</v>
      </c>
      <c r="D166" s="23">
        <v>358311</v>
      </c>
      <c r="E166" s="24">
        <v>44313.377141203702</v>
      </c>
      <c r="F166" s="190">
        <v>5788</v>
      </c>
    </row>
    <row r="167" spans="1:6" x14ac:dyDescent="0.25">
      <c r="A167" s="23" t="str">
        <f>"3907487"</f>
        <v>3907487</v>
      </c>
      <c r="B167" s="23" t="s">
        <v>6075</v>
      </c>
      <c r="C167" s="23">
        <v>6.23</v>
      </c>
      <c r="D167" s="23">
        <v>358562</v>
      </c>
      <c r="E167" s="24">
        <v>44313.381261574075</v>
      </c>
      <c r="F167" s="190">
        <v>5789</v>
      </c>
    </row>
    <row r="168" spans="1:6" x14ac:dyDescent="0.25">
      <c r="A168" s="23" t="str">
        <f>"3903866"</f>
        <v>3903866</v>
      </c>
      <c r="B168" s="23" t="s">
        <v>3775</v>
      </c>
      <c r="C168" s="23">
        <v>1.74</v>
      </c>
      <c r="D168" s="23">
        <v>359674</v>
      </c>
      <c r="E168" s="24">
        <v>44313.436307870368</v>
      </c>
      <c r="F168" s="190">
        <v>5790</v>
      </c>
    </row>
    <row r="169" spans="1:6" x14ac:dyDescent="0.25">
      <c r="A169" s="23" t="str">
        <f>"3903516"</f>
        <v>3903516</v>
      </c>
      <c r="B169" s="23" t="s">
        <v>3794</v>
      </c>
      <c r="C169" s="23">
        <v>1.68</v>
      </c>
      <c r="D169" s="23">
        <v>359179</v>
      </c>
      <c r="E169" s="24">
        <v>44313.493136574078</v>
      </c>
      <c r="F169" s="190">
        <v>5791</v>
      </c>
    </row>
    <row r="170" spans="1:6" x14ac:dyDescent="0.25">
      <c r="A170" s="23" t="str">
        <f>"3909239"</f>
        <v>3909239</v>
      </c>
      <c r="B170" s="23" t="s">
        <v>1087</v>
      </c>
      <c r="C170" s="23">
        <v>1.68</v>
      </c>
      <c r="D170" s="23">
        <v>359289</v>
      </c>
      <c r="E170" s="24">
        <v>44313.499398148146</v>
      </c>
      <c r="F170" s="190">
        <v>5792</v>
      </c>
    </row>
    <row r="171" spans="1:6" x14ac:dyDescent="0.25">
      <c r="A171" s="23" t="str">
        <f>"3903524"</f>
        <v>3903524</v>
      </c>
      <c r="B171" s="23" t="s">
        <v>11657</v>
      </c>
      <c r="C171" s="23">
        <v>9.15</v>
      </c>
      <c r="D171" s="23">
        <v>358981</v>
      </c>
      <c r="E171" s="24">
        <v>44313.513009259259</v>
      </c>
      <c r="F171" s="190">
        <v>5793</v>
      </c>
    </row>
    <row r="172" spans="1:6" x14ac:dyDescent="0.25">
      <c r="A172" s="23" t="str">
        <f>"3900375"</f>
        <v>3900375</v>
      </c>
      <c r="B172" s="23" t="s">
        <v>11658</v>
      </c>
      <c r="C172" s="23">
        <v>17.45</v>
      </c>
      <c r="D172" s="23">
        <v>355658</v>
      </c>
      <c r="E172" s="24">
        <v>44313.541481481479</v>
      </c>
      <c r="F172" s="190">
        <v>5796</v>
      </c>
    </row>
    <row r="173" spans="1:6" x14ac:dyDescent="0.25">
      <c r="A173" s="23" t="str">
        <f>"3909479"</f>
        <v>3909479</v>
      </c>
      <c r="B173" s="23" t="s">
        <v>11659</v>
      </c>
      <c r="C173" s="23">
        <v>3.17</v>
      </c>
      <c r="D173" s="23">
        <v>360348</v>
      </c>
      <c r="E173" s="24">
        <v>44313.671712962961</v>
      </c>
      <c r="F173" s="190">
        <v>5794</v>
      </c>
    </row>
    <row r="174" spans="1:6" x14ac:dyDescent="0.25">
      <c r="A174" s="23" t="str">
        <f>"3908019"</f>
        <v>3908019</v>
      </c>
      <c r="B174" s="23" t="s">
        <v>1094</v>
      </c>
      <c r="C174" s="23">
        <v>4.9400000000000004</v>
      </c>
      <c r="D174" s="23">
        <v>359165</v>
      </c>
      <c r="E174" s="24">
        <v>44313.686261574076</v>
      </c>
      <c r="F174" s="190">
        <v>5795</v>
      </c>
    </row>
    <row r="175" spans="1:6" x14ac:dyDescent="0.25">
      <c r="A175" s="23"/>
      <c r="B175" s="190">
        <v>17</v>
      </c>
      <c r="C175" s="189">
        <f>SUM(C165:C174)</f>
        <v>60.28</v>
      </c>
      <c r="D175" s="23"/>
      <c r="E175" s="24"/>
      <c r="F175" s="190"/>
    </row>
    <row r="176" spans="1:6" x14ac:dyDescent="0.25">
      <c r="A176" s="23" t="str">
        <f>"3930394"</f>
        <v>3930394</v>
      </c>
      <c r="B176" s="23" t="s">
        <v>558</v>
      </c>
      <c r="C176" s="23">
        <v>1.68</v>
      </c>
      <c r="D176" s="23">
        <v>359214</v>
      </c>
      <c r="E176" s="24">
        <v>44314.34302083333</v>
      </c>
      <c r="F176" s="190">
        <v>5849</v>
      </c>
    </row>
    <row r="177" spans="1:6" x14ac:dyDescent="0.25">
      <c r="A177" s="23" t="str">
        <f>"3907425"</f>
        <v>3907425</v>
      </c>
      <c r="B177" s="23" t="s">
        <v>559</v>
      </c>
      <c r="C177" s="23">
        <v>6.06</v>
      </c>
      <c r="D177" s="23">
        <v>359796</v>
      </c>
      <c r="E177" s="24">
        <v>44314.521365740744</v>
      </c>
      <c r="F177" s="190">
        <v>5850</v>
      </c>
    </row>
    <row r="178" spans="1:6" x14ac:dyDescent="0.25">
      <c r="A178" s="23"/>
      <c r="B178" s="190">
        <v>18</v>
      </c>
      <c r="C178" s="189">
        <f>SUM(C176:C177)</f>
        <v>7.7399999999999993</v>
      </c>
      <c r="D178" s="23"/>
      <c r="E178" s="24"/>
      <c r="F178" s="190"/>
    </row>
    <row r="179" spans="1:6" x14ac:dyDescent="0.25">
      <c r="A179" s="23" t="str">
        <f>"3903765"</f>
        <v>3903765</v>
      </c>
      <c r="B179" s="23" t="s">
        <v>3572</v>
      </c>
      <c r="C179" s="23">
        <v>1.72</v>
      </c>
      <c r="D179" s="23">
        <v>358835</v>
      </c>
      <c r="E179" s="24">
        <v>44315.422685185185</v>
      </c>
      <c r="F179" s="190">
        <v>5920</v>
      </c>
    </row>
    <row r="180" spans="1:6" x14ac:dyDescent="0.25">
      <c r="A180" s="23" t="str">
        <f>"3930030"</f>
        <v>3930030</v>
      </c>
      <c r="B180" s="23" t="s">
        <v>1111</v>
      </c>
      <c r="C180" s="23">
        <v>1.75</v>
      </c>
      <c r="D180" s="23">
        <v>358800</v>
      </c>
      <c r="E180" s="24">
        <v>44315.612291666665</v>
      </c>
      <c r="F180" s="190">
        <v>5921</v>
      </c>
    </row>
    <row r="181" spans="1:6" x14ac:dyDescent="0.25">
      <c r="A181" s="23" t="str">
        <f>"3909959"</f>
        <v>3909959</v>
      </c>
      <c r="B181" s="23" t="s">
        <v>3802</v>
      </c>
      <c r="C181" s="23">
        <v>2.1800000000000002</v>
      </c>
      <c r="D181" s="23">
        <v>358724</v>
      </c>
      <c r="E181" s="24">
        <v>44315.70412037037</v>
      </c>
      <c r="F181" s="190">
        <v>5922</v>
      </c>
    </row>
    <row r="182" spans="1:6" x14ac:dyDescent="0.25">
      <c r="A182" s="23"/>
      <c r="B182" s="190">
        <v>19</v>
      </c>
      <c r="C182" s="189">
        <f>SUM(C179:C181)</f>
        <v>5.65</v>
      </c>
      <c r="D182" s="23"/>
      <c r="E182" s="24"/>
      <c r="F182" s="190"/>
    </row>
    <row r="183" spans="1:6" x14ac:dyDescent="0.25">
      <c r="A183" s="23"/>
      <c r="B183" s="23"/>
      <c r="C183" s="23"/>
      <c r="D183" s="23"/>
      <c r="E183" s="24"/>
      <c r="F183" s="190"/>
    </row>
    <row r="184" spans="1:6" x14ac:dyDescent="0.25">
      <c r="A184" s="23"/>
      <c r="B184" s="23"/>
      <c r="C184" s="23"/>
      <c r="D184" s="23"/>
      <c r="E184" s="24"/>
      <c r="F184" s="190"/>
    </row>
    <row r="185" spans="1:6" x14ac:dyDescent="0.25">
      <c r="A185" s="23"/>
      <c r="B185" s="23"/>
      <c r="C185" s="23"/>
      <c r="D185" s="23"/>
      <c r="E185" s="24"/>
      <c r="F185" s="190"/>
    </row>
    <row r="186" spans="1:6" x14ac:dyDescent="0.25">
      <c r="A186" s="23"/>
      <c r="B186" s="23"/>
      <c r="C186" s="23"/>
      <c r="D186" s="23"/>
      <c r="E186" s="24"/>
      <c r="F186" s="190"/>
    </row>
    <row r="187" spans="1:6" x14ac:dyDescent="0.25">
      <c r="A187" s="23"/>
      <c r="B187" s="23"/>
      <c r="C187" s="23"/>
      <c r="D187" s="23"/>
      <c r="E187" s="24"/>
      <c r="F187" s="190"/>
    </row>
    <row r="188" spans="1:6" x14ac:dyDescent="0.25">
      <c r="A188" s="23"/>
      <c r="B188" s="23"/>
      <c r="C188" s="23"/>
      <c r="D188" s="23"/>
      <c r="E188" s="24"/>
      <c r="F188" s="190"/>
    </row>
    <row r="189" spans="1:6" x14ac:dyDescent="0.25">
      <c r="A189" s="23"/>
      <c r="B189" s="23"/>
      <c r="C189" s="23"/>
      <c r="D189" s="23"/>
      <c r="E189" s="24"/>
      <c r="F189" s="190"/>
    </row>
    <row r="190" spans="1:6" x14ac:dyDescent="0.25">
      <c r="A190" s="23"/>
      <c r="B190" s="23"/>
      <c r="C190" s="23"/>
      <c r="D190" s="23"/>
      <c r="E190" s="24"/>
      <c r="F190" s="190"/>
    </row>
    <row r="191" spans="1:6" x14ac:dyDescent="0.25">
      <c r="A191" s="23"/>
      <c r="B191" s="23"/>
      <c r="C191" s="23"/>
      <c r="D191" s="23"/>
      <c r="E191" s="24"/>
      <c r="F191" s="190"/>
    </row>
    <row r="192" spans="1:6" x14ac:dyDescent="0.25">
      <c r="A192" s="23"/>
      <c r="B192" s="23"/>
      <c r="C192" s="23"/>
      <c r="D192" s="23"/>
      <c r="E192" s="24"/>
      <c r="F192" s="190"/>
    </row>
    <row r="193" spans="1:6" x14ac:dyDescent="0.25">
      <c r="A193" s="23"/>
      <c r="B193" s="23"/>
      <c r="C193" s="23"/>
      <c r="D193" s="23"/>
      <c r="E193" s="24"/>
      <c r="F193" s="190"/>
    </row>
    <row r="194" spans="1:6" x14ac:dyDescent="0.25">
      <c r="A194" s="23"/>
      <c r="B194" s="23"/>
      <c r="C194" s="23"/>
      <c r="D194" s="23"/>
      <c r="E194" s="24"/>
      <c r="F194" s="190"/>
    </row>
    <row r="195" spans="1:6" x14ac:dyDescent="0.25">
      <c r="A195" s="23"/>
      <c r="B195" s="23"/>
      <c r="C195" s="23"/>
      <c r="D195" s="23"/>
      <c r="E195" s="24"/>
      <c r="F195" s="190"/>
    </row>
    <row r="196" spans="1:6" x14ac:dyDescent="0.25">
      <c r="A196" s="23"/>
      <c r="B196" s="23"/>
      <c r="C196" s="23"/>
      <c r="D196" s="23"/>
      <c r="E196" s="24"/>
      <c r="F196" s="190"/>
    </row>
    <row r="197" spans="1:6" x14ac:dyDescent="0.25">
      <c r="A197" s="23"/>
      <c r="B197" s="23"/>
      <c r="C197" s="23"/>
      <c r="D197" s="23"/>
      <c r="E197" s="24"/>
      <c r="F197" s="190"/>
    </row>
    <row r="198" spans="1:6" x14ac:dyDescent="0.25">
      <c r="A198" s="23"/>
      <c r="B198" s="23"/>
      <c r="C198" s="23"/>
      <c r="D198" s="23"/>
      <c r="E198" s="24"/>
      <c r="F198" s="190"/>
    </row>
    <row r="199" spans="1:6" x14ac:dyDescent="0.25">
      <c r="A199" s="23"/>
      <c r="B199" s="23"/>
      <c r="C199" s="23"/>
      <c r="D199" s="23"/>
      <c r="E199" s="24"/>
      <c r="F199" s="190"/>
    </row>
    <row r="200" spans="1:6" x14ac:dyDescent="0.25">
      <c r="A200" s="23"/>
      <c r="B200" s="23"/>
      <c r="C200" s="23"/>
      <c r="D200" s="23"/>
      <c r="E200" s="24"/>
      <c r="F200" s="190"/>
    </row>
    <row r="201" spans="1:6" x14ac:dyDescent="0.25">
      <c r="A201" s="23"/>
      <c r="B201" s="23"/>
      <c r="C201" s="23"/>
      <c r="D201" s="23"/>
      <c r="E201" s="24"/>
      <c r="F201" s="190"/>
    </row>
    <row r="202" spans="1:6" x14ac:dyDescent="0.25">
      <c r="A202" s="23"/>
      <c r="B202" s="23"/>
      <c r="C202" s="23"/>
      <c r="D202" s="23"/>
      <c r="E202" s="24"/>
      <c r="F202" s="190"/>
    </row>
    <row r="203" spans="1:6" x14ac:dyDescent="0.25">
      <c r="A203" s="23"/>
      <c r="B203" s="23"/>
      <c r="C203" s="23"/>
      <c r="D203" s="23"/>
      <c r="E203" s="24"/>
      <c r="F203" s="190"/>
    </row>
    <row r="204" spans="1:6" x14ac:dyDescent="0.25">
      <c r="A204" s="23"/>
      <c r="B204" s="23"/>
      <c r="C204" s="23"/>
      <c r="D204" s="23"/>
      <c r="E204" s="24"/>
      <c r="F204" s="190"/>
    </row>
    <row r="205" spans="1:6" x14ac:dyDescent="0.25">
      <c r="A205" s="23"/>
      <c r="B205" s="23"/>
      <c r="C205" s="23"/>
      <c r="D205" s="23"/>
      <c r="E205" s="24"/>
      <c r="F205" s="190"/>
    </row>
    <row r="206" spans="1:6" x14ac:dyDescent="0.25">
      <c r="A206" s="23"/>
      <c r="B206" s="23"/>
      <c r="C206" s="23"/>
      <c r="D206" s="23"/>
      <c r="E206" s="24"/>
      <c r="F206" s="190"/>
    </row>
    <row r="207" spans="1:6" x14ac:dyDescent="0.25">
      <c r="A207" s="23"/>
      <c r="B207" s="23"/>
      <c r="C207" s="23"/>
      <c r="D207" s="23"/>
      <c r="E207" s="24"/>
      <c r="F207" s="190"/>
    </row>
    <row r="208" spans="1:6" x14ac:dyDescent="0.25">
      <c r="A208" s="23"/>
      <c r="B208" s="23"/>
      <c r="C208" s="23"/>
      <c r="D208" s="23"/>
      <c r="E208" s="24"/>
      <c r="F208" s="190"/>
    </row>
    <row r="209" spans="1:6" x14ac:dyDescent="0.25">
      <c r="A209" s="23"/>
      <c r="B209" s="23"/>
      <c r="C209" s="23"/>
      <c r="D209" s="23"/>
      <c r="E209" s="24"/>
      <c r="F209" s="190"/>
    </row>
    <row r="210" spans="1:6" x14ac:dyDescent="0.25">
      <c r="A210" s="23"/>
      <c r="B210" s="23"/>
      <c r="C210" s="23"/>
      <c r="D210" s="23"/>
      <c r="E210" s="24"/>
      <c r="F210" s="190"/>
    </row>
    <row r="211" spans="1:6" x14ac:dyDescent="0.25">
      <c r="A211" s="23"/>
      <c r="B211" s="23"/>
      <c r="C211" s="23"/>
      <c r="D211" s="23"/>
      <c r="E211" s="24"/>
      <c r="F211" s="190"/>
    </row>
    <row r="212" spans="1:6" x14ac:dyDescent="0.25">
      <c r="A212" s="23"/>
      <c r="B212" s="23"/>
      <c r="C212" s="23"/>
      <c r="D212" s="23"/>
      <c r="E212" s="24"/>
      <c r="F212" s="190"/>
    </row>
    <row r="213" spans="1:6" x14ac:dyDescent="0.25">
      <c r="A213" s="23"/>
      <c r="B213" s="23"/>
      <c r="C213" s="23"/>
      <c r="D213" s="23"/>
      <c r="E213" s="24"/>
      <c r="F213" s="190"/>
    </row>
    <row r="214" spans="1:6" x14ac:dyDescent="0.25">
      <c r="A214" s="23"/>
      <c r="B214" s="23"/>
      <c r="C214" s="23"/>
      <c r="D214" s="23"/>
      <c r="E214" s="24"/>
      <c r="F214" s="190"/>
    </row>
    <row r="215" spans="1:6" x14ac:dyDescent="0.25">
      <c r="A215" s="23"/>
      <c r="B215" s="23"/>
      <c r="C215" s="23"/>
      <c r="D215" s="23"/>
      <c r="E215" s="24"/>
      <c r="F215" s="190"/>
    </row>
    <row r="216" spans="1:6" x14ac:dyDescent="0.25">
      <c r="A216" s="211"/>
      <c r="B216" s="211"/>
      <c r="C216" s="211"/>
      <c r="D216" s="211"/>
      <c r="E216" s="212"/>
      <c r="F216" s="213"/>
    </row>
    <row r="217" spans="1:6" x14ac:dyDescent="0.25">
      <c r="A217" s="23"/>
      <c r="B217" s="23"/>
      <c r="C217" s="23"/>
      <c r="D217" s="23"/>
      <c r="E217" s="24"/>
      <c r="F217" s="190"/>
    </row>
    <row r="218" spans="1:6" x14ac:dyDescent="0.25">
      <c r="A218" s="23"/>
      <c r="B218" s="23"/>
      <c r="C218" s="23"/>
      <c r="D218" s="23"/>
      <c r="E218" s="24"/>
      <c r="F218" s="190"/>
    </row>
    <row r="219" spans="1:6" x14ac:dyDescent="0.25">
      <c r="A219" s="23"/>
      <c r="B219" s="23"/>
      <c r="C219" s="23"/>
      <c r="D219" s="23"/>
      <c r="E219" s="24"/>
      <c r="F219" s="190"/>
    </row>
    <row r="220" spans="1:6" x14ac:dyDescent="0.25">
      <c r="A220" s="23"/>
      <c r="B220" s="23"/>
      <c r="C220" s="23"/>
      <c r="D220" s="23"/>
      <c r="E220" s="24"/>
      <c r="F220" s="190"/>
    </row>
    <row r="221" spans="1:6" x14ac:dyDescent="0.25">
      <c r="A221" s="23"/>
      <c r="B221" s="23"/>
      <c r="C221" s="23"/>
      <c r="D221" s="23"/>
      <c r="E221" s="24"/>
      <c r="F221" s="190"/>
    </row>
    <row r="222" spans="1:6" x14ac:dyDescent="0.25">
      <c r="A222" s="23"/>
      <c r="B222" s="23"/>
      <c r="C222" s="23"/>
      <c r="D222" s="23"/>
      <c r="E222" s="24"/>
      <c r="F222" s="190"/>
    </row>
    <row r="223" spans="1:6" x14ac:dyDescent="0.25">
      <c r="A223" s="23"/>
      <c r="B223" s="23"/>
      <c r="C223" s="23"/>
      <c r="D223" s="23"/>
      <c r="E223" s="24"/>
      <c r="F223" s="190"/>
    </row>
    <row r="224" spans="1:6" x14ac:dyDescent="0.25">
      <c r="A224" s="23"/>
      <c r="B224" s="23"/>
      <c r="C224" s="23"/>
      <c r="D224" s="23"/>
      <c r="E224" s="24"/>
      <c r="F224" s="190"/>
    </row>
    <row r="225" spans="1:6" x14ac:dyDescent="0.25">
      <c r="A225" s="23"/>
      <c r="B225" s="23"/>
      <c r="C225" s="23"/>
      <c r="D225" s="23"/>
      <c r="E225" s="24"/>
      <c r="F225" s="190"/>
    </row>
    <row r="226" spans="1:6" x14ac:dyDescent="0.25">
      <c r="A226" s="23"/>
      <c r="B226" s="23"/>
      <c r="C226" s="23"/>
      <c r="D226" s="23"/>
      <c r="E226" s="24"/>
      <c r="F226" s="190"/>
    </row>
    <row r="227" spans="1:6" x14ac:dyDescent="0.25">
      <c r="A227" s="23"/>
      <c r="B227" s="23"/>
      <c r="C227" s="23"/>
      <c r="D227" s="23"/>
      <c r="E227" s="24"/>
      <c r="F227" s="190"/>
    </row>
    <row r="228" spans="1:6" x14ac:dyDescent="0.25">
      <c r="A228" s="23"/>
      <c r="B228" s="23"/>
      <c r="C228" s="23"/>
      <c r="D228" s="23"/>
      <c r="E228" s="24"/>
      <c r="F228" s="190"/>
    </row>
    <row r="229" spans="1:6" x14ac:dyDescent="0.25">
      <c r="A229" s="23"/>
      <c r="B229" s="23"/>
      <c r="C229" s="23"/>
      <c r="D229" s="23"/>
      <c r="E229" s="24"/>
      <c r="F229" s="190"/>
    </row>
    <row r="230" spans="1:6" x14ac:dyDescent="0.25">
      <c r="A230" s="23"/>
      <c r="B230" s="23"/>
      <c r="C230" s="23"/>
      <c r="D230" s="23"/>
      <c r="E230" s="24"/>
      <c r="F230" s="190"/>
    </row>
    <row r="231" spans="1:6" x14ac:dyDescent="0.25">
      <c r="A231" s="23"/>
      <c r="B231" s="23"/>
      <c r="C231" s="23"/>
      <c r="D231" s="23"/>
      <c r="E231" s="24"/>
      <c r="F231" s="190"/>
    </row>
    <row r="232" spans="1:6" x14ac:dyDescent="0.25">
      <c r="A232" s="23"/>
      <c r="B232" s="23"/>
      <c r="C232" s="23"/>
      <c r="D232" s="23"/>
      <c r="E232" s="24"/>
      <c r="F232" s="190"/>
    </row>
    <row r="233" spans="1:6" x14ac:dyDescent="0.25">
      <c r="A233" s="23"/>
      <c r="B233" s="23"/>
      <c r="C233" s="23"/>
      <c r="D233" s="23"/>
      <c r="E233" s="24"/>
      <c r="F233" s="190"/>
    </row>
    <row r="234" spans="1:6" x14ac:dyDescent="0.25">
      <c r="A234" s="23"/>
      <c r="B234" s="23"/>
      <c r="C234" s="23"/>
      <c r="D234" s="23"/>
      <c r="E234" s="24"/>
      <c r="F234" s="190"/>
    </row>
    <row r="235" spans="1:6" x14ac:dyDescent="0.25">
      <c r="A235" s="23"/>
      <c r="B235" s="23"/>
      <c r="C235" s="23"/>
      <c r="D235" s="23"/>
      <c r="E235" s="24"/>
      <c r="F235" s="190"/>
    </row>
    <row r="236" spans="1:6" x14ac:dyDescent="0.25">
      <c r="A236" s="23"/>
      <c r="B236" s="23"/>
      <c r="C236" s="23"/>
      <c r="D236" s="23"/>
      <c r="E236" s="24"/>
      <c r="F236" s="190"/>
    </row>
    <row r="237" spans="1:6" x14ac:dyDescent="0.25">
      <c r="A237" s="23"/>
      <c r="B237" s="23"/>
      <c r="C237" s="23"/>
      <c r="D237" s="23"/>
      <c r="E237" s="24"/>
      <c r="F237" s="190"/>
    </row>
    <row r="238" spans="1:6" x14ac:dyDescent="0.25">
      <c r="A238" s="23"/>
      <c r="B238" s="23"/>
      <c r="C238" s="23"/>
      <c r="D238" s="23"/>
      <c r="E238" s="24"/>
      <c r="F238" s="190"/>
    </row>
    <row r="239" spans="1:6" x14ac:dyDescent="0.25">
      <c r="A239" s="23"/>
      <c r="B239" s="23"/>
      <c r="C239" s="23"/>
      <c r="D239" s="23"/>
      <c r="E239" s="24"/>
      <c r="F239" s="190"/>
    </row>
    <row r="240" spans="1:6" x14ac:dyDescent="0.25">
      <c r="A240" s="23"/>
      <c r="B240" s="23"/>
      <c r="C240" s="23"/>
      <c r="D240" s="23"/>
      <c r="E240" s="24"/>
      <c r="F240" s="190"/>
    </row>
    <row r="241" spans="1:6" x14ac:dyDescent="0.25">
      <c r="A241" s="23"/>
      <c r="B241" s="23"/>
      <c r="C241" s="23"/>
      <c r="D241" s="23"/>
      <c r="E241" s="24"/>
      <c r="F241" s="190"/>
    </row>
    <row r="242" spans="1:6" x14ac:dyDescent="0.25">
      <c r="A242" s="23"/>
      <c r="B242" s="23"/>
      <c r="C242" s="23"/>
      <c r="D242" s="23"/>
      <c r="E242" s="24"/>
      <c r="F242" s="190"/>
    </row>
    <row r="243" spans="1:6" x14ac:dyDescent="0.25">
      <c r="A243" s="23"/>
      <c r="B243" s="23"/>
      <c r="C243" s="23"/>
      <c r="D243" s="23"/>
      <c r="E243" s="24"/>
      <c r="F243" s="190"/>
    </row>
    <row r="244" spans="1:6" x14ac:dyDescent="0.25">
      <c r="A244" s="23"/>
      <c r="B244" s="23"/>
      <c r="C244" s="23"/>
      <c r="D244" s="23"/>
      <c r="E244" s="24"/>
      <c r="F244" s="190"/>
    </row>
    <row r="245" spans="1:6" x14ac:dyDescent="0.25">
      <c r="A245" s="23"/>
      <c r="B245" s="23"/>
      <c r="C245" s="23"/>
      <c r="D245" s="23"/>
      <c r="E245" s="24"/>
      <c r="F245" s="190"/>
    </row>
    <row r="246" spans="1:6" x14ac:dyDescent="0.25">
      <c r="A246" s="23"/>
      <c r="B246" s="23"/>
      <c r="C246" s="23"/>
      <c r="D246" s="23"/>
      <c r="E246" s="24"/>
      <c r="F246" s="190"/>
    </row>
    <row r="247" spans="1:6" x14ac:dyDescent="0.25">
      <c r="A247" s="23"/>
      <c r="B247" s="23"/>
      <c r="C247" s="23"/>
      <c r="D247" s="23"/>
      <c r="E247" s="24"/>
      <c r="F247" s="190"/>
    </row>
    <row r="248" spans="1:6" x14ac:dyDescent="0.25">
      <c r="A248" s="23"/>
      <c r="B248" s="23"/>
      <c r="C248" s="23"/>
      <c r="D248" s="23"/>
      <c r="E248" s="24"/>
      <c r="F248" s="190"/>
    </row>
    <row r="249" spans="1:6" x14ac:dyDescent="0.25">
      <c r="A249" s="23"/>
      <c r="B249" s="23"/>
      <c r="C249" s="23"/>
      <c r="D249" s="23"/>
      <c r="E249" s="24"/>
      <c r="F249" s="190"/>
    </row>
    <row r="250" spans="1:6" x14ac:dyDescent="0.25">
      <c r="A250" s="23"/>
      <c r="B250" s="23"/>
      <c r="C250" s="23"/>
      <c r="D250" s="23"/>
      <c r="E250" s="24"/>
      <c r="F250" s="190"/>
    </row>
    <row r="251" spans="1:6" x14ac:dyDescent="0.25">
      <c r="A251" s="23"/>
      <c r="B251" s="23"/>
      <c r="C251" s="23"/>
      <c r="D251" s="23"/>
      <c r="E251" s="24"/>
      <c r="F251" s="190"/>
    </row>
    <row r="252" spans="1:6" x14ac:dyDescent="0.25">
      <c r="A252" s="23"/>
      <c r="B252" s="23"/>
      <c r="C252" s="23"/>
      <c r="D252" s="23"/>
      <c r="E252" s="24"/>
      <c r="F252" s="190"/>
    </row>
    <row r="253" spans="1:6" x14ac:dyDescent="0.25">
      <c r="A253" s="23"/>
      <c r="B253" s="23"/>
      <c r="C253" s="23"/>
      <c r="D253" s="23"/>
      <c r="E253" s="24"/>
      <c r="F253" s="190"/>
    </row>
    <row r="254" spans="1:6" x14ac:dyDescent="0.25">
      <c r="A254" s="23"/>
      <c r="B254" s="23"/>
      <c r="C254" s="23"/>
      <c r="D254" s="23"/>
      <c r="E254" s="24"/>
      <c r="F254" s="190"/>
    </row>
    <row r="255" spans="1:6" x14ac:dyDescent="0.25">
      <c r="A255" s="23"/>
      <c r="B255" s="23"/>
      <c r="C255" s="23"/>
      <c r="D255" s="23"/>
      <c r="E255" s="24"/>
      <c r="F255" s="190"/>
    </row>
    <row r="256" spans="1:6" x14ac:dyDescent="0.25">
      <c r="A256" s="23"/>
      <c r="B256" s="23"/>
      <c r="C256" s="23"/>
      <c r="D256" s="23"/>
      <c r="E256" s="24"/>
      <c r="F256" s="190"/>
    </row>
    <row r="257" spans="1:6" x14ac:dyDescent="0.25">
      <c r="A257" s="23"/>
      <c r="B257" s="23"/>
      <c r="C257" s="23"/>
      <c r="D257" s="23"/>
      <c r="E257" s="24"/>
      <c r="F257" s="190"/>
    </row>
    <row r="258" spans="1:6" x14ac:dyDescent="0.25">
      <c r="A258" s="23"/>
      <c r="B258" s="23"/>
      <c r="C258" s="23"/>
      <c r="D258" s="23"/>
      <c r="E258" s="24"/>
      <c r="F258" s="190"/>
    </row>
    <row r="259" spans="1:6" x14ac:dyDescent="0.25">
      <c r="A259" s="23"/>
      <c r="B259" s="23"/>
      <c r="C259" s="23"/>
      <c r="D259" s="23"/>
      <c r="E259" s="24"/>
      <c r="F259" s="190"/>
    </row>
    <row r="260" spans="1:6" x14ac:dyDescent="0.25">
      <c r="A260" s="23"/>
      <c r="B260" s="23"/>
      <c r="C260" s="23"/>
      <c r="D260" s="23"/>
      <c r="E260" s="24"/>
      <c r="F260" s="190"/>
    </row>
    <row r="261" spans="1:6" x14ac:dyDescent="0.25">
      <c r="A261" s="23"/>
      <c r="B261" s="23"/>
      <c r="C261" s="23"/>
      <c r="D261" s="23"/>
      <c r="E261" s="24"/>
      <c r="F261" s="190"/>
    </row>
    <row r="262" spans="1:6" x14ac:dyDescent="0.25">
      <c r="A262" s="23"/>
      <c r="B262" s="23"/>
      <c r="C262" s="23"/>
      <c r="D262" s="23"/>
      <c r="E262" s="24"/>
      <c r="F262" s="190"/>
    </row>
    <row r="263" spans="1:6" x14ac:dyDescent="0.25">
      <c r="A263" s="23"/>
      <c r="B263" s="23"/>
      <c r="C263" s="23"/>
      <c r="D263" s="23"/>
      <c r="E263" s="24"/>
      <c r="F263" s="190"/>
    </row>
    <row r="264" spans="1:6" x14ac:dyDescent="0.25">
      <c r="A264" s="23"/>
      <c r="B264" s="23"/>
      <c r="C264" s="23"/>
      <c r="D264" s="23"/>
      <c r="E264" s="24"/>
      <c r="F264" s="190"/>
    </row>
    <row r="265" spans="1:6" x14ac:dyDescent="0.25">
      <c r="A265" s="23"/>
      <c r="B265" s="23"/>
      <c r="C265" s="23"/>
      <c r="D265" s="23"/>
      <c r="E265" s="24"/>
      <c r="F265" s="190"/>
    </row>
    <row r="266" spans="1:6" x14ac:dyDescent="0.25">
      <c r="A266" s="23"/>
      <c r="B266" s="23"/>
      <c r="C266" s="23"/>
      <c r="D266" s="23"/>
      <c r="E266" s="24"/>
      <c r="F266" s="190"/>
    </row>
    <row r="267" spans="1:6" x14ac:dyDescent="0.25">
      <c r="A267" s="23"/>
      <c r="B267" s="23"/>
      <c r="C267" s="23"/>
      <c r="D267" s="23"/>
      <c r="E267" s="24"/>
      <c r="F267" s="190"/>
    </row>
    <row r="268" spans="1:6" x14ac:dyDescent="0.25">
      <c r="A268" s="23"/>
      <c r="B268" s="23"/>
      <c r="C268" s="23"/>
      <c r="D268" s="23"/>
      <c r="E268" s="24"/>
      <c r="F268" s="190"/>
    </row>
    <row r="269" spans="1:6" x14ac:dyDescent="0.25">
      <c r="A269" s="23"/>
      <c r="B269" s="23"/>
      <c r="C269" s="23"/>
      <c r="D269" s="23"/>
      <c r="E269" s="24"/>
      <c r="F269" s="190"/>
    </row>
    <row r="270" spans="1:6" x14ac:dyDescent="0.25">
      <c r="A270" s="23"/>
      <c r="B270" s="23"/>
      <c r="C270" s="23"/>
      <c r="D270" s="23"/>
      <c r="E270" s="24"/>
      <c r="F270" s="190"/>
    </row>
    <row r="271" spans="1:6" x14ac:dyDescent="0.25">
      <c r="A271" s="23"/>
      <c r="B271" s="23"/>
      <c r="C271" s="23"/>
      <c r="D271" s="23"/>
      <c r="E271" s="24"/>
      <c r="F271" s="190"/>
    </row>
    <row r="272" spans="1:6" x14ac:dyDescent="0.25">
      <c r="A272" s="23"/>
      <c r="B272" s="23"/>
      <c r="C272" s="23"/>
      <c r="D272" s="23"/>
      <c r="E272" s="24"/>
      <c r="F272" s="190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B6094-07D2-4AFD-BE11-FFAF8B8DB85F}">
  <dimension ref="A3:R488"/>
  <sheetViews>
    <sheetView zoomScaleNormal="100" workbookViewId="0">
      <selection activeCell="D7" sqref="D7"/>
    </sheetView>
  </sheetViews>
  <sheetFormatPr baseColWidth="10" defaultRowHeight="15" x14ac:dyDescent="0.25"/>
  <cols>
    <col min="3" max="3" width="25.85546875" customWidth="1"/>
    <col min="8" max="8" width="11.42578125" style="271"/>
  </cols>
  <sheetData>
    <row r="3" spans="1:8" x14ac:dyDescent="0.25">
      <c r="A3" s="297" t="s">
        <v>11586</v>
      </c>
      <c r="B3" s="297"/>
      <c r="C3" s="297"/>
      <c r="D3" s="297"/>
      <c r="E3" s="297"/>
      <c r="F3" s="297"/>
      <c r="G3" s="297"/>
      <c r="H3" s="297"/>
    </row>
    <row r="4" spans="1:8" x14ac:dyDescent="0.25">
      <c r="A4" s="189" t="s">
        <v>1080</v>
      </c>
      <c r="B4" s="189" t="s">
        <v>1079</v>
      </c>
      <c r="C4" s="189" t="s">
        <v>1078</v>
      </c>
      <c r="D4" s="189" t="s">
        <v>525</v>
      </c>
      <c r="E4" s="189" t="s">
        <v>1077</v>
      </c>
      <c r="F4" s="189" t="s">
        <v>1076</v>
      </c>
      <c r="G4" s="189" t="s">
        <v>1075</v>
      </c>
      <c r="H4" s="273" t="s">
        <v>545</v>
      </c>
    </row>
    <row r="5" spans="1:8" x14ac:dyDescent="0.25">
      <c r="A5" t="s">
        <v>11471</v>
      </c>
      <c r="B5" t="s">
        <v>11511</v>
      </c>
      <c r="C5" t="s">
        <v>11510</v>
      </c>
      <c r="D5" t="s">
        <v>3597</v>
      </c>
      <c r="E5" s="208">
        <v>3.36</v>
      </c>
      <c r="F5" t="s">
        <v>3598</v>
      </c>
      <c r="G5" t="s">
        <v>640</v>
      </c>
      <c r="H5" s="271">
        <v>4504</v>
      </c>
    </row>
    <row r="6" spans="1:8" x14ac:dyDescent="0.25">
      <c r="A6" t="s">
        <v>11471</v>
      </c>
      <c r="B6" t="s">
        <v>11509</v>
      </c>
      <c r="C6" t="s">
        <v>11508</v>
      </c>
      <c r="D6" t="s">
        <v>890</v>
      </c>
      <c r="E6" s="208">
        <v>8.26</v>
      </c>
      <c r="F6" t="s">
        <v>889</v>
      </c>
      <c r="G6" t="s">
        <v>640</v>
      </c>
      <c r="H6" s="271">
        <v>4505</v>
      </c>
    </row>
    <row r="7" spans="1:8" x14ac:dyDescent="0.25">
      <c r="A7" t="s">
        <v>11471</v>
      </c>
      <c r="B7" t="s">
        <v>11507</v>
      </c>
      <c r="C7" t="s">
        <v>11506</v>
      </c>
      <c r="D7" t="s">
        <v>10524</v>
      </c>
      <c r="E7" s="208">
        <v>1.75</v>
      </c>
      <c r="F7" t="s">
        <v>10523</v>
      </c>
      <c r="G7" t="s">
        <v>640</v>
      </c>
      <c r="H7" s="271">
        <v>4506</v>
      </c>
    </row>
    <row r="8" spans="1:8" x14ac:dyDescent="0.25">
      <c r="A8" t="s">
        <v>11471</v>
      </c>
      <c r="B8" t="s">
        <v>11505</v>
      </c>
      <c r="C8" t="s">
        <v>11504</v>
      </c>
      <c r="D8" t="s">
        <v>5102</v>
      </c>
      <c r="E8" s="208">
        <v>2.2799999999999998</v>
      </c>
      <c r="F8" t="s">
        <v>5103</v>
      </c>
      <c r="G8" t="s">
        <v>640</v>
      </c>
      <c r="H8" s="271">
        <v>4507</v>
      </c>
    </row>
    <row r="9" spans="1:8" x14ac:dyDescent="0.25">
      <c r="A9" t="s">
        <v>11471</v>
      </c>
      <c r="B9" t="s">
        <v>11503</v>
      </c>
      <c r="C9" t="s">
        <v>11502</v>
      </c>
      <c r="D9" t="s">
        <v>729</v>
      </c>
      <c r="E9" s="208">
        <v>3.43</v>
      </c>
      <c r="F9" t="s">
        <v>728</v>
      </c>
      <c r="G9" t="s">
        <v>640</v>
      </c>
      <c r="H9" s="271">
        <v>4508</v>
      </c>
    </row>
    <row r="10" spans="1:8" x14ac:dyDescent="0.25">
      <c r="A10" t="s">
        <v>11471</v>
      </c>
      <c r="B10" t="s">
        <v>11501</v>
      </c>
      <c r="C10" t="s">
        <v>11500</v>
      </c>
      <c r="D10" t="s">
        <v>1353</v>
      </c>
      <c r="E10" s="208">
        <v>5.85</v>
      </c>
      <c r="F10" t="s">
        <v>1352</v>
      </c>
      <c r="G10" t="s">
        <v>640</v>
      </c>
      <c r="H10" s="271">
        <v>4509</v>
      </c>
    </row>
    <row r="11" spans="1:8" x14ac:dyDescent="0.25">
      <c r="A11" t="s">
        <v>11471</v>
      </c>
      <c r="B11" t="s">
        <v>11499</v>
      </c>
      <c r="C11" t="s">
        <v>11498</v>
      </c>
      <c r="D11" t="s">
        <v>11497</v>
      </c>
      <c r="E11" s="208">
        <v>17.87</v>
      </c>
      <c r="F11" t="s">
        <v>11496</v>
      </c>
      <c r="G11" t="s">
        <v>640</v>
      </c>
      <c r="H11" s="271">
        <v>4510</v>
      </c>
    </row>
    <row r="12" spans="1:8" x14ac:dyDescent="0.25">
      <c r="A12" t="s">
        <v>11471</v>
      </c>
      <c r="B12" t="s">
        <v>11495</v>
      </c>
      <c r="C12" t="s">
        <v>11494</v>
      </c>
      <c r="D12" t="s">
        <v>11493</v>
      </c>
      <c r="E12" s="208">
        <v>1.76</v>
      </c>
      <c r="F12" t="s">
        <v>11480</v>
      </c>
      <c r="G12" t="s">
        <v>640</v>
      </c>
      <c r="H12" s="271">
        <v>4511</v>
      </c>
    </row>
    <row r="13" spans="1:8" x14ac:dyDescent="0.25">
      <c r="A13" t="s">
        <v>11471</v>
      </c>
      <c r="B13" t="s">
        <v>11492</v>
      </c>
      <c r="C13" t="s">
        <v>11491</v>
      </c>
      <c r="D13" t="s">
        <v>1139</v>
      </c>
      <c r="E13" s="208">
        <v>1.72</v>
      </c>
      <c r="F13" t="s">
        <v>1138</v>
      </c>
      <c r="G13" t="s">
        <v>640</v>
      </c>
      <c r="H13" s="271">
        <v>4512</v>
      </c>
    </row>
    <row r="14" spans="1:8" x14ac:dyDescent="0.25">
      <c r="A14" t="s">
        <v>11471</v>
      </c>
      <c r="B14" t="s">
        <v>11490</v>
      </c>
      <c r="C14" t="s">
        <v>11489</v>
      </c>
      <c r="D14" t="s">
        <v>11488</v>
      </c>
      <c r="E14" s="208">
        <v>4.3099999999999996</v>
      </c>
      <c r="F14" t="s">
        <v>11480</v>
      </c>
      <c r="G14" t="s">
        <v>640</v>
      </c>
      <c r="H14" s="271">
        <v>4513</v>
      </c>
    </row>
    <row r="15" spans="1:8" x14ac:dyDescent="0.25">
      <c r="A15" t="s">
        <v>11471</v>
      </c>
      <c r="B15" t="s">
        <v>11487</v>
      </c>
      <c r="C15" t="s">
        <v>11486</v>
      </c>
      <c r="D15" t="s">
        <v>4807</v>
      </c>
      <c r="E15" s="208">
        <v>16.760000000000002</v>
      </c>
      <c r="F15" t="s">
        <v>4808</v>
      </c>
      <c r="G15" t="s">
        <v>640</v>
      </c>
      <c r="H15" s="271">
        <v>4514</v>
      </c>
    </row>
    <row r="16" spans="1:8" x14ac:dyDescent="0.25">
      <c r="A16" t="s">
        <v>11471</v>
      </c>
      <c r="B16" t="s">
        <v>10923</v>
      </c>
      <c r="C16" t="s">
        <v>11485</v>
      </c>
      <c r="D16" t="s">
        <v>11484</v>
      </c>
      <c r="E16" s="208">
        <v>4.22</v>
      </c>
      <c r="F16" t="s">
        <v>11480</v>
      </c>
      <c r="G16" t="s">
        <v>640</v>
      </c>
      <c r="H16" s="271">
        <v>4515</v>
      </c>
    </row>
    <row r="17" spans="1:8" x14ac:dyDescent="0.25">
      <c r="A17" t="s">
        <v>11471</v>
      </c>
      <c r="B17" t="s">
        <v>11483</v>
      </c>
      <c r="C17" t="s">
        <v>11482</v>
      </c>
      <c r="D17" t="s">
        <v>11481</v>
      </c>
      <c r="E17" s="208">
        <v>4.79</v>
      </c>
      <c r="F17" t="s">
        <v>11480</v>
      </c>
      <c r="G17" t="s">
        <v>640</v>
      </c>
      <c r="H17" s="271">
        <v>4516</v>
      </c>
    </row>
    <row r="18" spans="1:8" x14ac:dyDescent="0.25">
      <c r="A18" t="s">
        <v>11471</v>
      </c>
      <c r="B18" t="s">
        <v>11479</v>
      </c>
      <c r="C18" t="s">
        <v>11478</v>
      </c>
      <c r="D18" t="s">
        <v>1148</v>
      </c>
      <c r="E18" s="208">
        <v>41.91</v>
      </c>
      <c r="F18" t="s">
        <v>1147</v>
      </c>
      <c r="G18" t="s">
        <v>640</v>
      </c>
      <c r="H18" s="271">
        <v>4517</v>
      </c>
    </row>
    <row r="19" spans="1:8" x14ac:dyDescent="0.25">
      <c r="A19" t="s">
        <v>11471</v>
      </c>
      <c r="B19" t="s">
        <v>11477</v>
      </c>
      <c r="C19" t="s">
        <v>11476</v>
      </c>
      <c r="D19" t="s">
        <v>3679</v>
      </c>
      <c r="E19" s="208">
        <v>34.58</v>
      </c>
      <c r="F19" t="s">
        <v>3680</v>
      </c>
      <c r="G19" t="s">
        <v>640</v>
      </c>
      <c r="H19" s="271">
        <v>4522</v>
      </c>
    </row>
    <row r="20" spans="1:8" x14ac:dyDescent="0.25">
      <c r="A20" t="s">
        <v>11471</v>
      </c>
      <c r="B20" t="s">
        <v>11475</v>
      </c>
      <c r="C20" t="s">
        <v>11474</v>
      </c>
      <c r="D20" t="s">
        <v>761</v>
      </c>
      <c r="E20" s="208">
        <v>1.68</v>
      </c>
      <c r="F20" t="s">
        <v>760</v>
      </c>
      <c r="G20" t="s">
        <v>640</v>
      </c>
      <c r="H20" s="271">
        <v>4523</v>
      </c>
    </row>
    <row r="21" spans="1:8" x14ac:dyDescent="0.25">
      <c r="A21" t="s">
        <v>11471</v>
      </c>
      <c r="B21" t="s">
        <v>11473</v>
      </c>
      <c r="C21" t="s">
        <v>11472</v>
      </c>
      <c r="D21" t="s">
        <v>1251</v>
      </c>
      <c r="E21" s="208">
        <v>9.49</v>
      </c>
      <c r="F21" t="s">
        <v>1250</v>
      </c>
      <c r="G21" t="s">
        <v>640</v>
      </c>
      <c r="H21" s="271">
        <v>4524</v>
      </c>
    </row>
    <row r="22" spans="1:8" x14ac:dyDescent="0.25">
      <c r="A22" t="s">
        <v>11471</v>
      </c>
      <c r="B22" t="s">
        <v>11470</v>
      </c>
      <c r="C22" t="s">
        <v>11469</v>
      </c>
      <c r="D22" t="s">
        <v>1066</v>
      </c>
      <c r="E22" s="208">
        <v>2.4900000000000002</v>
      </c>
      <c r="F22" t="s">
        <v>1065</v>
      </c>
      <c r="G22" t="s">
        <v>640</v>
      </c>
      <c r="H22" s="271">
        <v>4525</v>
      </c>
    </row>
    <row r="23" spans="1:8" x14ac:dyDescent="0.25">
      <c r="C23" s="210" t="s">
        <v>3738</v>
      </c>
      <c r="D23" s="210"/>
      <c r="E23" s="209">
        <f>SUM(E5:E22)</f>
        <v>166.51000000000002</v>
      </c>
    </row>
    <row r="24" spans="1:8" x14ac:dyDescent="0.25">
      <c r="A24" t="s">
        <v>11313</v>
      </c>
      <c r="B24" t="s">
        <v>11389</v>
      </c>
      <c r="C24" t="s">
        <v>11388</v>
      </c>
      <c r="D24" t="s">
        <v>1014</v>
      </c>
      <c r="E24" s="208">
        <v>5.62</v>
      </c>
      <c r="F24" t="s">
        <v>1013</v>
      </c>
      <c r="G24" t="s">
        <v>640</v>
      </c>
      <c r="H24" s="271">
        <v>4685</v>
      </c>
    </row>
    <row r="25" spans="1:8" x14ac:dyDescent="0.25">
      <c r="A25" t="s">
        <v>11313</v>
      </c>
      <c r="B25" t="s">
        <v>11387</v>
      </c>
      <c r="C25" t="s">
        <v>11386</v>
      </c>
      <c r="D25" t="s">
        <v>11385</v>
      </c>
      <c r="E25" s="208">
        <v>28.93</v>
      </c>
      <c r="F25" t="s">
        <v>11384</v>
      </c>
      <c r="G25" t="s">
        <v>640</v>
      </c>
      <c r="H25" s="271">
        <v>4686</v>
      </c>
    </row>
    <row r="26" spans="1:8" x14ac:dyDescent="0.25">
      <c r="A26" t="s">
        <v>11313</v>
      </c>
      <c r="B26" t="s">
        <v>11383</v>
      </c>
      <c r="C26" t="s">
        <v>11382</v>
      </c>
      <c r="D26" t="s">
        <v>4739</v>
      </c>
      <c r="E26" s="208">
        <v>21.16</v>
      </c>
      <c r="F26" t="s">
        <v>4740</v>
      </c>
      <c r="G26" t="s">
        <v>640</v>
      </c>
      <c r="H26" s="271">
        <v>4687</v>
      </c>
    </row>
    <row r="27" spans="1:8" x14ac:dyDescent="0.25">
      <c r="A27" t="s">
        <v>11313</v>
      </c>
      <c r="B27" t="s">
        <v>11381</v>
      </c>
      <c r="C27" t="s">
        <v>11380</v>
      </c>
      <c r="D27" t="s">
        <v>11379</v>
      </c>
      <c r="E27" s="208">
        <v>3.37</v>
      </c>
      <c r="F27" t="s">
        <v>11378</v>
      </c>
      <c r="G27" t="s">
        <v>640</v>
      </c>
      <c r="H27" s="271">
        <v>4688</v>
      </c>
    </row>
    <row r="28" spans="1:8" x14ac:dyDescent="0.25">
      <c r="A28" t="s">
        <v>11313</v>
      </c>
      <c r="B28" t="s">
        <v>11377</v>
      </c>
      <c r="C28" t="s">
        <v>11376</v>
      </c>
      <c r="D28" t="s">
        <v>3885</v>
      </c>
      <c r="E28" s="208">
        <v>6.39</v>
      </c>
      <c r="F28" t="s">
        <v>3886</v>
      </c>
      <c r="G28" t="s">
        <v>640</v>
      </c>
      <c r="H28" s="271">
        <v>4689</v>
      </c>
    </row>
    <row r="29" spans="1:8" x14ac:dyDescent="0.25">
      <c r="A29" t="s">
        <v>11313</v>
      </c>
      <c r="B29" t="s">
        <v>11375</v>
      </c>
      <c r="C29" t="s">
        <v>11374</v>
      </c>
      <c r="D29" t="s">
        <v>3605</v>
      </c>
      <c r="E29" s="208">
        <v>13.66</v>
      </c>
      <c r="F29" t="s">
        <v>3606</v>
      </c>
      <c r="G29" t="s">
        <v>640</v>
      </c>
      <c r="H29" s="271">
        <v>4690</v>
      </c>
    </row>
    <row r="30" spans="1:8" x14ac:dyDescent="0.25">
      <c r="A30" t="s">
        <v>11313</v>
      </c>
      <c r="B30" t="s">
        <v>11373</v>
      </c>
      <c r="C30" t="s">
        <v>11372</v>
      </c>
      <c r="D30" t="s">
        <v>784</v>
      </c>
      <c r="E30" s="208">
        <v>10.45</v>
      </c>
      <c r="F30" t="s">
        <v>783</v>
      </c>
      <c r="G30" t="s">
        <v>640</v>
      </c>
      <c r="H30" s="271">
        <v>4691</v>
      </c>
    </row>
    <row r="31" spans="1:8" x14ac:dyDescent="0.25">
      <c r="A31" t="s">
        <v>11313</v>
      </c>
      <c r="B31" t="s">
        <v>11371</v>
      </c>
      <c r="C31" t="s">
        <v>11370</v>
      </c>
      <c r="D31" t="s">
        <v>11369</v>
      </c>
      <c r="E31" s="208">
        <v>3.73</v>
      </c>
      <c r="F31" t="s">
        <v>11365</v>
      </c>
      <c r="G31" t="s">
        <v>640</v>
      </c>
      <c r="H31" s="271">
        <v>4693</v>
      </c>
    </row>
    <row r="32" spans="1:8" x14ac:dyDescent="0.25">
      <c r="A32" t="s">
        <v>11313</v>
      </c>
      <c r="B32" t="s">
        <v>11368</v>
      </c>
      <c r="C32" t="s">
        <v>11367</v>
      </c>
      <c r="D32" t="s">
        <v>11366</v>
      </c>
      <c r="E32" s="208">
        <v>3.97</v>
      </c>
      <c r="F32" t="s">
        <v>11365</v>
      </c>
      <c r="G32" t="s">
        <v>640</v>
      </c>
      <c r="H32" s="271">
        <v>4692</v>
      </c>
    </row>
    <row r="33" spans="1:8" x14ac:dyDescent="0.25">
      <c r="A33" t="s">
        <v>11313</v>
      </c>
      <c r="B33" t="s">
        <v>11364</v>
      </c>
      <c r="C33" t="s">
        <v>11363</v>
      </c>
      <c r="D33" t="s">
        <v>3911</v>
      </c>
      <c r="E33" s="208">
        <v>35</v>
      </c>
      <c r="F33" t="s">
        <v>3912</v>
      </c>
      <c r="G33" t="s">
        <v>640</v>
      </c>
      <c r="H33" s="271">
        <v>4694</v>
      </c>
    </row>
    <row r="34" spans="1:8" x14ac:dyDescent="0.25">
      <c r="A34" t="s">
        <v>11313</v>
      </c>
      <c r="B34" t="s">
        <v>11362</v>
      </c>
      <c r="C34" t="s">
        <v>11361</v>
      </c>
      <c r="D34" t="s">
        <v>11360</v>
      </c>
      <c r="E34" s="208">
        <v>6.04</v>
      </c>
      <c r="F34" t="s">
        <v>11359</v>
      </c>
      <c r="G34" t="s">
        <v>640</v>
      </c>
      <c r="H34" s="271">
        <v>4695</v>
      </c>
    </row>
    <row r="35" spans="1:8" x14ac:dyDescent="0.25">
      <c r="A35" t="s">
        <v>11313</v>
      </c>
      <c r="B35" t="s">
        <v>11358</v>
      </c>
      <c r="C35" t="s">
        <v>11357</v>
      </c>
      <c r="D35" t="s">
        <v>956</v>
      </c>
      <c r="E35" s="208">
        <v>8.82</v>
      </c>
      <c r="F35" t="s">
        <v>955</v>
      </c>
      <c r="G35" t="s">
        <v>640</v>
      </c>
      <c r="H35" s="271">
        <v>4696</v>
      </c>
    </row>
    <row r="36" spans="1:8" x14ac:dyDescent="0.25">
      <c r="A36" t="s">
        <v>11313</v>
      </c>
      <c r="B36" t="s">
        <v>11356</v>
      </c>
      <c r="C36" t="s">
        <v>11355</v>
      </c>
      <c r="D36" t="s">
        <v>11354</v>
      </c>
      <c r="E36" s="208">
        <v>25.87</v>
      </c>
      <c r="F36" t="s">
        <v>11353</v>
      </c>
      <c r="G36" t="s">
        <v>640</v>
      </c>
      <c r="H36" s="271">
        <v>4697</v>
      </c>
    </row>
    <row r="37" spans="1:8" x14ac:dyDescent="0.25">
      <c r="A37" t="s">
        <v>11313</v>
      </c>
      <c r="B37" t="s">
        <v>3464</v>
      </c>
      <c r="C37" t="s">
        <v>11352</v>
      </c>
      <c r="D37" t="s">
        <v>4411</v>
      </c>
      <c r="E37" s="208">
        <v>11.2</v>
      </c>
      <c r="F37" t="s">
        <v>4412</v>
      </c>
      <c r="G37" t="s">
        <v>640</v>
      </c>
      <c r="H37" s="271">
        <v>4698</v>
      </c>
    </row>
    <row r="38" spans="1:8" x14ac:dyDescent="0.25">
      <c r="A38" t="s">
        <v>11313</v>
      </c>
      <c r="B38" t="s">
        <v>11351</v>
      </c>
      <c r="C38" t="s">
        <v>11350</v>
      </c>
      <c r="D38" t="s">
        <v>4403</v>
      </c>
      <c r="E38" s="208">
        <v>13.21</v>
      </c>
      <c r="F38" t="s">
        <v>4404</v>
      </c>
      <c r="G38" t="s">
        <v>640</v>
      </c>
      <c r="H38" s="271">
        <v>4699</v>
      </c>
    </row>
    <row r="39" spans="1:8" x14ac:dyDescent="0.25">
      <c r="A39" t="s">
        <v>11313</v>
      </c>
      <c r="B39" t="s">
        <v>11349</v>
      </c>
      <c r="C39" t="s">
        <v>11348</v>
      </c>
      <c r="D39" t="s">
        <v>3667</v>
      </c>
      <c r="E39" s="208">
        <v>5.13</v>
      </c>
      <c r="F39" t="s">
        <v>3668</v>
      </c>
      <c r="G39" t="s">
        <v>640</v>
      </c>
      <c r="H39" s="271">
        <v>4700</v>
      </c>
    </row>
    <row r="40" spans="1:8" x14ac:dyDescent="0.25">
      <c r="A40" t="s">
        <v>11313</v>
      </c>
      <c r="B40" t="s">
        <v>11347</v>
      </c>
      <c r="C40" t="s">
        <v>11346</v>
      </c>
      <c r="D40" t="s">
        <v>759</v>
      </c>
      <c r="E40" s="208">
        <v>1.69</v>
      </c>
      <c r="F40" t="s">
        <v>758</v>
      </c>
      <c r="G40" t="s">
        <v>640</v>
      </c>
      <c r="H40" s="271">
        <v>4701</v>
      </c>
    </row>
    <row r="41" spans="1:8" x14ac:dyDescent="0.25">
      <c r="A41" t="s">
        <v>11313</v>
      </c>
      <c r="B41" t="s">
        <v>11345</v>
      </c>
      <c r="C41" t="s">
        <v>11344</v>
      </c>
      <c r="D41" t="s">
        <v>1016</v>
      </c>
      <c r="E41" s="208">
        <v>9.7899999999999991</v>
      </c>
      <c r="F41" t="s">
        <v>1015</v>
      </c>
      <c r="G41" t="s">
        <v>640</v>
      </c>
      <c r="H41" s="271">
        <v>4702</v>
      </c>
    </row>
    <row r="42" spans="1:8" x14ac:dyDescent="0.25">
      <c r="A42" t="s">
        <v>11313</v>
      </c>
      <c r="B42" t="s">
        <v>11343</v>
      </c>
      <c r="C42" t="s">
        <v>11342</v>
      </c>
      <c r="D42" t="s">
        <v>1525</v>
      </c>
      <c r="E42" s="208">
        <v>35.5</v>
      </c>
      <c r="F42" t="s">
        <v>1524</v>
      </c>
      <c r="G42" t="s">
        <v>640</v>
      </c>
      <c r="H42" s="271">
        <v>4703</v>
      </c>
    </row>
    <row r="43" spans="1:8" x14ac:dyDescent="0.25">
      <c r="A43" t="s">
        <v>11313</v>
      </c>
      <c r="B43" t="s">
        <v>11341</v>
      </c>
      <c r="C43" t="s">
        <v>11340</v>
      </c>
      <c r="D43" t="s">
        <v>11339</v>
      </c>
      <c r="E43" s="208">
        <v>4.82</v>
      </c>
      <c r="F43" t="s">
        <v>11338</v>
      </c>
      <c r="G43" t="s">
        <v>640</v>
      </c>
      <c r="H43" s="271">
        <v>4704</v>
      </c>
    </row>
    <row r="44" spans="1:8" x14ac:dyDescent="0.25">
      <c r="A44" t="s">
        <v>11313</v>
      </c>
      <c r="B44" t="s">
        <v>11337</v>
      </c>
      <c r="C44" t="s">
        <v>11336</v>
      </c>
      <c r="D44" t="s">
        <v>11335</v>
      </c>
      <c r="E44" s="208">
        <v>3.52</v>
      </c>
      <c r="F44" t="s">
        <v>11334</v>
      </c>
      <c r="G44" t="s">
        <v>640</v>
      </c>
      <c r="H44" s="271">
        <v>4705</v>
      </c>
    </row>
    <row r="45" spans="1:8" x14ac:dyDescent="0.25">
      <c r="A45" t="s">
        <v>11313</v>
      </c>
      <c r="B45" t="s">
        <v>11333</v>
      </c>
      <c r="C45" t="s">
        <v>11332</v>
      </c>
      <c r="D45" t="s">
        <v>4840</v>
      </c>
      <c r="E45" s="208">
        <v>7.41</v>
      </c>
      <c r="F45" t="s">
        <v>4841</v>
      </c>
      <c r="G45" t="s">
        <v>640</v>
      </c>
      <c r="H45" s="271">
        <v>4706</v>
      </c>
    </row>
    <row r="46" spans="1:8" x14ac:dyDescent="0.25">
      <c r="A46" t="s">
        <v>11313</v>
      </c>
      <c r="B46" t="s">
        <v>11331</v>
      </c>
      <c r="C46" t="s">
        <v>11330</v>
      </c>
      <c r="D46" t="s">
        <v>1333</v>
      </c>
      <c r="E46" s="208">
        <v>4.75</v>
      </c>
      <c r="F46" t="s">
        <v>1332</v>
      </c>
      <c r="G46" t="s">
        <v>640</v>
      </c>
      <c r="H46" s="271">
        <v>4707</v>
      </c>
    </row>
    <row r="47" spans="1:8" x14ac:dyDescent="0.25">
      <c r="A47" t="s">
        <v>11313</v>
      </c>
      <c r="B47" t="s">
        <v>11329</v>
      </c>
      <c r="C47" t="s">
        <v>11328</v>
      </c>
      <c r="D47" t="s">
        <v>4210</v>
      </c>
      <c r="E47" s="208">
        <v>10.65</v>
      </c>
      <c r="F47" t="s">
        <v>4211</v>
      </c>
      <c r="G47" t="s">
        <v>640</v>
      </c>
      <c r="H47" s="271">
        <v>4708</v>
      </c>
    </row>
    <row r="48" spans="1:8" x14ac:dyDescent="0.25">
      <c r="A48" t="s">
        <v>11313</v>
      </c>
      <c r="B48" t="s">
        <v>11327</v>
      </c>
      <c r="C48" t="s">
        <v>11326</v>
      </c>
      <c r="D48" t="s">
        <v>827</v>
      </c>
      <c r="E48" s="208">
        <v>4.6399999999999997</v>
      </c>
      <c r="F48" t="s">
        <v>826</v>
      </c>
      <c r="G48" t="s">
        <v>640</v>
      </c>
      <c r="H48" s="271">
        <v>4709</v>
      </c>
    </row>
    <row r="49" spans="1:8" x14ac:dyDescent="0.25">
      <c r="A49" t="s">
        <v>11313</v>
      </c>
      <c r="B49" t="s">
        <v>11325</v>
      </c>
      <c r="C49" t="s">
        <v>11324</v>
      </c>
      <c r="D49" t="s">
        <v>698</v>
      </c>
      <c r="E49" s="208">
        <v>8.3800000000000008</v>
      </c>
      <c r="F49" t="s">
        <v>697</v>
      </c>
      <c r="G49" t="s">
        <v>640</v>
      </c>
      <c r="H49" s="271">
        <v>4710</v>
      </c>
    </row>
    <row r="50" spans="1:8" x14ac:dyDescent="0.25">
      <c r="A50" t="s">
        <v>11313</v>
      </c>
      <c r="B50" t="s">
        <v>11323</v>
      </c>
      <c r="C50" t="s">
        <v>11322</v>
      </c>
      <c r="D50" t="s">
        <v>4093</v>
      </c>
      <c r="E50" s="208">
        <v>3.15</v>
      </c>
      <c r="F50" t="s">
        <v>4094</v>
      </c>
      <c r="G50" t="s">
        <v>640</v>
      </c>
      <c r="H50" s="271">
        <v>4711</v>
      </c>
    </row>
    <row r="51" spans="1:8" x14ac:dyDescent="0.25">
      <c r="A51" t="s">
        <v>11313</v>
      </c>
      <c r="B51" t="s">
        <v>11321</v>
      </c>
      <c r="C51" t="s">
        <v>11320</v>
      </c>
      <c r="D51" t="s">
        <v>4651</v>
      </c>
      <c r="E51" s="208">
        <v>6.97</v>
      </c>
      <c r="F51" t="s">
        <v>4652</v>
      </c>
      <c r="G51" t="s">
        <v>640</v>
      </c>
      <c r="H51" s="271">
        <v>4712</v>
      </c>
    </row>
    <row r="52" spans="1:8" x14ac:dyDescent="0.25">
      <c r="A52" t="s">
        <v>11313</v>
      </c>
      <c r="B52" t="s">
        <v>11319</v>
      </c>
      <c r="C52" t="s">
        <v>11318</v>
      </c>
      <c r="D52" t="s">
        <v>1577</v>
      </c>
      <c r="E52" s="208">
        <v>3.18</v>
      </c>
      <c r="F52" t="s">
        <v>1576</v>
      </c>
      <c r="G52" t="s">
        <v>640</v>
      </c>
      <c r="H52" s="271">
        <v>4713</v>
      </c>
    </row>
    <row r="53" spans="1:8" x14ac:dyDescent="0.25">
      <c r="A53" t="s">
        <v>11313</v>
      </c>
      <c r="B53" t="s">
        <v>11317</v>
      </c>
      <c r="C53" t="s">
        <v>11316</v>
      </c>
      <c r="D53" t="s">
        <v>917</v>
      </c>
      <c r="E53" s="208">
        <v>1.93</v>
      </c>
      <c r="F53" t="s">
        <v>916</v>
      </c>
      <c r="G53" t="s">
        <v>640</v>
      </c>
      <c r="H53" s="271">
        <v>4714</v>
      </c>
    </row>
    <row r="54" spans="1:8" x14ac:dyDescent="0.25">
      <c r="A54" t="s">
        <v>11313</v>
      </c>
      <c r="B54" t="s">
        <v>11315</v>
      </c>
      <c r="C54" t="s">
        <v>11314</v>
      </c>
      <c r="D54" t="s">
        <v>696</v>
      </c>
      <c r="E54" s="208">
        <v>7.41</v>
      </c>
      <c r="F54" t="s">
        <v>695</v>
      </c>
      <c r="G54" t="s">
        <v>640</v>
      </c>
      <c r="H54" s="271">
        <v>4715</v>
      </c>
    </row>
    <row r="55" spans="1:8" x14ac:dyDescent="0.25">
      <c r="A55" t="s">
        <v>11313</v>
      </c>
      <c r="B55" t="s">
        <v>11312</v>
      </c>
      <c r="C55" t="s">
        <v>11311</v>
      </c>
      <c r="D55" t="s">
        <v>4423</v>
      </c>
      <c r="E55" s="208">
        <v>13.57</v>
      </c>
      <c r="F55" t="s">
        <v>4424</v>
      </c>
      <c r="G55" t="s">
        <v>640</v>
      </c>
      <c r="H55" s="271">
        <v>4716</v>
      </c>
    </row>
    <row r="56" spans="1:8" x14ac:dyDescent="0.25">
      <c r="C56" s="210" t="s">
        <v>3738</v>
      </c>
      <c r="D56" s="210"/>
      <c r="E56" s="209">
        <f>SUM(E24:E55)</f>
        <v>329.90999999999997</v>
      </c>
    </row>
    <row r="57" spans="1:8" x14ac:dyDescent="0.25">
      <c r="A57" t="s">
        <v>11242</v>
      </c>
      <c r="B57" t="s">
        <v>11310</v>
      </c>
      <c r="C57" t="s">
        <v>11309</v>
      </c>
      <c r="D57" t="s">
        <v>1271</v>
      </c>
      <c r="E57" s="208">
        <v>2.59</v>
      </c>
      <c r="F57" t="s">
        <v>1270</v>
      </c>
      <c r="G57" t="s">
        <v>640</v>
      </c>
      <c r="H57" s="271">
        <v>4886</v>
      </c>
    </row>
    <row r="58" spans="1:8" x14ac:dyDescent="0.25">
      <c r="A58" t="s">
        <v>11242</v>
      </c>
      <c r="B58" t="s">
        <v>11308</v>
      </c>
      <c r="C58" t="s">
        <v>11307</v>
      </c>
      <c r="D58" t="s">
        <v>765</v>
      </c>
      <c r="E58" s="208">
        <v>3.91</v>
      </c>
      <c r="F58" t="s">
        <v>764</v>
      </c>
      <c r="G58" t="s">
        <v>640</v>
      </c>
      <c r="H58" s="271">
        <v>4887</v>
      </c>
    </row>
    <row r="59" spans="1:8" x14ac:dyDescent="0.25">
      <c r="A59" t="s">
        <v>11242</v>
      </c>
      <c r="B59" t="s">
        <v>11306</v>
      </c>
      <c r="C59" t="s">
        <v>11305</v>
      </c>
      <c r="D59" t="s">
        <v>11304</v>
      </c>
      <c r="E59" s="208">
        <v>8.5</v>
      </c>
      <c r="F59" t="s">
        <v>11303</v>
      </c>
      <c r="G59" t="s">
        <v>640</v>
      </c>
      <c r="H59" s="271">
        <v>4888</v>
      </c>
    </row>
    <row r="60" spans="1:8" x14ac:dyDescent="0.25">
      <c r="A60" t="s">
        <v>11242</v>
      </c>
      <c r="B60" t="s">
        <v>11302</v>
      </c>
      <c r="C60" t="s">
        <v>11301</v>
      </c>
      <c r="D60" t="s">
        <v>5487</v>
      </c>
      <c r="E60" s="208">
        <v>6.01</v>
      </c>
      <c r="F60" t="s">
        <v>5488</v>
      </c>
      <c r="G60" t="s">
        <v>640</v>
      </c>
      <c r="H60" s="271">
        <v>4889</v>
      </c>
    </row>
    <row r="61" spans="1:8" x14ac:dyDescent="0.25">
      <c r="A61" t="s">
        <v>11242</v>
      </c>
      <c r="B61" t="s">
        <v>11300</v>
      </c>
      <c r="C61" t="s">
        <v>11299</v>
      </c>
      <c r="D61" t="s">
        <v>11298</v>
      </c>
      <c r="E61" s="208">
        <v>7.54</v>
      </c>
      <c r="F61" t="s">
        <v>11297</v>
      </c>
      <c r="G61" t="s">
        <v>640</v>
      </c>
      <c r="H61" s="271">
        <v>4890</v>
      </c>
    </row>
    <row r="62" spans="1:8" x14ac:dyDescent="0.25">
      <c r="A62" t="s">
        <v>11242</v>
      </c>
      <c r="B62" t="s">
        <v>11296</v>
      </c>
      <c r="C62" t="s">
        <v>11295</v>
      </c>
      <c r="D62" t="s">
        <v>853</v>
      </c>
      <c r="E62" s="208">
        <v>3.36</v>
      </c>
      <c r="F62" t="s">
        <v>852</v>
      </c>
      <c r="G62" t="s">
        <v>640</v>
      </c>
      <c r="H62" s="271">
        <v>4891</v>
      </c>
    </row>
    <row r="63" spans="1:8" x14ac:dyDescent="0.25">
      <c r="A63" t="s">
        <v>11242</v>
      </c>
      <c r="B63" t="s">
        <v>11294</v>
      </c>
      <c r="C63" t="s">
        <v>11293</v>
      </c>
      <c r="D63" t="s">
        <v>1511</v>
      </c>
      <c r="E63" s="208">
        <v>3.76</v>
      </c>
      <c r="F63" t="s">
        <v>1510</v>
      </c>
      <c r="G63" t="s">
        <v>640</v>
      </c>
      <c r="H63" s="271">
        <v>4892</v>
      </c>
    </row>
    <row r="64" spans="1:8" x14ac:dyDescent="0.25">
      <c r="A64" t="s">
        <v>11242</v>
      </c>
      <c r="B64" t="s">
        <v>11292</v>
      </c>
      <c r="C64" t="s">
        <v>11291</v>
      </c>
      <c r="D64" t="s">
        <v>11290</v>
      </c>
      <c r="E64" s="208">
        <v>16.38</v>
      </c>
      <c r="F64" t="s">
        <v>11289</v>
      </c>
      <c r="G64" t="s">
        <v>640</v>
      </c>
      <c r="H64" s="271">
        <v>4893</v>
      </c>
    </row>
    <row r="65" spans="1:8" x14ac:dyDescent="0.25">
      <c r="A65" t="s">
        <v>11242</v>
      </c>
      <c r="B65" t="s">
        <v>11288</v>
      </c>
      <c r="C65" t="s">
        <v>11287</v>
      </c>
      <c r="D65" t="s">
        <v>4427</v>
      </c>
      <c r="E65" s="208">
        <v>15.3</v>
      </c>
      <c r="F65" t="s">
        <v>4428</v>
      </c>
      <c r="G65" t="s">
        <v>640</v>
      </c>
      <c r="H65" s="271">
        <v>4894</v>
      </c>
    </row>
    <row r="66" spans="1:8" x14ac:dyDescent="0.25">
      <c r="A66" t="s">
        <v>11242</v>
      </c>
      <c r="B66" t="s">
        <v>11286</v>
      </c>
      <c r="C66" t="s">
        <v>11285</v>
      </c>
      <c r="D66" t="s">
        <v>11284</v>
      </c>
      <c r="E66" s="208">
        <v>6.67</v>
      </c>
      <c r="F66" t="s">
        <v>11283</v>
      </c>
      <c r="G66" t="s">
        <v>640</v>
      </c>
      <c r="H66" s="271">
        <v>4895</v>
      </c>
    </row>
    <row r="67" spans="1:8" x14ac:dyDescent="0.25">
      <c r="A67" t="s">
        <v>11242</v>
      </c>
      <c r="B67" t="s">
        <v>11282</v>
      </c>
      <c r="C67" t="s">
        <v>11281</v>
      </c>
      <c r="D67" t="s">
        <v>792</v>
      </c>
      <c r="E67" s="208">
        <v>5.92</v>
      </c>
      <c r="F67" t="s">
        <v>791</v>
      </c>
      <c r="G67" t="s">
        <v>640</v>
      </c>
      <c r="H67" s="271">
        <v>4896</v>
      </c>
    </row>
    <row r="68" spans="1:8" x14ac:dyDescent="0.25">
      <c r="A68" t="s">
        <v>11242</v>
      </c>
      <c r="B68" t="s">
        <v>11280</v>
      </c>
      <c r="C68" t="s">
        <v>11279</v>
      </c>
      <c r="D68" t="s">
        <v>1473</v>
      </c>
      <c r="E68" s="208">
        <v>5.28</v>
      </c>
      <c r="F68" t="s">
        <v>1472</v>
      </c>
      <c r="G68" t="s">
        <v>640</v>
      </c>
      <c r="H68" s="271">
        <v>4897</v>
      </c>
    </row>
    <row r="69" spans="1:8" x14ac:dyDescent="0.25">
      <c r="A69" t="s">
        <v>11242</v>
      </c>
      <c r="B69" t="s">
        <v>11278</v>
      </c>
      <c r="C69" t="s">
        <v>11277</v>
      </c>
      <c r="D69" t="s">
        <v>1074</v>
      </c>
      <c r="E69" s="208">
        <v>2.9</v>
      </c>
      <c r="F69" t="s">
        <v>1073</v>
      </c>
      <c r="G69" t="s">
        <v>640</v>
      </c>
      <c r="H69" s="271">
        <v>4898</v>
      </c>
    </row>
    <row r="70" spans="1:8" x14ac:dyDescent="0.25">
      <c r="A70" t="s">
        <v>11242</v>
      </c>
      <c r="B70" t="s">
        <v>11276</v>
      </c>
      <c r="C70" t="s">
        <v>11275</v>
      </c>
      <c r="D70" t="s">
        <v>3663</v>
      </c>
      <c r="E70" s="208">
        <v>11.23</v>
      </c>
      <c r="F70" t="s">
        <v>3664</v>
      </c>
      <c r="G70" t="s">
        <v>640</v>
      </c>
      <c r="H70" s="271">
        <v>4899</v>
      </c>
    </row>
    <row r="71" spans="1:8" x14ac:dyDescent="0.25">
      <c r="A71" t="s">
        <v>11242</v>
      </c>
      <c r="B71" t="s">
        <v>11274</v>
      </c>
      <c r="C71" t="s">
        <v>11273</v>
      </c>
      <c r="D71" t="s">
        <v>1186</v>
      </c>
      <c r="E71" s="208">
        <v>11.5</v>
      </c>
      <c r="F71" t="s">
        <v>1185</v>
      </c>
      <c r="G71" t="s">
        <v>640</v>
      </c>
      <c r="H71" s="271">
        <v>4900</v>
      </c>
    </row>
    <row r="72" spans="1:8" x14ac:dyDescent="0.25">
      <c r="A72" t="s">
        <v>11242</v>
      </c>
      <c r="B72" t="s">
        <v>11272</v>
      </c>
      <c r="C72" t="s">
        <v>11271</v>
      </c>
      <c r="D72" t="s">
        <v>1431</v>
      </c>
      <c r="E72" s="208">
        <v>0.88</v>
      </c>
      <c r="F72" t="s">
        <v>1430</v>
      </c>
      <c r="G72" t="s">
        <v>640</v>
      </c>
      <c r="H72" s="271">
        <v>4901</v>
      </c>
    </row>
    <row r="73" spans="1:8" x14ac:dyDescent="0.25">
      <c r="A73" t="s">
        <v>11242</v>
      </c>
      <c r="B73" t="s">
        <v>11270</v>
      </c>
      <c r="C73" t="s">
        <v>11269</v>
      </c>
      <c r="D73" t="s">
        <v>1415</v>
      </c>
      <c r="E73" s="208">
        <v>4.1900000000000004</v>
      </c>
      <c r="F73" t="s">
        <v>1414</v>
      </c>
      <c r="G73" t="s">
        <v>640</v>
      </c>
      <c r="H73" s="271">
        <v>4902</v>
      </c>
    </row>
    <row r="74" spans="1:8" x14ac:dyDescent="0.25">
      <c r="A74" t="s">
        <v>11242</v>
      </c>
      <c r="B74" t="s">
        <v>11268</v>
      </c>
      <c r="C74" t="s">
        <v>11267</v>
      </c>
      <c r="D74" t="s">
        <v>1398</v>
      </c>
      <c r="E74" s="208">
        <v>3.36</v>
      </c>
      <c r="F74" t="s">
        <v>1397</v>
      </c>
      <c r="G74" t="s">
        <v>640</v>
      </c>
      <c r="H74" s="271">
        <v>4903</v>
      </c>
    </row>
    <row r="75" spans="1:8" x14ac:dyDescent="0.25">
      <c r="A75" t="s">
        <v>11242</v>
      </c>
      <c r="B75" t="s">
        <v>11266</v>
      </c>
      <c r="C75" t="s">
        <v>11265</v>
      </c>
      <c r="D75" t="s">
        <v>672</v>
      </c>
      <c r="E75" s="208">
        <v>3.26</v>
      </c>
      <c r="F75" t="s">
        <v>671</v>
      </c>
      <c r="G75" t="s">
        <v>640</v>
      </c>
      <c r="H75" s="271">
        <v>4904</v>
      </c>
    </row>
    <row r="76" spans="1:8" x14ac:dyDescent="0.25">
      <c r="A76" t="s">
        <v>11242</v>
      </c>
      <c r="B76" t="s">
        <v>11264</v>
      </c>
      <c r="C76" t="s">
        <v>11263</v>
      </c>
      <c r="D76" t="s">
        <v>4272</v>
      </c>
      <c r="E76" s="208">
        <v>1.8</v>
      </c>
      <c r="F76" t="s">
        <v>4273</v>
      </c>
      <c r="G76" t="s">
        <v>640</v>
      </c>
      <c r="H76" s="271">
        <v>4905</v>
      </c>
    </row>
    <row r="77" spans="1:8" x14ac:dyDescent="0.25">
      <c r="A77" t="s">
        <v>11242</v>
      </c>
      <c r="B77" t="s">
        <v>11262</v>
      </c>
      <c r="C77" t="s">
        <v>11261</v>
      </c>
      <c r="D77" t="s">
        <v>4276</v>
      </c>
      <c r="E77" s="208">
        <v>3.36</v>
      </c>
      <c r="F77" t="s">
        <v>4277</v>
      </c>
      <c r="G77" t="s">
        <v>640</v>
      </c>
      <c r="H77" s="271">
        <v>4906</v>
      </c>
    </row>
    <row r="78" spans="1:8" x14ac:dyDescent="0.25">
      <c r="A78" t="s">
        <v>11242</v>
      </c>
      <c r="B78" t="s">
        <v>11260</v>
      </c>
      <c r="C78" t="s">
        <v>11259</v>
      </c>
      <c r="D78" t="s">
        <v>4511</v>
      </c>
      <c r="E78" s="208">
        <v>3.36</v>
      </c>
      <c r="F78" t="s">
        <v>4512</v>
      </c>
      <c r="G78" t="s">
        <v>640</v>
      </c>
      <c r="H78" s="271">
        <v>4907</v>
      </c>
    </row>
    <row r="79" spans="1:8" x14ac:dyDescent="0.25">
      <c r="A79" t="s">
        <v>11242</v>
      </c>
      <c r="B79" t="s">
        <v>11258</v>
      </c>
      <c r="C79" t="s">
        <v>11257</v>
      </c>
      <c r="D79" t="s">
        <v>4357</v>
      </c>
      <c r="E79" s="208">
        <v>8.51</v>
      </c>
      <c r="F79" t="s">
        <v>4358</v>
      </c>
      <c r="G79" t="s">
        <v>640</v>
      </c>
      <c r="H79" s="271">
        <v>4908</v>
      </c>
    </row>
    <row r="80" spans="1:8" x14ac:dyDescent="0.25">
      <c r="A80" t="s">
        <v>11242</v>
      </c>
      <c r="B80" t="s">
        <v>11256</v>
      </c>
      <c r="C80" t="s">
        <v>11255</v>
      </c>
      <c r="D80" t="s">
        <v>985</v>
      </c>
      <c r="E80" s="208">
        <v>2.2000000000000002</v>
      </c>
      <c r="F80" t="s">
        <v>984</v>
      </c>
      <c r="G80" t="s">
        <v>640</v>
      </c>
      <c r="H80" s="271">
        <v>4909</v>
      </c>
    </row>
    <row r="81" spans="1:8" x14ac:dyDescent="0.25">
      <c r="A81" t="s">
        <v>11242</v>
      </c>
      <c r="B81" t="s">
        <v>11254</v>
      </c>
      <c r="C81" t="s">
        <v>11253</v>
      </c>
      <c r="D81" t="s">
        <v>867</v>
      </c>
      <c r="E81" s="208">
        <v>6.43</v>
      </c>
      <c r="F81" t="s">
        <v>866</v>
      </c>
      <c r="G81" t="s">
        <v>640</v>
      </c>
      <c r="H81" s="271">
        <v>4910</v>
      </c>
    </row>
    <row r="82" spans="1:8" x14ac:dyDescent="0.25">
      <c r="A82" t="s">
        <v>11242</v>
      </c>
      <c r="B82" t="s">
        <v>11252</v>
      </c>
      <c r="C82" t="s">
        <v>11251</v>
      </c>
      <c r="D82" t="s">
        <v>4125</v>
      </c>
      <c r="E82" s="208">
        <v>30.24</v>
      </c>
      <c r="F82" t="s">
        <v>4126</v>
      </c>
      <c r="G82" t="s">
        <v>640</v>
      </c>
      <c r="H82" s="271">
        <v>4911</v>
      </c>
    </row>
    <row r="83" spans="1:8" x14ac:dyDescent="0.25">
      <c r="A83" t="s">
        <v>11242</v>
      </c>
      <c r="B83" t="s">
        <v>11250</v>
      </c>
      <c r="C83" t="s">
        <v>11249</v>
      </c>
      <c r="D83" t="s">
        <v>11248</v>
      </c>
      <c r="E83" s="208">
        <v>0.77</v>
      </c>
      <c r="F83" t="s">
        <v>11247</v>
      </c>
      <c r="G83" t="s">
        <v>640</v>
      </c>
      <c r="H83" s="271">
        <v>4912</v>
      </c>
    </row>
    <row r="84" spans="1:8" x14ac:dyDescent="0.25">
      <c r="A84" t="s">
        <v>11242</v>
      </c>
      <c r="B84" t="s">
        <v>11246</v>
      </c>
      <c r="C84" t="s">
        <v>11245</v>
      </c>
      <c r="D84" t="s">
        <v>10604</v>
      </c>
      <c r="E84" s="208">
        <v>2.16</v>
      </c>
      <c r="F84" t="s">
        <v>10603</v>
      </c>
      <c r="G84" t="s">
        <v>640</v>
      </c>
      <c r="H84" s="271">
        <v>4913</v>
      </c>
    </row>
    <row r="85" spans="1:8" x14ac:dyDescent="0.25">
      <c r="A85" t="s">
        <v>11242</v>
      </c>
      <c r="B85" t="s">
        <v>11244</v>
      </c>
      <c r="C85" t="s">
        <v>11243</v>
      </c>
      <c r="D85" t="s">
        <v>10522</v>
      </c>
      <c r="E85" s="208">
        <v>2.9</v>
      </c>
      <c r="F85" t="s">
        <v>10521</v>
      </c>
      <c r="G85" t="s">
        <v>640</v>
      </c>
      <c r="H85" s="271">
        <v>4914</v>
      </c>
    </row>
    <row r="86" spans="1:8" x14ac:dyDescent="0.25">
      <c r="A86" t="s">
        <v>11242</v>
      </c>
      <c r="B86" t="s">
        <v>11241</v>
      </c>
      <c r="C86" t="s">
        <v>11240</v>
      </c>
      <c r="D86" t="s">
        <v>1450</v>
      </c>
      <c r="E86" s="208">
        <v>10.91</v>
      </c>
      <c r="F86" t="s">
        <v>1449</v>
      </c>
      <c r="G86" t="s">
        <v>640</v>
      </c>
      <c r="H86" s="271">
        <v>4915</v>
      </c>
    </row>
    <row r="87" spans="1:8" x14ac:dyDescent="0.25">
      <c r="C87" s="210" t="s">
        <v>3738</v>
      </c>
      <c r="D87" s="210"/>
      <c r="E87" s="209">
        <f>SUM(E57:E86)</f>
        <v>195.18</v>
      </c>
    </row>
    <row r="88" spans="1:8" x14ac:dyDescent="0.25">
      <c r="A88" t="s">
        <v>11206</v>
      </c>
      <c r="B88" t="s">
        <v>11239</v>
      </c>
      <c r="C88" t="s">
        <v>11238</v>
      </c>
      <c r="D88" t="s">
        <v>11237</v>
      </c>
      <c r="E88" s="208">
        <v>5.23</v>
      </c>
      <c r="F88" t="s">
        <v>11236</v>
      </c>
      <c r="G88" t="s">
        <v>640</v>
      </c>
      <c r="H88" s="271">
        <v>4993</v>
      </c>
    </row>
    <row r="89" spans="1:8" x14ac:dyDescent="0.25">
      <c r="A89" t="s">
        <v>11206</v>
      </c>
      <c r="B89" t="s">
        <v>11235</v>
      </c>
      <c r="C89" t="s">
        <v>11234</v>
      </c>
      <c r="D89" t="s">
        <v>11233</v>
      </c>
      <c r="E89" s="208">
        <v>93.27</v>
      </c>
      <c r="F89" t="s">
        <v>11232</v>
      </c>
      <c r="G89" t="s">
        <v>640</v>
      </c>
      <c r="H89" s="271">
        <v>4994</v>
      </c>
    </row>
    <row r="90" spans="1:8" x14ac:dyDescent="0.25">
      <c r="A90" t="s">
        <v>11206</v>
      </c>
      <c r="B90" t="s">
        <v>11231</v>
      </c>
      <c r="C90" t="s">
        <v>11230</v>
      </c>
      <c r="D90" t="s">
        <v>1337</v>
      </c>
      <c r="E90" s="208">
        <v>5.54</v>
      </c>
      <c r="F90" t="s">
        <v>1336</v>
      </c>
      <c r="G90" t="s">
        <v>640</v>
      </c>
      <c r="H90" s="271">
        <v>4995</v>
      </c>
    </row>
    <row r="91" spans="1:8" x14ac:dyDescent="0.25">
      <c r="A91" t="s">
        <v>11206</v>
      </c>
      <c r="B91" t="s">
        <v>11229</v>
      </c>
      <c r="C91" t="s">
        <v>11228</v>
      </c>
      <c r="D91" t="s">
        <v>4483</v>
      </c>
      <c r="E91" s="208">
        <v>5.0199999999999996</v>
      </c>
      <c r="F91" t="s">
        <v>4484</v>
      </c>
      <c r="G91" t="s">
        <v>640</v>
      </c>
      <c r="H91" s="271">
        <v>4996</v>
      </c>
    </row>
    <row r="92" spans="1:8" x14ac:dyDescent="0.25">
      <c r="A92" t="s">
        <v>11206</v>
      </c>
      <c r="B92" t="s">
        <v>11227</v>
      </c>
      <c r="C92" t="s">
        <v>11226</v>
      </c>
      <c r="D92" t="s">
        <v>840</v>
      </c>
      <c r="E92" s="208">
        <v>5.2</v>
      </c>
      <c r="F92" t="s">
        <v>839</v>
      </c>
      <c r="G92" t="s">
        <v>640</v>
      </c>
      <c r="H92" s="271">
        <v>4997</v>
      </c>
    </row>
    <row r="93" spans="1:8" x14ac:dyDescent="0.25">
      <c r="A93" t="s">
        <v>11206</v>
      </c>
      <c r="B93" t="s">
        <v>11225</v>
      </c>
      <c r="C93" t="s">
        <v>11224</v>
      </c>
      <c r="D93" t="s">
        <v>656</v>
      </c>
      <c r="E93" s="208">
        <v>3.08</v>
      </c>
      <c r="F93" t="s">
        <v>655</v>
      </c>
      <c r="G93" t="s">
        <v>640</v>
      </c>
      <c r="H93" s="271">
        <v>4998</v>
      </c>
    </row>
    <row r="94" spans="1:8" x14ac:dyDescent="0.25">
      <c r="A94" t="s">
        <v>11206</v>
      </c>
      <c r="B94" t="s">
        <v>11223</v>
      </c>
      <c r="C94" t="s">
        <v>11222</v>
      </c>
      <c r="D94" t="s">
        <v>1387</v>
      </c>
      <c r="E94" s="208">
        <v>3.36</v>
      </c>
      <c r="F94" t="s">
        <v>1386</v>
      </c>
      <c r="G94" t="s">
        <v>640</v>
      </c>
      <c r="H94" s="271">
        <v>4999</v>
      </c>
    </row>
    <row r="95" spans="1:8" x14ac:dyDescent="0.25">
      <c r="A95" t="s">
        <v>11206</v>
      </c>
      <c r="B95" t="s">
        <v>11221</v>
      </c>
      <c r="C95" t="s">
        <v>11220</v>
      </c>
      <c r="D95" t="s">
        <v>11219</v>
      </c>
      <c r="E95" s="208">
        <v>1.32</v>
      </c>
      <c r="F95" t="s">
        <v>11218</v>
      </c>
      <c r="G95" t="s">
        <v>640</v>
      </c>
      <c r="H95" s="271">
        <v>5000</v>
      </c>
    </row>
    <row r="96" spans="1:8" x14ac:dyDescent="0.25">
      <c r="A96" t="s">
        <v>11206</v>
      </c>
      <c r="B96" t="s">
        <v>11217</v>
      </c>
      <c r="C96" t="s">
        <v>11216</v>
      </c>
      <c r="D96" t="s">
        <v>4638</v>
      </c>
      <c r="E96" s="208">
        <v>4.67</v>
      </c>
      <c r="F96" t="s">
        <v>4639</v>
      </c>
      <c r="G96" t="s">
        <v>640</v>
      </c>
      <c r="H96" s="271">
        <v>5001</v>
      </c>
    </row>
    <row r="97" spans="1:8" x14ac:dyDescent="0.25">
      <c r="A97" t="s">
        <v>11206</v>
      </c>
      <c r="B97" t="s">
        <v>11215</v>
      </c>
      <c r="C97" t="s">
        <v>11214</v>
      </c>
      <c r="D97" t="s">
        <v>11213</v>
      </c>
      <c r="E97" s="208">
        <v>71.36</v>
      </c>
      <c r="F97" t="s">
        <v>11212</v>
      </c>
      <c r="G97" t="s">
        <v>640</v>
      </c>
      <c r="H97" s="271">
        <v>5002</v>
      </c>
    </row>
    <row r="98" spans="1:8" x14ac:dyDescent="0.25">
      <c r="A98" t="s">
        <v>11206</v>
      </c>
      <c r="B98" t="s">
        <v>11211</v>
      </c>
      <c r="C98" t="s">
        <v>11210</v>
      </c>
      <c r="D98" t="s">
        <v>683</v>
      </c>
      <c r="E98" s="208">
        <v>3.14</v>
      </c>
      <c r="F98" t="s">
        <v>682</v>
      </c>
      <c r="G98" t="s">
        <v>640</v>
      </c>
      <c r="H98" s="271">
        <v>5003</v>
      </c>
    </row>
    <row r="99" spans="1:8" x14ac:dyDescent="0.25">
      <c r="A99" t="s">
        <v>11206</v>
      </c>
      <c r="B99" t="s">
        <v>10749</v>
      </c>
      <c r="C99" t="s">
        <v>11209</v>
      </c>
      <c r="D99" t="s">
        <v>11208</v>
      </c>
      <c r="E99" s="208">
        <v>0.73</v>
      </c>
      <c r="F99" t="s">
        <v>11207</v>
      </c>
      <c r="G99" t="s">
        <v>640</v>
      </c>
      <c r="H99" s="271">
        <v>5004</v>
      </c>
    </row>
    <row r="100" spans="1:8" x14ac:dyDescent="0.25">
      <c r="A100" t="s">
        <v>11206</v>
      </c>
      <c r="B100" t="s">
        <v>11205</v>
      </c>
      <c r="C100" t="s">
        <v>11204</v>
      </c>
      <c r="D100" t="s">
        <v>11203</v>
      </c>
      <c r="E100" s="208">
        <v>1</v>
      </c>
      <c r="F100" t="s">
        <v>11202</v>
      </c>
      <c r="G100" t="s">
        <v>640</v>
      </c>
      <c r="H100" s="271">
        <v>5005</v>
      </c>
    </row>
    <row r="101" spans="1:8" x14ac:dyDescent="0.25">
      <c r="C101" s="210" t="s">
        <v>3738</v>
      </c>
      <c r="D101" s="210"/>
      <c r="E101" s="209">
        <f>SUM(E88:E100)</f>
        <v>202.92</v>
      </c>
    </row>
    <row r="102" spans="1:8" x14ac:dyDescent="0.25">
      <c r="A102" t="s">
        <v>11131</v>
      </c>
      <c r="B102" t="s">
        <v>11151</v>
      </c>
      <c r="C102" t="s">
        <v>11150</v>
      </c>
      <c r="D102" t="s">
        <v>4479</v>
      </c>
      <c r="E102" s="208">
        <v>4.37</v>
      </c>
      <c r="F102" t="s">
        <v>4480</v>
      </c>
      <c r="G102" t="s">
        <v>640</v>
      </c>
      <c r="H102" s="271">
        <v>5067</v>
      </c>
    </row>
    <row r="103" spans="1:8" x14ac:dyDescent="0.25">
      <c r="A103" t="s">
        <v>11131</v>
      </c>
      <c r="B103" t="s">
        <v>11149</v>
      </c>
      <c r="C103" t="s">
        <v>11148</v>
      </c>
      <c r="D103" t="s">
        <v>3625</v>
      </c>
      <c r="E103" s="208">
        <v>6.69</v>
      </c>
      <c r="F103" t="s">
        <v>3626</v>
      </c>
      <c r="G103" t="s">
        <v>640</v>
      </c>
      <c r="H103" s="271">
        <v>5068</v>
      </c>
    </row>
    <row r="104" spans="1:8" x14ac:dyDescent="0.25">
      <c r="A104" t="s">
        <v>11131</v>
      </c>
      <c r="B104" t="s">
        <v>11147</v>
      </c>
      <c r="C104" t="s">
        <v>11146</v>
      </c>
      <c r="D104" t="s">
        <v>4785</v>
      </c>
      <c r="E104" s="208">
        <v>5.81</v>
      </c>
      <c r="F104" t="s">
        <v>4786</v>
      </c>
      <c r="G104" t="s">
        <v>640</v>
      </c>
      <c r="H104" s="271">
        <v>5069</v>
      </c>
    </row>
    <row r="105" spans="1:8" x14ac:dyDescent="0.25">
      <c r="A105" t="s">
        <v>11131</v>
      </c>
      <c r="B105" t="s">
        <v>11145</v>
      </c>
      <c r="C105" t="s">
        <v>11144</v>
      </c>
      <c r="D105" t="s">
        <v>4575</v>
      </c>
      <c r="E105" s="208">
        <v>14.62</v>
      </c>
      <c r="F105" t="s">
        <v>4576</v>
      </c>
      <c r="G105" t="s">
        <v>640</v>
      </c>
      <c r="H105" s="271">
        <v>5070</v>
      </c>
    </row>
    <row r="106" spans="1:8" x14ac:dyDescent="0.25">
      <c r="A106" t="s">
        <v>11131</v>
      </c>
      <c r="B106" t="s">
        <v>11143</v>
      </c>
      <c r="C106" t="s">
        <v>11142</v>
      </c>
      <c r="D106" t="s">
        <v>962</v>
      </c>
      <c r="E106" s="208">
        <v>3.64</v>
      </c>
      <c r="F106" t="s">
        <v>961</v>
      </c>
      <c r="G106" t="s">
        <v>640</v>
      </c>
      <c r="H106" s="271">
        <v>5071</v>
      </c>
    </row>
    <row r="107" spans="1:8" x14ac:dyDescent="0.25">
      <c r="A107" t="s">
        <v>11131</v>
      </c>
      <c r="B107" t="s">
        <v>11141</v>
      </c>
      <c r="C107" t="s">
        <v>11140</v>
      </c>
      <c r="D107" t="s">
        <v>1220</v>
      </c>
      <c r="E107" s="208">
        <v>19.23</v>
      </c>
      <c r="F107" t="s">
        <v>1219</v>
      </c>
      <c r="G107" t="s">
        <v>640</v>
      </c>
      <c r="H107" s="271">
        <v>5072</v>
      </c>
    </row>
    <row r="108" spans="1:8" x14ac:dyDescent="0.25">
      <c r="A108" t="s">
        <v>11131</v>
      </c>
      <c r="B108" t="s">
        <v>11139</v>
      </c>
      <c r="C108" t="s">
        <v>11138</v>
      </c>
      <c r="D108" t="s">
        <v>1201</v>
      </c>
      <c r="E108" s="208">
        <v>11.4</v>
      </c>
      <c r="F108" t="s">
        <v>1200</v>
      </c>
      <c r="G108" t="s">
        <v>640</v>
      </c>
      <c r="H108" s="271">
        <v>5073</v>
      </c>
    </row>
    <row r="109" spans="1:8" x14ac:dyDescent="0.25">
      <c r="A109" t="s">
        <v>11131</v>
      </c>
      <c r="B109" t="s">
        <v>11137</v>
      </c>
      <c r="C109" t="s">
        <v>11136</v>
      </c>
      <c r="D109" t="s">
        <v>1295</v>
      </c>
      <c r="E109" s="208">
        <v>5.61</v>
      </c>
      <c r="F109" t="s">
        <v>1294</v>
      </c>
      <c r="G109" t="s">
        <v>640</v>
      </c>
      <c r="H109" s="271">
        <v>5074</v>
      </c>
    </row>
    <row r="110" spans="1:8" x14ac:dyDescent="0.25">
      <c r="A110" t="s">
        <v>11131</v>
      </c>
      <c r="B110" t="s">
        <v>11135</v>
      </c>
      <c r="C110" t="s">
        <v>11134</v>
      </c>
      <c r="D110" t="s">
        <v>755</v>
      </c>
      <c r="E110" s="208">
        <v>9.99</v>
      </c>
      <c r="F110" t="s">
        <v>754</v>
      </c>
      <c r="G110" t="s">
        <v>640</v>
      </c>
      <c r="H110" s="271">
        <v>5075</v>
      </c>
    </row>
    <row r="111" spans="1:8" x14ac:dyDescent="0.25">
      <c r="A111" t="s">
        <v>11131</v>
      </c>
      <c r="B111" t="s">
        <v>11133</v>
      </c>
      <c r="C111" t="s">
        <v>11132</v>
      </c>
      <c r="D111" t="s">
        <v>4911</v>
      </c>
      <c r="E111" s="208">
        <v>2.6</v>
      </c>
      <c r="F111" t="s">
        <v>4912</v>
      </c>
      <c r="G111" t="s">
        <v>640</v>
      </c>
      <c r="H111" s="271">
        <v>5076</v>
      </c>
    </row>
    <row r="112" spans="1:8" x14ac:dyDescent="0.25">
      <c r="A112" t="s">
        <v>11131</v>
      </c>
      <c r="B112" t="s">
        <v>11130</v>
      </c>
      <c r="C112" t="s">
        <v>11129</v>
      </c>
      <c r="D112" t="s">
        <v>11128</v>
      </c>
      <c r="E112" s="208">
        <v>5.04</v>
      </c>
      <c r="F112" t="s">
        <v>11127</v>
      </c>
      <c r="G112" t="s">
        <v>640</v>
      </c>
      <c r="H112" s="271">
        <v>5077</v>
      </c>
    </row>
    <row r="113" spans="1:8" x14ac:dyDescent="0.25">
      <c r="C113" s="210" t="s">
        <v>3738</v>
      </c>
      <c r="D113" s="210"/>
      <c r="E113" s="209">
        <f>SUM(E102:E112)</f>
        <v>89</v>
      </c>
    </row>
    <row r="114" spans="1:8" x14ac:dyDescent="0.25">
      <c r="A114" t="s">
        <v>11077</v>
      </c>
      <c r="B114" t="s">
        <v>11112</v>
      </c>
      <c r="C114" t="s">
        <v>11111</v>
      </c>
      <c r="D114" t="s">
        <v>11110</v>
      </c>
      <c r="E114" s="208">
        <v>15.19</v>
      </c>
      <c r="F114" t="s">
        <v>11109</v>
      </c>
      <c r="G114" t="s">
        <v>640</v>
      </c>
      <c r="H114" s="271">
        <v>5187</v>
      </c>
    </row>
    <row r="115" spans="1:8" x14ac:dyDescent="0.25">
      <c r="A115" t="s">
        <v>11077</v>
      </c>
      <c r="B115" t="s">
        <v>11108</v>
      </c>
      <c r="C115" t="s">
        <v>11107</v>
      </c>
      <c r="D115" t="s">
        <v>1014</v>
      </c>
      <c r="E115" s="208">
        <v>5.62</v>
      </c>
      <c r="F115" t="s">
        <v>1013</v>
      </c>
      <c r="G115" t="s">
        <v>640</v>
      </c>
      <c r="H115" s="271" t="s">
        <v>11106</v>
      </c>
    </row>
    <row r="116" spans="1:8" x14ac:dyDescent="0.25">
      <c r="A116" t="s">
        <v>11077</v>
      </c>
      <c r="B116" t="s">
        <v>11105</v>
      </c>
      <c r="C116" t="s">
        <v>11104</v>
      </c>
      <c r="D116" t="s">
        <v>11103</v>
      </c>
      <c r="E116" s="208">
        <v>6.22</v>
      </c>
      <c r="F116" t="s">
        <v>11102</v>
      </c>
      <c r="G116" t="s">
        <v>640</v>
      </c>
      <c r="H116" s="271">
        <v>5188</v>
      </c>
    </row>
    <row r="117" spans="1:8" x14ac:dyDescent="0.25">
      <c r="A117" t="s">
        <v>11077</v>
      </c>
      <c r="B117" t="s">
        <v>11101</v>
      </c>
      <c r="C117" t="s">
        <v>11100</v>
      </c>
      <c r="D117" t="s">
        <v>10530</v>
      </c>
      <c r="E117" s="208">
        <v>5.56</v>
      </c>
      <c r="F117" t="s">
        <v>10529</v>
      </c>
      <c r="G117" t="s">
        <v>640</v>
      </c>
      <c r="H117" s="271">
        <v>5189</v>
      </c>
    </row>
    <row r="118" spans="1:8" x14ac:dyDescent="0.25">
      <c r="A118" t="s">
        <v>11077</v>
      </c>
      <c r="B118" t="s">
        <v>11099</v>
      </c>
      <c r="C118" t="s">
        <v>11098</v>
      </c>
      <c r="D118" t="s">
        <v>3985</v>
      </c>
      <c r="E118" s="208">
        <v>25.43</v>
      </c>
      <c r="F118" t="s">
        <v>3986</v>
      </c>
      <c r="G118" t="s">
        <v>640</v>
      </c>
      <c r="H118" s="271">
        <v>5190</v>
      </c>
    </row>
    <row r="119" spans="1:8" x14ac:dyDescent="0.25">
      <c r="A119" t="s">
        <v>11077</v>
      </c>
      <c r="B119" t="s">
        <v>11097</v>
      </c>
      <c r="C119" t="s">
        <v>11096</v>
      </c>
      <c r="D119" t="s">
        <v>4097</v>
      </c>
      <c r="E119" s="208">
        <v>6.62</v>
      </c>
      <c r="F119" t="s">
        <v>4098</v>
      </c>
      <c r="G119" t="s">
        <v>640</v>
      </c>
      <c r="H119" s="271">
        <v>5191</v>
      </c>
    </row>
    <row r="120" spans="1:8" x14ac:dyDescent="0.25">
      <c r="A120" t="s">
        <v>11077</v>
      </c>
      <c r="B120" t="s">
        <v>11095</v>
      </c>
      <c r="C120" t="s">
        <v>11094</v>
      </c>
      <c r="D120" t="s">
        <v>4834</v>
      </c>
      <c r="E120" s="208">
        <v>3.61</v>
      </c>
      <c r="F120" t="s">
        <v>4835</v>
      </c>
      <c r="G120" t="s">
        <v>640</v>
      </c>
      <c r="H120" s="271">
        <v>5192</v>
      </c>
    </row>
    <row r="121" spans="1:8" x14ac:dyDescent="0.25">
      <c r="A121" t="s">
        <v>11077</v>
      </c>
      <c r="B121" t="s">
        <v>11093</v>
      </c>
      <c r="C121" t="s">
        <v>11092</v>
      </c>
      <c r="D121" t="s">
        <v>11091</v>
      </c>
      <c r="E121" s="208">
        <v>4.49</v>
      </c>
      <c r="F121" t="s">
        <v>11090</v>
      </c>
      <c r="G121" t="s">
        <v>640</v>
      </c>
      <c r="H121" s="271">
        <v>5193</v>
      </c>
    </row>
    <row r="122" spans="1:8" x14ac:dyDescent="0.25">
      <c r="A122" t="s">
        <v>11077</v>
      </c>
      <c r="B122" t="s">
        <v>11089</v>
      </c>
      <c r="C122" t="s">
        <v>11088</v>
      </c>
      <c r="D122" t="s">
        <v>3866</v>
      </c>
      <c r="E122" s="208">
        <v>17.98</v>
      </c>
      <c r="F122" t="s">
        <v>3867</v>
      </c>
      <c r="G122" t="s">
        <v>640</v>
      </c>
      <c r="H122" s="271">
        <v>5194</v>
      </c>
    </row>
    <row r="123" spans="1:8" x14ac:dyDescent="0.25">
      <c r="A123" t="s">
        <v>11077</v>
      </c>
      <c r="B123" t="s">
        <v>11087</v>
      </c>
      <c r="C123" t="s">
        <v>11086</v>
      </c>
      <c r="D123" t="s">
        <v>4719</v>
      </c>
      <c r="E123" s="208">
        <v>2.78</v>
      </c>
      <c r="F123" t="s">
        <v>4720</v>
      </c>
      <c r="G123" t="s">
        <v>640</v>
      </c>
      <c r="H123" s="271">
        <v>5195</v>
      </c>
    </row>
    <row r="124" spans="1:8" x14ac:dyDescent="0.25">
      <c r="A124" t="s">
        <v>11077</v>
      </c>
      <c r="B124" t="s">
        <v>11085</v>
      </c>
      <c r="C124" t="s">
        <v>11084</v>
      </c>
      <c r="D124" t="s">
        <v>4797</v>
      </c>
      <c r="E124" s="208">
        <v>10.55</v>
      </c>
      <c r="F124" t="s">
        <v>4798</v>
      </c>
      <c r="G124" t="s">
        <v>640</v>
      </c>
      <c r="H124" s="271">
        <v>5196</v>
      </c>
    </row>
    <row r="125" spans="1:8" x14ac:dyDescent="0.25">
      <c r="A125" t="s">
        <v>11077</v>
      </c>
      <c r="B125" t="s">
        <v>11083</v>
      </c>
      <c r="C125" t="s">
        <v>11082</v>
      </c>
      <c r="D125" t="s">
        <v>11081</v>
      </c>
      <c r="E125" s="208">
        <v>15.12</v>
      </c>
      <c r="F125" t="s">
        <v>11080</v>
      </c>
      <c r="G125" t="s">
        <v>640</v>
      </c>
      <c r="H125" s="271">
        <v>5197</v>
      </c>
    </row>
    <row r="126" spans="1:8" x14ac:dyDescent="0.25">
      <c r="A126" t="s">
        <v>11077</v>
      </c>
      <c r="B126" t="s">
        <v>11079</v>
      </c>
      <c r="C126" t="s">
        <v>11078</v>
      </c>
      <c r="D126" t="s">
        <v>816</v>
      </c>
      <c r="E126" s="208">
        <v>3.79</v>
      </c>
      <c r="F126" t="s">
        <v>815</v>
      </c>
      <c r="G126" t="s">
        <v>640</v>
      </c>
      <c r="H126" s="271">
        <v>5198</v>
      </c>
    </row>
    <row r="127" spans="1:8" x14ac:dyDescent="0.25">
      <c r="A127" t="s">
        <v>11077</v>
      </c>
      <c r="B127" t="s">
        <v>11076</v>
      </c>
      <c r="C127" t="s">
        <v>11075</v>
      </c>
      <c r="D127" t="s">
        <v>4665</v>
      </c>
      <c r="E127" s="208">
        <v>3.97</v>
      </c>
      <c r="F127" t="s">
        <v>4666</v>
      </c>
      <c r="G127" t="s">
        <v>640</v>
      </c>
      <c r="H127" s="271">
        <v>5199</v>
      </c>
    </row>
    <row r="128" spans="1:8" x14ac:dyDescent="0.25">
      <c r="C128" s="210" t="s">
        <v>3738</v>
      </c>
      <c r="D128" s="210"/>
      <c r="E128" s="209">
        <f>SUM(E114:E127)</f>
        <v>126.93</v>
      </c>
    </row>
    <row r="129" spans="1:8" x14ac:dyDescent="0.25">
      <c r="A129" t="s">
        <v>11540</v>
      </c>
      <c r="B129" t="s">
        <v>11585</v>
      </c>
      <c r="C129" t="s">
        <v>11584</v>
      </c>
      <c r="D129" t="s">
        <v>1211</v>
      </c>
      <c r="E129" s="208">
        <v>4.53</v>
      </c>
      <c r="F129" t="s">
        <v>3288</v>
      </c>
      <c r="G129" t="s">
        <v>640</v>
      </c>
      <c r="H129" s="271">
        <v>4445</v>
      </c>
    </row>
    <row r="130" spans="1:8" x14ac:dyDescent="0.25">
      <c r="A130" t="s">
        <v>11540</v>
      </c>
      <c r="B130" t="s">
        <v>11583</v>
      </c>
      <c r="C130" t="s">
        <v>11582</v>
      </c>
      <c r="D130" t="s">
        <v>1318</v>
      </c>
      <c r="E130" s="208">
        <v>8.5299999999999994</v>
      </c>
      <c r="F130" t="s">
        <v>1317</v>
      </c>
      <c r="G130" t="s">
        <v>640</v>
      </c>
      <c r="H130" s="271">
        <v>4446</v>
      </c>
    </row>
    <row r="131" spans="1:8" x14ac:dyDescent="0.25">
      <c r="A131" t="s">
        <v>11540</v>
      </c>
      <c r="B131" t="s">
        <v>11581</v>
      </c>
      <c r="C131" t="s">
        <v>11580</v>
      </c>
      <c r="D131" t="s">
        <v>1239</v>
      </c>
      <c r="E131" s="208">
        <v>5.07</v>
      </c>
      <c r="F131" t="s">
        <v>1238</v>
      </c>
      <c r="G131" t="s">
        <v>640</v>
      </c>
      <c r="H131" s="271">
        <v>4447</v>
      </c>
    </row>
    <row r="132" spans="1:8" x14ac:dyDescent="0.25">
      <c r="A132" t="s">
        <v>11540</v>
      </c>
      <c r="B132" t="s">
        <v>11579</v>
      </c>
      <c r="C132" t="s">
        <v>11578</v>
      </c>
      <c r="D132" t="s">
        <v>11577</v>
      </c>
      <c r="E132" s="208">
        <v>5.04</v>
      </c>
      <c r="F132" t="s">
        <v>11576</v>
      </c>
      <c r="G132" t="s">
        <v>640</v>
      </c>
      <c r="H132" s="271">
        <v>4448</v>
      </c>
    </row>
    <row r="133" spans="1:8" x14ac:dyDescent="0.25">
      <c r="A133" t="s">
        <v>11540</v>
      </c>
      <c r="B133" t="s">
        <v>5094</v>
      </c>
      <c r="C133" t="s">
        <v>11575</v>
      </c>
      <c r="D133" t="s">
        <v>4874</v>
      </c>
      <c r="E133" s="208">
        <v>8.3800000000000008</v>
      </c>
      <c r="F133" t="s">
        <v>4875</v>
      </c>
      <c r="G133" t="s">
        <v>640</v>
      </c>
      <c r="H133" s="271">
        <v>4449</v>
      </c>
    </row>
    <row r="134" spans="1:8" x14ac:dyDescent="0.25">
      <c r="A134" t="s">
        <v>11540</v>
      </c>
      <c r="B134" t="s">
        <v>11574</v>
      </c>
      <c r="C134" t="s">
        <v>11573</v>
      </c>
      <c r="D134" t="s">
        <v>1592</v>
      </c>
      <c r="E134" s="208">
        <v>3.6</v>
      </c>
      <c r="F134" t="s">
        <v>1593</v>
      </c>
      <c r="G134" t="s">
        <v>640</v>
      </c>
      <c r="H134" s="271">
        <v>4450</v>
      </c>
    </row>
    <row r="135" spans="1:8" x14ac:dyDescent="0.25">
      <c r="A135" t="s">
        <v>11540</v>
      </c>
      <c r="B135" t="s">
        <v>11572</v>
      </c>
      <c r="C135" t="s">
        <v>11571</v>
      </c>
      <c r="D135" t="s">
        <v>11570</v>
      </c>
      <c r="E135" s="208">
        <v>5.04</v>
      </c>
      <c r="F135" t="s">
        <v>11569</v>
      </c>
      <c r="G135" t="s">
        <v>640</v>
      </c>
      <c r="H135" s="271">
        <v>4451</v>
      </c>
    </row>
    <row r="136" spans="1:8" x14ac:dyDescent="0.25">
      <c r="A136" t="s">
        <v>11540</v>
      </c>
      <c r="B136" t="s">
        <v>11568</v>
      </c>
      <c r="C136" t="s">
        <v>11567</v>
      </c>
      <c r="D136" t="s">
        <v>11566</v>
      </c>
      <c r="E136" s="208">
        <v>17.03</v>
      </c>
      <c r="F136" t="s">
        <v>11565</v>
      </c>
      <c r="G136" t="s">
        <v>640</v>
      </c>
      <c r="H136" s="271">
        <v>4452</v>
      </c>
    </row>
    <row r="137" spans="1:8" x14ac:dyDescent="0.25">
      <c r="A137" t="s">
        <v>11540</v>
      </c>
      <c r="B137" t="s">
        <v>11564</v>
      </c>
      <c r="C137" t="s">
        <v>11563</v>
      </c>
      <c r="D137" t="s">
        <v>11562</v>
      </c>
      <c r="E137" s="208">
        <v>5.04</v>
      </c>
      <c r="F137" t="s">
        <v>11561</v>
      </c>
      <c r="G137" t="s">
        <v>640</v>
      </c>
      <c r="H137" s="271">
        <v>4453</v>
      </c>
    </row>
    <row r="138" spans="1:8" x14ac:dyDescent="0.25">
      <c r="A138" t="s">
        <v>11540</v>
      </c>
      <c r="B138" t="s">
        <v>11560</v>
      </c>
      <c r="C138" t="s">
        <v>11559</v>
      </c>
      <c r="D138" t="s">
        <v>4801</v>
      </c>
      <c r="E138" s="208">
        <v>3.36</v>
      </c>
      <c r="F138" t="s">
        <v>4802</v>
      </c>
      <c r="G138" t="s">
        <v>640</v>
      </c>
      <c r="H138" s="271">
        <v>4454</v>
      </c>
    </row>
    <row r="139" spans="1:8" x14ac:dyDescent="0.25">
      <c r="A139" t="s">
        <v>11540</v>
      </c>
      <c r="B139" t="s">
        <v>11558</v>
      </c>
      <c r="C139" t="s">
        <v>11557</v>
      </c>
      <c r="D139" t="s">
        <v>11556</v>
      </c>
      <c r="E139" s="208">
        <v>9.1999999999999993</v>
      </c>
      <c r="F139" t="s">
        <v>11555</v>
      </c>
      <c r="G139" t="s">
        <v>640</v>
      </c>
      <c r="H139" s="271">
        <v>4455</v>
      </c>
    </row>
    <row r="140" spans="1:8" x14ac:dyDescent="0.25">
      <c r="A140" t="s">
        <v>11540</v>
      </c>
      <c r="B140" t="s">
        <v>11554</v>
      </c>
      <c r="C140" t="s">
        <v>11553</v>
      </c>
      <c r="D140" t="s">
        <v>993</v>
      </c>
      <c r="E140" s="208">
        <v>1.71</v>
      </c>
      <c r="F140" t="s">
        <v>992</v>
      </c>
      <c r="G140" t="s">
        <v>640</v>
      </c>
      <c r="H140" s="271">
        <v>4456</v>
      </c>
    </row>
    <row r="141" spans="1:8" x14ac:dyDescent="0.25">
      <c r="A141" t="s">
        <v>11540</v>
      </c>
      <c r="B141" t="s">
        <v>11552</v>
      </c>
      <c r="C141" t="s">
        <v>11551</v>
      </c>
      <c r="D141" t="s">
        <v>5180</v>
      </c>
      <c r="E141" s="208">
        <v>1.68</v>
      </c>
      <c r="F141" t="s">
        <v>5181</v>
      </c>
      <c r="G141" t="s">
        <v>640</v>
      </c>
      <c r="H141" s="271">
        <v>4457</v>
      </c>
    </row>
    <row r="142" spans="1:8" x14ac:dyDescent="0.25">
      <c r="A142" t="s">
        <v>11540</v>
      </c>
      <c r="B142" t="s">
        <v>11550</v>
      </c>
      <c r="C142" t="s">
        <v>11549</v>
      </c>
      <c r="D142" t="s">
        <v>1064</v>
      </c>
      <c r="E142" s="208">
        <v>1.68</v>
      </c>
      <c r="F142" t="s">
        <v>1063</v>
      </c>
      <c r="G142" t="s">
        <v>640</v>
      </c>
      <c r="H142" s="271">
        <v>4458</v>
      </c>
    </row>
    <row r="143" spans="1:8" x14ac:dyDescent="0.25">
      <c r="A143" t="s">
        <v>11540</v>
      </c>
      <c r="B143" t="s">
        <v>11548</v>
      </c>
      <c r="C143" t="s">
        <v>11547</v>
      </c>
      <c r="D143" t="s">
        <v>652</v>
      </c>
      <c r="E143" s="208">
        <v>3.06</v>
      </c>
      <c r="F143" t="s">
        <v>651</v>
      </c>
      <c r="G143" t="s">
        <v>640</v>
      </c>
      <c r="H143" s="271">
        <v>4459</v>
      </c>
    </row>
    <row r="144" spans="1:8" x14ac:dyDescent="0.25">
      <c r="A144" t="s">
        <v>11540</v>
      </c>
      <c r="B144" t="s">
        <v>11546</v>
      </c>
      <c r="C144" t="s">
        <v>11545</v>
      </c>
      <c r="D144" t="s">
        <v>11544</v>
      </c>
      <c r="E144" s="208">
        <v>1.85</v>
      </c>
      <c r="F144" t="s">
        <v>11543</v>
      </c>
      <c r="G144" t="s">
        <v>640</v>
      </c>
      <c r="H144" s="271">
        <v>4460</v>
      </c>
    </row>
    <row r="145" spans="1:8" x14ac:dyDescent="0.25">
      <c r="A145" t="s">
        <v>11540</v>
      </c>
      <c r="B145" t="s">
        <v>11542</v>
      </c>
      <c r="C145" t="s">
        <v>11541</v>
      </c>
      <c r="D145" t="s">
        <v>4690</v>
      </c>
      <c r="E145" s="208">
        <v>3.4</v>
      </c>
      <c r="F145" t="s">
        <v>4691</v>
      </c>
      <c r="G145" t="s">
        <v>640</v>
      </c>
      <c r="H145" s="271">
        <v>4461</v>
      </c>
    </row>
    <row r="146" spans="1:8" x14ac:dyDescent="0.25">
      <c r="A146" t="s">
        <v>11540</v>
      </c>
      <c r="B146" t="s">
        <v>11539</v>
      </c>
      <c r="C146" t="s">
        <v>11538</v>
      </c>
      <c r="D146" t="s">
        <v>3720</v>
      </c>
      <c r="E146" s="208">
        <v>2.14</v>
      </c>
      <c r="F146" t="s">
        <v>3721</v>
      </c>
      <c r="G146" t="s">
        <v>640</v>
      </c>
      <c r="H146" s="271">
        <v>4462</v>
      </c>
    </row>
    <row r="147" spans="1:8" x14ac:dyDescent="0.25">
      <c r="C147" s="210" t="s">
        <v>3578</v>
      </c>
      <c r="D147" s="210"/>
      <c r="E147" s="209">
        <f>SUM(E129:E146)</f>
        <v>90.340000000000018</v>
      </c>
    </row>
    <row r="148" spans="1:8" x14ac:dyDescent="0.25">
      <c r="A148" t="s">
        <v>11516</v>
      </c>
      <c r="B148" t="s">
        <v>11537</v>
      </c>
      <c r="C148" t="s">
        <v>11536</v>
      </c>
      <c r="D148" t="s">
        <v>4129</v>
      </c>
      <c r="E148" s="208">
        <v>5.97</v>
      </c>
      <c r="F148" t="s">
        <v>4130</v>
      </c>
      <c r="G148" t="s">
        <v>640</v>
      </c>
      <c r="H148" s="271">
        <v>4489</v>
      </c>
    </row>
    <row r="149" spans="1:8" x14ac:dyDescent="0.25">
      <c r="A149" t="s">
        <v>11516</v>
      </c>
      <c r="B149" t="s">
        <v>11535</v>
      </c>
      <c r="C149" t="s">
        <v>11534</v>
      </c>
      <c r="D149" t="s">
        <v>834</v>
      </c>
      <c r="E149" s="208">
        <v>2.7</v>
      </c>
      <c r="F149" t="s">
        <v>833</v>
      </c>
      <c r="G149" t="s">
        <v>640</v>
      </c>
      <c r="H149" s="271">
        <v>4490</v>
      </c>
    </row>
    <row r="150" spans="1:8" x14ac:dyDescent="0.25">
      <c r="A150" t="s">
        <v>11516</v>
      </c>
      <c r="B150" t="s">
        <v>11533</v>
      </c>
      <c r="C150" t="s">
        <v>11532</v>
      </c>
      <c r="D150" t="s">
        <v>1195</v>
      </c>
      <c r="E150" s="208">
        <v>4.03</v>
      </c>
      <c r="F150" t="s">
        <v>1194</v>
      </c>
      <c r="G150" t="s">
        <v>640</v>
      </c>
      <c r="H150" s="271">
        <v>4491</v>
      </c>
    </row>
    <row r="151" spans="1:8" x14ac:dyDescent="0.25">
      <c r="A151" t="s">
        <v>11516</v>
      </c>
      <c r="B151" t="s">
        <v>11531</v>
      </c>
      <c r="C151" t="s">
        <v>11530</v>
      </c>
      <c r="D151" t="s">
        <v>2945</v>
      </c>
      <c r="E151" s="208">
        <v>1.25</v>
      </c>
      <c r="F151" t="s">
        <v>2946</v>
      </c>
      <c r="G151" t="s">
        <v>640</v>
      </c>
      <c r="H151" s="271">
        <v>4492</v>
      </c>
    </row>
    <row r="152" spans="1:8" x14ac:dyDescent="0.25">
      <c r="A152" t="s">
        <v>11516</v>
      </c>
      <c r="B152" t="s">
        <v>11529</v>
      </c>
      <c r="C152" t="s">
        <v>11528</v>
      </c>
      <c r="D152" t="s">
        <v>4349</v>
      </c>
      <c r="E152" s="208">
        <v>2.3199999999999998</v>
      </c>
      <c r="F152" t="s">
        <v>4350</v>
      </c>
      <c r="G152" t="s">
        <v>640</v>
      </c>
      <c r="H152" s="271">
        <v>4493</v>
      </c>
    </row>
    <row r="153" spans="1:8" x14ac:dyDescent="0.25">
      <c r="A153" t="s">
        <v>11516</v>
      </c>
      <c r="B153" t="s">
        <v>4966</v>
      </c>
      <c r="C153" t="s">
        <v>11527</v>
      </c>
      <c r="D153" t="s">
        <v>804</v>
      </c>
      <c r="E153" s="208">
        <v>12.36</v>
      </c>
      <c r="F153" t="s">
        <v>803</v>
      </c>
      <c r="G153" t="s">
        <v>640</v>
      </c>
      <c r="H153" s="271">
        <v>4494</v>
      </c>
    </row>
    <row r="154" spans="1:8" x14ac:dyDescent="0.25">
      <c r="A154" t="s">
        <v>11516</v>
      </c>
      <c r="B154" t="s">
        <v>11526</v>
      </c>
      <c r="C154" t="s">
        <v>11525</v>
      </c>
      <c r="D154" t="s">
        <v>1367</v>
      </c>
      <c r="E154" s="208">
        <v>1.7</v>
      </c>
      <c r="F154" t="s">
        <v>1366</v>
      </c>
      <c r="G154" t="s">
        <v>640</v>
      </c>
      <c r="H154" s="271">
        <v>4495</v>
      </c>
    </row>
    <row r="155" spans="1:8" x14ac:dyDescent="0.25">
      <c r="A155" t="s">
        <v>11516</v>
      </c>
      <c r="B155" t="s">
        <v>11524</v>
      </c>
      <c r="C155" t="s">
        <v>11523</v>
      </c>
      <c r="D155" t="s">
        <v>1170</v>
      </c>
      <c r="E155" s="208">
        <v>6.11</v>
      </c>
      <c r="F155" t="s">
        <v>1169</v>
      </c>
      <c r="G155" t="s">
        <v>640</v>
      </c>
      <c r="H155" s="271">
        <v>4496</v>
      </c>
    </row>
    <row r="156" spans="1:8" x14ac:dyDescent="0.25">
      <c r="A156" t="s">
        <v>11516</v>
      </c>
      <c r="B156" t="s">
        <v>11522</v>
      </c>
      <c r="C156" t="s">
        <v>11521</v>
      </c>
      <c r="D156" t="s">
        <v>1007</v>
      </c>
      <c r="E156" s="208">
        <v>1.68</v>
      </c>
      <c r="F156" t="s">
        <v>1006</v>
      </c>
      <c r="G156" t="s">
        <v>640</v>
      </c>
      <c r="H156" s="271">
        <v>4497</v>
      </c>
    </row>
    <row r="157" spans="1:8" x14ac:dyDescent="0.25">
      <c r="A157" t="s">
        <v>11516</v>
      </c>
      <c r="B157" t="s">
        <v>11520</v>
      </c>
      <c r="C157" t="s">
        <v>11519</v>
      </c>
      <c r="D157" t="s">
        <v>11518</v>
      </c>
      <c r="E157" s="208">
        <v>64.19</v>
      </c>
      <c r="F157" t="s">
        <v>11517</v>
      </c>
      <c r="G157" t="s">
        <v>640</v>
      </c>
      <c r="H157" s="271">
        <v>4498</v>
      </c>
    </row>
    <row r="158" spans="1:8" x14ac:dyDescent="0.25">
      <c r="A158" t="s">
        <v>11516</v>
      </c>
      <c r="B158" t="s">
        <v>11515</v>
      </c>
      <c r="C158" t="s">
        <v>11514</v>
      </c>
      <c r="D158" t="s">
        <v>11513</v>
      </c>
      <c r="E158" s="208">
        <v>5.73</v>
      </c>
      <c r="F158" t="s">
        <v>11512</v>
      </c>
      <c r="G158" t="s">
        <v>640</v>
      </c>
      <c r="H158" s="271">
        <v>4503</v>
      </c>
    </row>
    <row r="159" spans="1:8" x14ac:dyDescent="0.25">
      <c r="C159" s="210" t="s">
        <v>3578</v>
      </c>
      <c r="D159" s="210"/>
      <c r="E159" s="209">
        <f>SUM(E148:E158)</f>
        <v>108.04</v>
      </c>
    </row>
    <row r="160" spans="1:8" x14ac:dyDescent="0.25">
      <c r="A160" t="s">
        <v>11456</v>
      </c>
      <c r="B160" t="s">
        <v>11468</v>
      </c>
      <c r="C160" t="s">
        <v>11467</v>
      </c>
      <c r="D160" t="s">
        <v>11466</v>
      </c>
      <c r="E160" s="208">
        <v>5.04</v>
      </c>
      <c r="F160" t="s">
        <v>11465</v>
      </c>
      <c r="G160" t="s">
        <v>640</v>
      </c>
      <c r="H160" s="271">
        <v>4526</v>
      </c>
    </row>
    <row r="161" spans="1:8" x14ac:dyDescent="0.25">
      <c r="A161" t="s">
        <v>11456</v>
      </c>
      <c r="B161" t="s">
        <v>11464</v>
      </c>
      <c r="C161" t="s">
        <v>11463</v>
      </c>
      <c r="D161" t="s">
        <v>3973</v>
      </c>
      <c r="E161" s="208">
        <v>1.85</v>
      </c>
      <c r="F161" t="s">
        <v>3974</v>
      </c>
      <c r="G161" t="s">
        <v>640</v>
      </c>
      <c r="H161" s="271">
        <v>4527</v>
      </c>
    </row>
    <row r="162" spans="1:8" x14ac:dyDescent="0.25">
      <c r="A162" t="s">
        <v>11456</v>
      </c>
      <c r="B162" t="s">
        <v>11462</v>
      </c>
      <c r="C162" t="s">
        <v>11461</v>
      </c>
      <c r="D162" t="s">
        <v>950</v>
      </c>
      <c r="E162" s="208">
        <v>1.85</v>
      </c>
      <c r="F162" t="s">
        <v>949</v>
      </c>
      <c r="G162" t="s">
        <v>640</v>
      </c>
      <c r="H162" s="271">
        <v>4528</v>
      </c>
    </row>
    <row r="163" spans="1:8" x14ac:dyDescent="0.25">
      <c r="A163" t="s">
        <v>11456</v>
      </c>
      <c r="B163" t="s">
        <v>11460</v>
      </c>
      <c r="C163" t="s">
        <v>11459</v>
      </c>
      <c r="D163" t="s">
        <v>4856</v>
      </c>
      <c r="E163" s="208">
        <v>1.69</v>
      </c>
      <c r="F163" t="s">
        <v>4857</v>
      </c>
      <c r="G163" t="s">
        <v>640</v>
      </c>
      <c r="H163" s="271">
        <v>4529</v>
      </c>
    </row>
    <row r="164" spans="1:8" x14ac:dyDescent="0.25">
      <c r="A164" t="s">
        <v>11456</v>
      </c>
      <c r="B164" t="s">
        <v>11458</v>
      </c>
      <c r="C164" t="s">
        <v>11457</v>
      </c>
      <c r="D164" t="s">
        <v>4540</v>
      </c>
      <c r="E164" s="208">
        <v>3.36</v>
      </c>
      <c r="F164" t="s">
        <v>4541</v>
      </c>
      <c r="G164" t="s">
        <v>640</v>
      </c>
      <c r="H164" s="271">
        <v>4530</v>
      </c>
    </row>
    <row r="165" spans="1:8" x14ac:dyDescent="0.25">
      <c r="A165" t="s">
        <v>11456</v>
      </c>
      <c r="B165" t="s">
        <v>11455</v>
      </c>
      <c r="C165" t="s">
        <v>11454</v>
      </c>
      <c r="D165" t="s">
        <v>675</v>
      </c>
      <c r="E165" s="208">
        <v>4.47</v>
      </c>
      <c r="F165" t="s">
        <v>674</v>
      </c>
      <c r="G165" t="s">
        <v>640</v>
      </c>
      <c r="H165" s="271">
        <v>4531</v>
      </c>
    </row>
    <row r="166" spans="1:8" x14ac:dyDescent="0.25">
      <c r="C166" s="210" t="s">
        <v>3578</v>
      </c>
      <c r="D166" s="210"/>
      <c r="E166" s="209">
        <f>SUM(E160:E165)</f>
        <v>18.259999999999998</v>
      </c>
    </row>
    <row r="167" spans="1:8" x14ac:dyDescent="0.25">
      <c r="A167" t="s">
        <v>11392</v>
      </c>
      <c r="B167" t="s">
        <v>11453</v>
      </c>
      <c r="C167" t="s">
        <v>11452</v>
      </c>
      <c r="D167" t="s">
        <v>1216</v>
      </c>
      <c r="E167" s="208">
        <v>5.26</v>
      </c>
      <c r="F167" t="s">
        <v>1215</v>
      </c>
      <c r="G167" t="s">
        <v>640</v>
      </c>
      <c r="H167" s="271">
        <v>4532</v>
      </c>
    </row>
    <row r="168" spans="1:8" x14ac:dyDescent="0.25">
      <c r="A168" t="s">
        <v>11392</v>
      </c>
      <c r="B168" t="s">
        <v>11451</v>
      </c>
      <c r="C168" t="s">
        <v>11450</v>
      </c>
      <c r="D168" t="s">
        <v>1050</v>
      </c>
      <c r="E168" s="208">
        <v>3.71</v>
      </c>
      <c r="F168" t="s">
        <v>1049</v>
      </c>
      <c r="G168" t="s">
        <v>640</v>
      </c>
      <c r="H168" s="271">
        <v>4533</v>
      </c>
    </row>
    <row r="169" spans="1:8" x14ac:dyDescent="0.25">
      <c r="A169" t="s">
        <v>11392</v>
      </c>
      <c r="B169" t="s">
        <v>4791</v>
      </c>
      <c r="C169" t="s">
        <v>11449</v>
      </c>
      <c r="D169" t="s">
        <v>4194</v>
      </c>
      <c r="E169" s="208">
        <v>2.99</v>
      </c>
      <c r="F169" t="s">
        <v>4195</v>
      </c>
      <c r="G169" t="s">
        <v>640</v>
      </c>
      <c r="H169" s="271">
        <v>4534</v>
      </c>
    </row>
    <row r="170" spans="1:8" x14ac:dyDescent="0.25">
      <c r="A170" t="s">
        <v>11392</v>
      </c>
      <c r="B170" t="s">
        <v>11448</v>
      </c>
      <c r="C170" t="s">
        <v>11447</v>
      </c>
      <c r="D170" t="s">
        <v>995</v>
      </c>
      <c r="E170" s="208">
        <v>2.69</v>
      </c>
      <c r="F170" t="s">
        <v>994</v>
      </c>
      <c r="G170" t="s">
        <v>640</v>
      </c>
      <c r="H170" s="271">
        <v>4535</v>
      </c>
    </row>
    <row r="171" spans="1:8" x14ac:dyDescent="0.25">
      <c r="A171" t="s">
        <v>11392</v>
      </c>
      <c r="B171" t="s">
        <v>11446</v>
      </c>
      <c r="C171" t="s">
        <v>11445</v>
      </c>
      <c r="D171" t="s">
        <v>999</v>
      </c>
      <c r="E171" s="208">
        <v>2.15</v>
      </c>
      <c r="F171" t="s">
        <v>998</v>
      </c>
      <c r="G171" t="s">
        <v>640</v>
      </c>
      <c r="H171" s="271">
        <v>4536</v>
      </c>
    </row>
    <row r="172" spans="1:8" x14ac:dyDescent="0.25">
      <c r="A172" t="s">
        <v>11392</v>
      </c>
      <c r="B172" t="s">
        <v>11444</v>
      </c>
      <c r="C172" t="s">
        <v>11443</v>
      </c>
      <c r="D172" t="s">
        <v>725</v>
      </c>
      <c r="E172" s="208">
        <v>5.29</v>
      </c>
      <c r="F172" t="s">
        <v>724</v>
      </c>
      <c r="G172" t="s">
        <v>640</v>
      </c>
      <c r="H172" s="271">
        <v>4537</v>
      </c>
    </row>
    <row r="173" spans="1:8" x14ac:dyDescent="0.25">
      <c r="A173" t="s">
        <v>11392</v>
      </c>
      <c r="B173" t="s">
        <v>11442</v>
      </c>
      <c r="C173" t="s">
        <v>11441</v>
      </c>
      <c r="D173" t="s">
        <v>4622</v>
      </c>
      <c r="E173" s="208">
        <v>1.03</v>
      </c>
      <c r="F173" t="s">
        <v>4623</v>
      </c>
      <c r="G173" t="s">
        <v>640</v>
      </c>
      <c r="H173" s="271">
        <v>4538</v>
      </c>
    </row>
    <row r="174" spans="1:8" x14ac:dyDescent="0.25">
      <c r="A174" t="s">
        <v>11392</v>
      </c>
      <c r="B174" t="s">
        <v>11440</v>
      </c>
      <c r="C174" t="s">
        <v>11439</v>
      </c>
      <c r="D174" t="s">
        <v>3637</v>
      </c>
      <c r="E174" s="208">
        <v>3.92</v>
      </c>
      <c r="F174" t="s">
        <v>3638</v>
      </c>
      <c r="G174" t="s">
        <v>640</v>
      </c>
      <c r="H174" s="271">
        <v>4539</v>
      </c>
    </row>
    <row r="175" spans="1:8" x14ac:dyDescent="0.25">
      <c r="A175" t="s">
        <v>11392</v>
      </c>
      <c r="B175" t="s">
        <v>11438</v>
      </c>
      <c r="C175" t="s">
        <v>11437</v>
      </c>
      <c r="D175" t="s">
        <v>1229</v>
      </c>
      <c r="E175" s="208">
        <v>1.68</v>
      </c>
      <c r="F175" t="s">
        <v>1228</v>
      </c>
      <c r="G175" t="s">
        <v>640</v>
      </c>
      <c r="H175" s="271">
        <v>4540</v>
      </c>
    </row>
    <row r="176" spans="1:8" x14ac:dyDescent="0.25">
      <c r="A176" t="s">
        <v>11392</v>
      </c>
      <c r="B176" t="s">
        <v>11436</v>
      </c>
      <c r="C176" t="s">
        <v>11435</v>
      </c>
      <c r="D176" t="s">
        <v>11434</v>
      </c>
      <c r="E176" s="208">
        <v>5.61</v>
      </c>
      <c r="F176" t="s">
        <v>11433</v>
      </c>
      <c r="G176" t="s">
        <v>640</v>
      </c>
      <c r="H176" s="271">
        <v>4541</v>
      </c>
    </row>
    <row r="177" spans="1:8" x14ac:dyDescent="0.25">
      <c r="A177" t="s">
        <v>11392</v>
      </c>
      <c r="B177" t="s">
        <v>11432</v>
      </c>
      <c r="C177" t="s">
        <v>11431</v>
      </c>
      <c r="D177" t="s">
        <v>1152</v>
      </c>
      <c r="E177" s="208">
        <v>2.14</v>
      </c>
      <c r="F177" t="s">
        <v>1151</v>
      </c>
      <c r="G177" t="s">
        <v>640</v>
      </c>
      <c r="H177" s="271">
        <v>4542</v>
      </c>
    </row>
    <row r="178" spans="1:8" x14ac:dyDescent="0.25">
      <c r="A178" t="s">
        <v>11392</v>
      </c>
      <c r="B178" t="s">
        <v>11430</v>
      </c>
      <c r="C178" t="s">
        <v>11429</v>
      </c>
      <c r="D178" t="s">
        <v>11428</v>
      </c>
      <c r="E178" s="208">
        <v>0.27</v>
      </c>
      <c r="F178" t="s">
        <v>11427</v>
      </c>
      <c r="G178" t="s">
        <v>640</v>
      </c>
      <c r="H178" s="271">
        <v>4543</v>
      </c>
    </row>
    <row r="179" spans="1:8" x14ac:dyDescent="0.25">
      <c r="A179" t="s">
        <v>11392</v>
      </c>
      <c r="B179" t="s">
        <v>11426</v>
      </c>
      <c r="C179" t="s">
        <v>11425</v>
      </c>
      <c r="D179" t="s">
        <v>859</v>
      </c>
      <c r="E179" s="208">
        <v>7.32</v>
      </c>
      <c r="F179" t="s">
        <v>858</v>
      </c>
      <c r="G179" t="s">
        <v>640</v>
      </c>
      <c r="H179" s="271">
        <v>4544</v>
      </c>
    </row>
    <row r="180" spans="1:8" x14ac:dyDescent="0.25">
      <c r="A180" t="s">
        <v>11392</v>
      </c>
      <c r="B180" t="s">
        <v>11424</v>
      </c>
      <c r="C180" t="s">
        <v>11423</v>
      </c>
      <c r="D180" t="s">
        <v>982</v>
      </c>
      <c r="E180" s="208">
        <v>4.32</v>
      </c>
      <c r="F180" t="s">
        <v>981</v>
      </c>
      <c r="G180" t="s">
        <v>640</v>
      </c>
      <c r="H180" s="271">
        <v>4545</v>
      </c>
    </row>
    <row r="181" spans="1:8" x14ac:dyDescent="0.25">
      <c r="A181" t="s">
        <v>11392</v>
      </c>
      <c r="B181" t="s">
        <v>11422</v>
      </c>
      <c r="C181" t="s">
        <v>11421</v>
      </c>
      <c r="D181" t="s">
        <v>1291</v>
      </c>
      <c r="E181" s="208">
        <v>1.69</v>
      </c>
      <c r="F181" t="s">
        <v>1290</v>
      </c>
      <c r="G181" t="s">
        <v>640</v>
      </c>
      <c r="H181" s="271">
        <v>4546</v>
      </c>
    </row>
    <row r="182" spans="1:8" x14ac:dyDescent="0.25">
      <c r="A182" t="s">
        <v>11392</v>
      </c>
      <c r="B182" t="s">
        <v>11420</v>
      </c>
      <c r="C182" t="s">
        <v>11419</v>
      </c>
      <c r="D182" t="s">
        <v>1382</v>
      </c>
      <c r="E182" s="208">
        <v>3.91</v>
      </c>
      <c r="F182" t="s">
        <v>1381</v>
      </c>
      <c r="G182" t="s">
        <v>640</v>
      </c>
      <c r="H182" s="271">
        <v>4547</v>
      </c>
    </row>
    <row r="183" spans="1:8" x14ac:dyDescent="0.25">
      <c r="A183" t="s">
        <v>11392</v>
      </c>
      <c r="B183" t="s">
        <v>11418</v>
      </c>
      <c r="C183" t="s">
        <v>11417</v>
      </c>
      <c r="D183" t="s">
        <v>3933</v>
      </c>
      <c r="E183" s="208">
        <v>5.88</v>
      </c>
      <c r="F183" t="s">
        <v>3934</v>
      </c>
      <c r="G183" t="s">
        <v>640</v>
      </c>
      <c r="H183" s="271">
        <v>4548</v>
      </c>
    </row>
    <row r="184" spans="1:8" x14ac:dyDescent="0.25">
      <c r="A184" t="s">
        <v>11392</v>
      </c>
      <c r="B184" t="s">
        <v>11416</v>
      </c>
      <c r="C184" t="s">
        <v>11415</v>
      </c>
      <c r="D184" t="s">
        <v>5363</v>
      </c>
      <c r="E184" s="208">
        <v>1.68</v>
      </c>
      <c r="F184" t="s">
        <v>5364</v>
      </c>
      <c r="G184" t="s">
        <v>640</v>
      </c>
      <c r="H184" s="271">
        <v>4549</v>
      </c>
    </row>
    <row r="185" spans="1:8" x14ac:dyDescent="0.25">
      <c r="A185" t="s">
        <v>11392</v>
      </c>
      <c r="B185" t="s">
        <v>11414</v>
      </c>
      <c r="C185" t="s">
        <v>11413</v>
      </c>
      <c r="D185" t="s">
        <v>4054</v>
      </c>
      <c r="E185" s="208">
        <v>1.52</v>
      </c>
      <c r="F185" t="s">
        <v>4055</v>
      </c>
      <c r="G185" t="s">
        <v>640</v>
      </c>
      <c r="H185" s="271">
        <v>4550</v>
      </c>
    </row>
    <row r="186" spans="1:8" x14ac:dyDescent="0.25">
      <c r="A186" t="s">
        <v>11392</v>
      </c>
      <c r="B186" t="s">
        <v>11412</v>
      </c>
      <c r="C186" t="s">
        <v>11411</v>
      </c>
      <c r="D186" t="s">
        <v>1034</v>
      </c>
      <c r="E186" s="208">
        <v>5.7</v>
      </c>
      <c r="F186" t="s">
        <v>1033</v>
      </c>
      <c r="G186" t="s">
        <v>640</v>
      </c>
      <c r="H186" s="271">
        <v>4551</v>
      </c>
    </row>
    <row r="187" spans="1:8" x14ac:dyDescent="0.25">
      <c r="A187" t="s">
        <v>11392</v>
      </c>
      <c r="B187" t="s">
        <v>11410</v>
      </c>
      <c r="C187" t="s">
        <v>11409</v>
      </c>
      <c r="D187" t="s">
        <v>1022</v>
      </c>
      <c r="E187" s="208">
        <v>5.52</v>
      </c>
      <c r="F187" t="s">
        <v>1021</v>
      </c>
      <c r="G187" t="s">
        <v>640</v>
      </c>
      <c r="H187" s="271">
        <v>4552</v>
      </c>
    </row>
    <row r="188" spans="1:8" x14ac:dyDescent="0.25">
      <c r="A188" t="s">
        <v>11392</v>
      </c>
      <c r="B188" t="s">
        <v>11408</v>
      </c>
      <c r="C188" t="s">
        <v>11407</v>
      </c>
      <c r="D188" t="s">
        <v>3649</v>
      </c>
      <c r="E188" s="208">
        <v>5.3</v>
      </c>
      <c r="F188" t="s">
        <v>3650</v>
      </c>
      <c r="G188" t="s">
        <v>640</v>
      </c>
      <c r="H188" s="271">
        <v>4553</v>
      </c>
    </row>
    <row r="189" spans="1:8" x14ac:dyDescent="0.25">
      <c r="A189" t="s">
        <v>11392</v>
      </c>
      <c r="B189" t="s">
        <v>11406</v>
      </c>
      <c r="C189" t="s">
        <v>11405</v>
      </c>
      <c r="D189" t="s">
        <v>666</v>
      </c>
      <c r="E189" s="208">
        <v>4.2</v>
      </c>
      <c r="F189" t="s">
        <v>665</v>
      </c>
      <c r="G189" t="s">
        <v>640</v>
      </c>
      <c r="H189" s="271">
        <v>4554</v>
      </c>
    </row>
    <row r="190" spans="1:8" x14ac:dyDescent="0.25">
      <c r="A190" t="s">
        <v>11392</v>
      </c>
      <c r="B190" t="s">
        <v>11404</v>
      </c>
      <c r="C190" t="s">
        <v>11403</v>
      </c>
      <c r="D190" t="s">
        <v>838</v>
      </c>
      <c r="E190" s="208">
        <v>5.71</v>
      </c>
      <c r="F190" t="s">
        <v>837</v>
      </c>
      <c r="G190" t="s">
        <v>640</v>
      </c>
      <c r="H190" s="271">
        <v>4555</v>
      </c>
    </row>
    <row r="191" spans="1:8" x14ac:dyDescent="0.25">
      <c r="A191" t="s">
        <v>11392</v>
      </c>
      <c r="B191" t="s">
        <v>11402</v>
      </c>
      <c r="C191" t="s">
        <v>11401</v>
      </c>
      <c r="D191" t="s">
        <v>4928</v>
      </c>
      <c r="E191" s="208">
        <v>3.92</v>
      </c>
      <c r="F191" t="s">
        <v>4929</v>
      </c>
      <c r="G191" t="s">
        <v>640</v>
      </c>
      <c r="H191" s="271">
        <v>4556</v>
      </c>
    </row>
    <row r="192" spans="1:8" x14ac:dyDescent="0.25">
      <c r="A192" t="s">
        <v>11392</v>
      </c>
      <c r="B192" t="s">
        <v>11400</v>
      </c>
      <c r="C192" t="s">
        <v>11399</v>
      </c>
      <c r="D192" t="s">
        <v>1048</v>
      </c>
      <c r="E192" s="208">
        <v>5.41</v>
      </c>
      <c r="F192" t="s">
        <v>1047</v>
      </c>
      <c r="G192" t="s">
        <v>640</v>
      </c>
      <c r="H192" s="271">
        <v>4557</v>
      </c>
    </row>
    <row r="193" spans="1:8" x14ac:dyDescent="0.25">
      <c r="A193" t="s">
        <v>11392</v>
      </c>
      <c r="B193" t="s">
        <v>11398</v>
      </c>
      <c r="C193" t="s">
        <v>11397</v>
      </c>
      <c r="D193" t="s">
        <v>3966</v>
      </c>
      <c r="E193" s="208">
        <v>12.17</v>
      </c>
      <c r="F193" t="s">
        <v>3967</v>
      </c>
      <c r="G193" t="s">
        <v>640</v>
      </c>
      <c r="H193" s="271">
        <v>4588</v>
      </c>
    </row>
    <row r="194" spans="1:8" x14ac:dyDescent="0.25">
      <c r="A194" t="s">
        <v>11392</v>
      </c>
      <c r="B194" t="s">
        <v>11396</v>
      </c>
      <c r="C194" t="s">
        <v>11395</v>
      </c>
      <c r="D194" t="s">
        <v>5243</v>
      </c>
      <c r="E194" s="208">
        <v>1.97</v>
      </c>
      <c r="F194" t="s">
        <v>5244</v>
      </c>
      <c r="G194" t="s">
        <v>640</v>
      </c>
      <c r="H194" s="271">
        <v>4589</v>
      </c>
    </row>
    <row r="195" spans="1:8" x14ac:dyDescent="0.25">
      <c r="A195" t="s">
        <v>11392</v>
      </c>
      <c r="B195" t="s">
        <v>11394</v>
      </c>
      <c r="C195" t="s">
        <v>11393</v>
      </c>
      <c r="D195" t="s">
        <v>1193</v>
      </c>
      <c r="E195" s="208">
        <v>3.51</v>
      </c>
      <c r="F195" t="s">
        <v>1192</v>
      </c>
      <c r="G195" t="s">
        <v>640</v>
      </c>
      <c r="H195" s="271">
        <v>4590</v>
      </c>
    </row>
    <row r="196" spans="1:8" x14ac:dyDescent="0.25">
      <c r="A196" t="s">
        <v>11392</v>
      </c>
      <c r="B196" t="s">
        <v>11391</v>
      </c>
      <c r="C196" t="s">
        <v>11390</v>
      </c>
      <c r="D196" t="s">
        <v>4384</v>
      </c>
      <c r="E196" s="208">
        <v>6.75</v>
      </c>
      <c r="F196" t="s">
        <v>4385</v>
      </c>
      <c r="G196" t="s">
        <v>640</v>
      </c>
      <c r="H196" s="271">
        <v>4591</v>
      </c>
    </row>
    <row r="197" spans="1:8" x14ac:dyDescent="0.25">
      <c r="C197" s="210" t="s">
        <v>3578</v>
      </c>
      <c r="D197" s="210"/>
      <c r="E197" s="209">
        <f>SUM(E167:E196)</f>
        <v>123.22</v>
      </c>
    </row>
    <row r="198" spans="1:8" x14ac:dyDescent="0.25">
      <c r="A198" t="s">
        <v>11154</v>
      </c>
      <c r="B198" t="s">
        <v>11201</v>
      </c>
      <c r="C198" t="s">
        <v>11200</v>
      </c>
      <c r="D198" t="s">
        <v>11199</v>
      </c>
      <c r="E198" s="208">
        <v>37.47</v>
      </c>
      <c r="F198" t="s">
        <v>11198</v>
      </c>
      <c r="G198" t="s">
        <v>640</v>
      </c>
      <c r="H198" s="271">
        <v>5046</v>
      </c>
    </row>
    <row r="199" spans="1:8" x14ac:dyDescent="0.25">
      <c r="A199" t="s">
        <v>11154</v>
      </c>
      <c r="B199" t="s">
        <v>11197</v>
      </c>
      <c r="C199" t="s">
        <v>11196</v>
      </c>
      <c r="D199" t="s">
        <v>11195</v>
      </c>
      <c r="E199" s="208">
        <v>5.1100000000000003</v>
      </c>
      <c r="F199" t="s">
        <v>11194</v>
      </c>
      <c r="G199" t="s">
        <v>640</v>
      </c>
      <c r="H199" s="271">
        <v>5047</v>
      </c>
    </row>
    <row r="200" spans="1:8" x14ac:dyDescent="0.25">
      <c r="A200" t="s">
        <v>11154</v>
      </c>
      <c r="B200" t="s">
        <v>6071</v>
      </c>
      <c r="C200" t="s">
        <v>11193</v>
      </c>
      <c r="D200" t="s">
        <v>1158</v>
      </c>
      <c r="E200" s="208">
        <v>9.07</v>
      </c>
      <c r="F200" t="s">
        <v>1157</v>
      </c>
      <c r="G200" t="s">
        <v>640</v>
      </c>
      <c r="H200" s="271">
        <v>5048</v>
      </c>
    </row>
    <row r="201" spans="1:8" x14ac:dyDescent="0.25">
      <c r="A201" t="s">
        <v>11154</v>
      </c>
      <c r="B201" t="s">
        <v>11192</v>
      </c>
      <c r="C201" t="s">
        <v>11191</v>
      </c>
      <c r="D201" t="s">
        <v>4626</v>
      </c>
      <c r="E201" s="208">
        <v>3.4</v>
      </c>
      <c r="F201" t="s">
        <v>4627</v>
      </c>
      <c r="G201" t="s">
        <v>640</v>
      </c>
      <c r="H201" s="271">
        <v>5049</v>
      </c>
    </row>
    <row r="202" spans="1:8" x14ac:dyDescent="0.25">
      <c r="A202" t="s">
        <v>11154</v>
      </c>
      <c r="B202" t="s">
        <v>11190</v>
      </c>
      <c r="C202" t="s">
        <v>11189</v>
      </c>
      <c r="D202" t="s">
        <v>3941</v>
      </c>
      <c r="E202" s="208">
        <v>5.25</v>
      </c>
      <c r="F202" t="s">
        <v>3942</v>
      </c>
      <c r="G202" t="s">
        <v>640</v>
      </c>
      <c r="H202" s="271">
        <v>5050</v>
      </c>
    </row>
    <row r="203" spans="1:8" x14ac:dyDescent="0.25">
      <c r="A203" t="s">
        <v>11154</v>
      </c>
      <c r="B203" t="s">
        <v>11188</v>
      </c>
      <c r="C203" t="s">
        <v>11187</v>
      </c>
      <c r="D203" t="s">
        <v>4117</v>
      </c>
      <c r="E203" s="208">
        <v>4.25</v>
      </c>
      <c r="F203" t="s">
        <v>4118</v>
      </c>
      <c r="G203" t="s">
        <v>640</v>
      </c>
      <c r="H203" s="271">
        <v>5051</v>
      </c>
    </row>
    <row r="204" spans="1:8" x14ac:dyDescent="0.25">
      <c r="A204" t="s">
        <v>11154</v>
      </c>
      <c r="B204" t="s">
        <v>11186</v>
      </c>
      <c r="C204" t="s">
        <v>11185</v>
      </c>
      <c r="D204" t="s">
        <v>972</v>
      </c>
      <c r="E204" s="208">
        <v>2.36</v>
      </c>
      <c r="F204" t="s">
        <v>971</v>
      </c>
      <c r="G204" t="s">
        <v>640</v>
      </c>
      <c r="H204" s="271">
        <v>5052</v>
      </c>
    </row>
    <row r="205" spans="1:8" x14ac:dyDescent="0.25">
      <c r="A205" t="s">
        <v>11154</v>
      </c>
      <c r="B205" t="s">
        <v>11184</v>
      </c>
      <c r="C205" t="s">
        <v>11183</v>
      </c>
      <c r="D205" t="s">
        <v>4045</v>
      </c>
      <c r="E205" s="208">
        <v>5.21</v>
      </c>
      <c r="F205" t="s">
        <v>4046</v>
      </c>
      <c r="G205" t="s">
        <v>640</v>
      </c>
      <c r="H205" s="271">
        <v>5053</v>
      </c>
    </row>
    <row r="206" spans="1:8" x14ac:dyDescent="0.25">
      <c r="A206" t="s">
        <v>11154</v>
      </c>
      <c r="B206" t="s">
        <v>11182</v>
      </c>
      <c r="C206" t="s">
        <v>11181</v>
      </c>
      <c r="D206" t="s">
        <v>2919</v>
      </c>
      <c r="E206" s="208">
        <v>7.93</v>
      </c>
      <c r="F206" t="s">
        <v>2920</v>
      </c>
      <c r="G206" t="s">
        <v>640</v>
      </c>
      <c r="H206" s="271">
        <v>5054</v>
      </c>
    </row>
    <row r="207" spans="1:8" x14ac:dyDescent="0.25">
      <c r="A207" t="s">
        <v>11154</v>
      </c>
      <c r="B207" t="s">
        <v>11180</v>
      </c>
      <c r="C207" t="s">
        <v>11179</v>
      </c>
      <c r="D207" t="s">
        <v>660</v>
      </c>
      <c r="E207" s="208">
        <v>4.3099999999999996</v>
      </c>
      <c r="F207" t="s">
        <v>659</v>
      </c>
      <c r="G207" t="s">
        <v>640</v>
      </c>
      <c r="H207" s="271">
        <v>5055</v>
      </c>
    </row>
    <row r="208" spans="1:8" x14ac:dyDescent="0.25">
      <c r="A208" t="s">
        <v>11154</v>
      </c>
      <c r="B208" t="s">
        <v>11178</v>
      </c>
      <c r="C208" t="s">
        <v>11177</v>
      </c>
      <c r="D208" t="s">
        <v>1433</v>
      </c>
      <c r="E208" s="208">
        <v>3.39</v>
      </c>
      <c r="F208" t="s">
        <v>1432</v>
      </c>
      <c r="G208" t="s">
        <v>640</v>
      </c>
      <c r="H208" s="271">
        <v>5056</v>
      </c>
    </row>
    <row r="209" spans="1:8" x14ac:dyDescent="0.25">
      <c r="A209" t="s">
        <v>11154</v>
      </c>
      <c r="B209" t="s">
        <v>11176</v>
      </c>
      <c r="C209" t="s">
        <v>11175</v>
      </c>
      <c r="D209" t="s">
        <v>4604</v>
      </c>
      <c r="E209" s="208">
        <v>3.54</v>
      </c>
      <c r="F209" t="s">
        <v>4605</v>
      </c>
      <c r="G209" t="s">
        <v>640</v>
      </c>
      <c r="H209" s="271">
        <v>5057</v>
      </c>
    </row>
    <row r="210" spans="1:8" x14ac:dyDescent="0.25">
      <c r="A210" t="s">
        <v>11154</v>
      </c>
      <c r="B210" t="s">
        <v>11174</v>
      </c>
      <c r="C210" t="s">
        <v>11173</v>
      </c>
      <c r="D210" t="s">
        <v>1570</v>
      </c>
      <c r="E210" s="208">
        <v>6.27</v>
      </c>
      <c r="F210" t="s">
        <v>1569</v>
      </c>
      <c r="G210" t="s">
        <v>640</v>
      </c>
      <c r="H210" s="271">
        <v>5058</v>
      </c>
    </row>
    <row r="211" spans="1:8" x14ac:dyDescent="0.25">
      <c r="A211" t="s">
        <v>11154</v>
      </c>
      <c r="B211" t="s">
        <v>11172</v>
      </c>
      <c r="C211" t="s">
        <v>11171</v>
      </c>
      <c r="D211" t="s">
        <v>11170</v>
      </c>
      <c r="E211" s="208">
        <v>7.05</v>
      </c>
      <c r="F211" t="s">
        <v>11169</v>
      </c>
      <c r="G211" t="s">
        <v>640</v>
      </c>
      <c r="H211" s="271">
        <v>5059</v>
      </c>
    </row>
    <row r="212" spans="1:8" x14ac:dyDescent="0.25">
      <c r="A212" t="s">
        <v>11154</v>
      </c>
      <c r="B212" t="s">
        <v>11168</v>
      </c>
      <c r="C212" t="s">
        <v>11167</v>
      </c>
      <c r="D212" t="s">
        <v>3712</v>
      </c>
      <c r="E212" s="208">
        <v>5.04</v>
      </c>
      <c r="F212" t="s">
        <v>3713</v>
      </c>
      <c r="G212" t="s">
        <v>640</v>
      </c>
      <c r="H212" s="271">
        <v>5060</v>
      </c>
    </row>
    <row r="213" spans="1:8" x14ac:dyDescent="0.25">
      <c r="A213" t="s">
        <v>11154</v>
      </c>
      <c r="B213" t="s">
        <v>11166</v>
      </c>
      <c r="C213" t="s">
        <v>11165</v>
      </c>
      <c r="D213" t="s">
        <v>11164</v>
      </c>
      <c r="E213" s="208">
        <v>22</v>
      </c>
      <c r="F213" t="s">
        <v>11163</v>
      </c>
      <c r="G213" t="s">
        <v>640</v>
      </c>
      <c r="H213" s="271">
        <v>5061</v>
      </c>
    </row>
    <row r="214" spans="1:8" x14ac:dyDescent="0.25">
      <c r="A214" t="s">
        <v>11154</v>
      </c>
      <c r="B214" t="s">
        <v>11162</v>
      </c>
      <c r="C214" t="s">
        <v>11161</v>
      </c>
      <c r="D214" t="s">
        <v>1062</v>
      </c>
      <c r="E214" s="208">
        <v>16.760000000000002</v>
      </c>
      <c r="F214" t="s">
        <v>1061</v>
      </c>
      <c r="G214" t="s">
        <v>640</v>
      </c>
      <c r="H214" s="271">
        <v>5062</v>
      </c>
    </row>
    <row r="215" spans="1:8" x14ac:dyDescent="0.25">
      <c r="A215" t="s">
        <v>11154</v>
      </c>
      <c r="B215" t="s">
        <v>11160</v>
      </c>
      <c r="C215" t="s">
        <v>11159</v>
      </c>
      <c r="D215" t="s">
        <v>1375</v>
      </c>
      <c r="E215" s="208">
        <v>2.1800000000000002</v>
      </c>
      <c r="F215" t="s">
        <v>1374</v>
      </c>
      <c r="G215" t="s">
        <v>640</v>
      </c>
      <c r="H215" s="271">
        <v>5063</v>
      </c>
    </row>
    <row r="216" spans="1:8" x14ac:dyDescent="0.25">
      <c r="A216" t="s">
        <v>11154</v>
      </c>
      <c r="B216" t="s">
        <v>11158</v>
      </c>
      <c r="C216" t="s">
        <v>11157</v>
      </c>
      <c r="D216" t="s">
        <v>1255</v>
      </c>
      <c r="E216" s="208">
        <v>37.76</v>
      </c>
      <c r="F216" t="s">
        <v>1254</v>
      </c>
      <c r="G216" t="s">
        <v>640</v>
      </c>
      <c r="H216" s="271">
        <v>5064</v>
      </c>
    </row>
    <row r="217" spans="1:8" x14ac:dyDescent="0.25">
      <c r="A217" t="s">
        <v>11154</v>
      </c>
      <c r="B217" t="s">
        <v>11156</v>
      </c>
      <c r="C217" t="s">
        <v>11155</v>
      </c>
      <c r="D217" t="s">
        <v>4419</v>
      </c>
      <c r="E217" s="208">
        <v>4.21</v>
      </c>
      <c r="F217" t="s">
        <v>4420</v>
      </c>
      <c r="G217" t="s">
        <v>640</v>
      </c>
      <c r="H217" s="271">
        <v>5065</v>
      </c>
    </row>
    <row r="218" spans="1:8" x14ac:dyDescent="0.25">
      <c r="A218" t="s">
        <v>11154</v>
      </c>
      <c r="B218" t="s">
        <v>11153</v>
      </c>
      <c r="C218" t="s">
        <v>11152</v>
      </c>
      <c r="D218" t="s">
        <v>5186</v>
      </c>
      <c r="E218" s="208">
        <v>4.2300000000000004</v>
      </c>
      <c r="F218" t="s">
        <v>5187</v>
      </c>
      <c r="G218" t="s">
        <v>640</v>
      </c>
      <c r="H218" s="271">
        <v>5066</v>
      </c>
    </row>
    <row r="219" spans="1:8" x14ac:dyDescent="0.25">
      <c r="C219" s="210" t="s">
        <v>3578</v>
      </c>
      <c r="D219" s="210"/>
      <c r="E219" s="209">
        <f>SUM(E198:E218)</f>
        <v>196.78999999999996</v>
      </c>
    </row>
    <row r="220" spans="1:8" x14ac:dyDescent="0.25">
      <c r="A220" t="s">
        <v>11115</v>
      </c>
      <c r="B220" t="s">
        <v>11126</v>
      </c>
      <c r="C220" t="s">
        <v>11125</v>
      </c>
      <c r="D220" t="s">
        <v>909</v>
      </c>
      <c r="E220" s="208">
        <v>30.3</v>
      </c>
      <c r="F220" t="s">
        <v>908</v>
      </c>
      <c r="G220" t="s">
        <v>640</v>
      </c>
      <c r="H220" s="271">
        <v>5078</v>
      </c>
    </row>
    <row r="221" spans="1:8" x14ac:dyDescent="0.25">
      <c r="A221" t="s">
        <v>11115</v>
      </c>
      <c r="B221" t="s">
        <v>11066</v>
      </c>
      <c r="C221" t="s">
        <v>11124</v>
      </c>
      <c r="D221" t="s">
        <v>11123</v>
      </c>
      <c r="E221" s="208">
        <v>1.33</v>
      </c>
      <c r="F221" t="s">
        <v>11122</v>
      </c>
      <c r="G221" t="s">
        <v>640</v>
      </c>
      <c r="H221" s="271">
        <v>5079</v>
      </c>
    </row>
    <row r="222" spans="1:8" x14ac:dyDescent="0.25">
      <c r="A222" t="s">
        <v>11115</v>
      </c>
      <c r="B222" t="s">
        <v>11121</v>
      </c>
      <c r="C222" t="s">
        <v>11120</v>
      </c>
      <c r="D222" t="s">
        <v>4353</v>
      </c>
      <c r="E222" s="208">
        <v>6.67</v>
      </c>
      <c r="F222" t="s">
        <v>4354</v>
      </c>
      <c r="G222" t="s">
        <v>640</v>
      </c>
      <c r="H222" s="271">
        <v>5080</v>
      </c>
    </row>
    <row r="223" spans="1:8" x14ac:dyDescent="0.25">
      <c r="A223" t="s">
        <v>11115</v>
      </c>
      <c r="B223" t="s">
        <v>11119</v>
      </c>
      <c r="C223" t="s">
        <v>11118</v>
      </c>
      <c r="D223" t="s">
        <v>4375</v>
      </c>
      <c r="E223" s="208">
        <v>4.7699999999999996</v>
      </c>
      <c r="F223" t="s">
        <v>4376</v>
      </c>
      <c r="G223" t="s">
        <v>640</v>
      </c>
      <c r="H223" s="271">
        <v>5081</v>
      </c>
    </row>
    <row r="224" spans="1:8" x14ac:dyDescent="0.25">
      <c r="A224" t="s">
        <v>11115</v>
      </c>
      <c r="B224" t="s">
        <v>11117</v>
      </c>
      <c r="C224" t="s">
        <v>11116</v>
      </c>
      <c r="D224" t="s">
        <v>1005</v>
      </c>
      <c r="E224" s="208">
        <v>4.12</v>
      </c>
      <c r="F224" t="s">
        <v>1004</v>
      </c>
      <c r="G224" t="s">
        <v>640</v>
      </c>
      <c r="H224" s="271">
        <v>5082</v>
      </c>
    </row>
    <row r="225" spans="1:18" x14ac:dyDescent="0.25">
      <c r="A225" t="s">
        <v>11115</v>
      </c>
      <c r="B225" t="s">
        <v>11114</v>
      </c>
      <c r="C225" t="s">
        <v>11113</v>
      </c>
      <c r="D225" t="s">
        <v>2853</v>
      </c>
      <c r="E225" s="208">
        <v>11.61</v>
      </c>
      <c r="F225" t="s">
        <v>2854</v>
      </c>
      <c r="G225" t="s">
        <v>640</v>
      </c>
      <c r="H225" s="271">
        <v>5095</v>
      </c>
    </row>
    <row r="226" spans="1:18" x14ac:dyDescent="0.25">
      <c r="C226" s="210" t="s">
        <v>3578</v>
      </c>
      <c r="D226" s="210"/>
      <c r="E226" s="209">
        <f>SUM(E220:E225)</f>
        <v>58.800000000000004</v>
      </c>
    </row>
    <row r="227" spans="1:18" x14ac:dyDescent="0.25">
      <c r="A227" t="s">
        <v>11023</v>
      </c>
      <c r="B227" t="s">
        <v>11074</v>
      </c>
      <c r="C227" t="s">
        <v>11073</v>
      </c>
      <c r="D227" t="s">
        <v>5718</v>
      </c>
      <c r="E227" s="208">
        <v>1.95</v>
      </c>
      <c r="F227" t="s">
        <v>5719</v>
      </c>
      <c r="G227" t="s">
        <v>640</v>
      </c>
      <c r="H227" s="271">
        <v>5232</v>
      </c>
    </row>
    <row r="228" spans="1:18" x14ac:dyDescent="0.25">
      <c r="A228" t="s">
        <v>11023</v>
      </c>
      <c r="B228" t="s">
        <v>11072</v>
      </c>
      <c r="C228" t="s">
        <v>11071</v>
      </c>
      <c r="D228" t="s">
        <v>4234</v>
      </c>
      <c r="E228" s="208">
        <v>13.66</v>
      </c>
      <c r="F228" t="s">
        <v>4235</v>
      </c>
      <c r="G228" t="s">
        <v>640</v>
      </c>
      <c r="H228" s="271">
        <v>5233</v>
      </c>
      <c r="K228" t="s">
        <v>10973</v>
      </c>
      <c r="L228" t="s">
        <v>11020</v>
      </c>
      <c r="M228" t="s">
        <v>11019</v>
      </c>
      <c r="N228" t="s">
        <v>892</v>
      </c>
      <c r="O228" s="208">
        <v>4.3099999999999996</v>
      </c>
      <c r="P228" t="s">
        <v>1302</v>
      </c>
      <c r="Q228" t="s">
        <v>640</v>
      </c>
      <c r="R228">
        <v>5277</v>
      </c>
    </row>
    <row r="229" spans="1:18" x14ac:dyDescent="0.25">
      <c r="A229" t="s">
        <v>11023</v>
      </c>
      <c r="B229" t="s">
        <v>11070</v>
      </c>
      <c r="C229" t="s">
        <v>11069</v>
      </c>
      <c r="D229" t="s">
        <v>753</v>
      </c>
      <c r="E229" s="208">
        <v>4.6500000000000004</v>
      </c>
      <c r="F229" t="s">
        <v>752</v>
      </c>
      <c r="G229" t="s">
        <v>640</v>
      </c>
      <c r="H229" s="271">
        <v>5234</v>
      </c>
      <c r="K229" t="s">
        <v>10973</v>
      </c>
      <c r="L229" t="s">
        <v>11018</v>
      </c>
      <c r="M229" t="s">
        <v>11017</v>
      </c>
      <c r="N229" t="s">
        <v>3981</v>
      </c>
      <c r="O229" s="208">
        <v>5.43</v>
      </c>
      <c r="P229" t="s">
        <v>3982</v>
      </c>
      <c r="Q229" t="s">
        <v>640</v>
      </c>
      <c r="R229">
        <v>5278</v>
      </c>
    </row>
    <row r="230" spans="1:18" x14ac:dyDescent="0.25">
      <c r="A230" t="s">
        <v>11023</v>
      </c>
      <c r="B230" t="s">
        <v>11068</v>
      </c>
      <c r="C230" t="s">
        <v>11067</v>
      </c>
      <c r="D230" t="s">
        <v>10988</v>
      </c>
      <c r="E230" s="208">
        <v>5.04</v>
      </c>
      <c r="F230" t="s">
        <v>10987</v>
      </c>
      <c r="G230" t="s">
        <v>640</v>
      </c>
      <c r="H230" s="271">
        <v>5235</v>
      </c>
      <c r="K230" t="s">
        <v>10973</v>
      </c>
      <c r="L230" t="s">
        <v>11016</v>
      </c>
      <c r="M230" t="s">
        <v>11015</v>
      </c>
      <c r="N230" t="s">
        <v>11014</v>
      </c>
      <c r="O230" s="208">
        <v>5.04</v>
      </c>
      <c r="P230" t="s">
        <v>11013</v>
      </c>
      <c r="Q230" t="s">
        <v>640</v>
      </c>
      <c r="R230">
        <v>5279</v>
      </c>
    </row>
    <row r="231" spans="1:18" x14ac:dyDescent="0.25">
      <c r="A231" t="s">
        <v>11023</v>
      </c>
      <c r="B231" t="s">
        <v>11066</v>
      </c>
      <c r="C231" t="s">
        <v>11065</v>
      </c>
      <c r="D231" t="s">
        <v>786</v>
      </c>
      <c r="E231" s="208">
        <v>2.41</v>
      </c>
      <c r="F231" t="s">
        <v>785</v>
      </c>
      <c r="G231" t="s">
        <v>640</v>
      </c>
      <c r="H231" s="271">
        <v>5236</v>
      </c>
      <c r="K231" t="s">
        <v>10973</v>
      </c>
      <c r="L231" t="s">
        <v>11012</v>
      </c>
      <c r="M231" t="s">
        <v>11011</v>
      </c>
      <c r="N231" t="s">
        <v>10610</v>
      </c>
      <c r="O231" s="208">
        <v>3.6</v>
      </c>
      <c r="P231" t="s">
        <v>10609</v>
      </c>
      <c r="Q231" t="s">
        <v>640</v>
      </c>
      <c r="R231">
        <v>5280</v>
      </c>
    </row>
    <row r="232" spans="1:18" x14ac:dyDescent="0.25">
      <c r="A232" t="s">
        <v>11023</v>
      </c>
      <c r="B232" t="s">
        <v>11064</v>
      </c>
      <c r="C232" t="s">
        <v>11063</v>
      </c>
      <c r="D232" t="s">
        <v>787</v>
      </c>
      <c r="E232" s="208">
        <v>5.86</v>
      </c>
      <c r="F232" t="s">
        <v>785</v>
      </c>
      <c r="G232" t="s">
        <v>640</v>
      </c>
      <c r="H232" s="271">
        <v>5237</v>
      </c>
      <c r="K232" t="s">
        <v>10973</v>
      </c>
      <c r="L232" t="s">
        <v>11010</v>
      </c>
      <c r="M232" t="s">
        <v>11009</v>
      </c>
      <c r="N232" t="s">
        <v>832</v>
      </c>
      <c r="O232" s="208">
        <v>4.72</v>
      </c>
      <c r="P232" t="s">
        <v>831</v>
      </c>
      <c r="Q232" t="s">
        <v>640</v>
      </c>
      <c r="R232">
        <v>5281</v>
      </c>
    </row>
    <row r="233" spans="1:18" x14ac:dyDescent="0.25">
      <c r="A233" t="s">
        <v>11023</v>
      </c>
      <c r="B233" t="s">
        <v>11062</v>
      </c>
      <c r="C233" t="s">
        <v>11061</v>
      </c>
      <c r="D233" t="s">
        <v>11060</v>
      </c>
      <c r="E233" s="208">
        <v>26.28</v>
      </c>
      <c r="F233" t="s">
        <v>11059</v>
      </c>
      <c r="G233" t="s">
        <v>640</v>
      </c>
      <c r="H233" s="271">
        <v>5238</v>
      </c>
      <c r="K233" t="s">
        <v>10973</v>
      </c>
      <c r="L233" t="s">
        <v>11008</v>
      </c>
      <c r="M233" t="s">
        <v>11007</v>
      </c>
      <c r="N233" t="s">
        <v>1580</v>
      </c>
      <c r="O233" s="208">
        <v>12.89</v>
      </c>
      <c r="P233" t="s">
        <v>1581</v>
      </c>
      <c r="Q233" t="s">
        <v>640</v>
      </c>
      <c r="R233">
        <v>5282</v>
      </c>
    </row>
    <row r="234" spans="1:18" x14ac:dyDescent="0.25">
      <c r="A234" t="s">
        <v>11023</v>
      </c>
      <c r="B234" t="s">
        <v>11058</v>
      </c>
      <c r="C234" t="s">
        <v>11057</v>
      </c>
      <c r="D234" t="s">
        <v>894</v>
      </c>
      <c r="E234" s="208">
        <v>10.95</v>
      </c>
      <c r="F234" t="s">
        <v>893</v>
      </c>
      <c r="G234" t="s">
        <v>640</v>
      </c>
      <c r="H234" s="271">
        <v>5239</v>
      </c>
      <c r="K234" t="s">
        <v>10973</v>
      </c>
      <c r="L234" t="s">
        <v>11006</v>
      </c>
      <c r="M234" t="s">
        <v>11005</v>
      </c>
      <c r="N234" t="s">
        <v>11004</v>
      </c>
      <c r="O234" s="208">
        <v>62.46</v>
      </c>
      <c r="P234" t="s">
        <v>11003</v>
      </c>
      <c r="Q234" t="s">
        <v>640</v>
      </c>
      <c r="R234">
        <v>5283</v>
      </c>
    </row>
    <row r="235" spans="1:18" x14ac:dyDescent="0.25">
      <c r="A235" t="s">
        <v>11023</v>
      </c>
      <c r="B235" t="s">
        <v>11056</v>
      </c>
      <c r="C235" t="s">
        <v>11055</v>
      </c>
      <c r="D235" t="s">
        <v>11054</v>
      </c>
      <c r="E235" s="208">
        <v>17.36</v>
      </c>
      <c r="F235" t="s">
        <v>11053</v>
      </c>
      <c r="G235" t="s">
        <v>640</v>
      </c>
      <c r="H235" s="271">
        <v>5240</v>
      </c>
      <c r="K235" t="s">
        <v>10973</v>
      </c>
      <c r="L235" t="s">
        <v>11002</v>
      </c>
      <c r="M235" t="s">
        <v>11001</v>
      </c>
      <c r="N235" t="s">
        <v>11000</v>
      </c>
      <c r="O235" s="208">
        <v>7.28</v>
      </c>
      <c r="P235" t="s">
        <v>10999</v>
      </c>
      <c r="Q235" t="s">
        <v>640</v>
      </c>
      <c r="R235">
        <v>5284</v>
      </c>
    </row>
    <row r="236" spans="1:18" x14ac:dyDescent="0.25">
      <c r="A236" t="s">
        <v>11023</v>
      </c>
      <c r="B236" t="s">
        <v>11052</v>
      </c>
      <c r="C236" t="s">
        <v>11051</v>
      </c>
      <c r="D236" t="s">
        <v>11050</v>
      </c>
      <c r="E236" s="208">
        <v>37.15</v>
      </c>
      <c r="F236" t="s">
        <v>11049</v>
      </c>
      <c r="G236" t="s">
        <v>640</v>
      </c>
      <c r="H236" s="271">
        <v>5241</v>
      </c>
      <c r="K236" t="s">
        <v>10973</v>
      </c>
      <c r="L236" t="s">
        <v>10998</v>
      </c>
      <c r="M236" t="s">
        <v>10997</v>
      </c>
      <c r="N236" t="s">
        <v>1456</v>
      </c>
      <c r="O236" s="208">
        <v>1.72</v>
      </c>
      <c r="P236" t="s">
        <v>1455</v>
      </c>
      <c r="Q236" t="s">
        <v>640</v>
      </c>
      <c r="R236">
        <v>5285</v>
      </c>
    </row>
    <row r="237" spans="1:18" x14ac:dyDescent="0.25">
      <c r="A237" t="s">
        <v>11023</v>
      </c>
      <c r="B237" t="s">
        <v>11048</v>
      </c>
      <c r="C237" t="s">
        <v>11047</v>
      </c>
      <c r="D237" t="s">
        <v>11046</v>
      </c>
      <c r="E237" s="208">
        <v>8.69</v>
      </c>
      <c r="F237" t="s">
        <v>11045</v>
      </c>
      <c r="G237" t="s">
        <v>640</v>
      </c>
      <c r="H237" s="271">
        <v>5242</v>
      </c>
      <c r="K237" t="s">
        <v>10973</v>
      </c>
      <c r="L237" t="s">
        <v>10996</v>
      </c>
      <c r="M237" t="s">
        <v>10995</v>
      </c>
      <c r="N237" t="s">
        <v>989</v>
      </c>
      <c r="O237" s="208">
        <v>6.15</v>
      </c>
      <c r="P237" t="s">
        <v>988</v>
      </c>
      <c r="Q237" t="s">
        <v>640</v>
      </c>
      <c r="R237">
        <v>5286</v>
      </c>
    </row>
    <row r="238" spans="1:18" x14ac:dyDescent="0.25">
      <c r="A238" t="s">
        <v>11023</v>
      </c>
      <c r="B238" t="s">
        <v>11044</v>
      </c>
      <c r="C238" t="s">
        <v>11043</v>
      </c>
      <c r="D238" t="s">
        <v>5333</v>
      </c>
      <c r="E238" s="208">
        <v>30.6</v>
      </c>
      <c r="F238" t="s">
        <v>5334</v>
      </c>
      <c r="G238" t="s">
        <v>640</v>
      </c>
      <c r="H238" s="271">
        <v>5243</v>
      </c>
      <c r="K238" t="s">
        <v>10973</v>
      </c>
      <c r="L238" t="s">
        <v>10994</v>
      </c>
      <c r="M238" t="s">
        <v>10993</v>
      </c>
      <c r="N238" t="s">
        <v>1289</v>
      </c>
      <c r="O238" s="208">
        <v>17.91</v>
      </c>
      <c r="P238" t="s">
        <v>1288</v>
      </c>
      <c r="Q238" t="s">
        <v>640</v>
      </c>
      <c r="R238">
        <v>5287</v>
      </c>
    </row>
    <row r="239" spans="1:18" x14ac:dyDescent="0.25">
      <c r="A239" t="s">
        <v>11023</v>
      </c>
      <c r="B239" t="s">
        <v>11042</v>
      </c>
      <c r="C239" t="s">
        <v>11041</v>
      </c>
      <c r="D239" t="s">
        <v>687</v>
      </c>
      <c r="E239" s="208">
        <v>3.36</v>
      </c>
      <c r="F239" t="s">
        <v>686</v>
      </c>
      <c r="G239" t="s">
        <v>640</v>
      </c>
      <c r="H239" s="271">
        <v>5244</v>
      </c>
      <c r="K239" t="s">
        <v>10973</v>
      </c>
      <c r="L239" t="s">
        <v>10992</v>
      </c>
      <c r="M239" t="s">
        <v>10991</v>
      </c>
      <c r="N239" t="s">
        <v>1281</v>
      </c>
      <c r="O239" s="208">
        <v>3.54</v>
      </c>
      <c r="P239" t="s">
        <v>1280</v>
      </c>
      <c r="Q239" t="s">
        <v>640</v>
      </c>
      <c r="R239">
        <v>5288</v>
      </c>
    </row>
    <row r="240" spans="1:18" x14ac:dyDescent="0.25">
      <c r="A240" t="s">
        <v>11023</v>
      </c>
      <c r="B240" t="s">
        <v>11040</v>
      </c>
      <c r="C240" t="s">
        <v>11039</v>
      </c>
      <c r="D240" t="s">
        <v>4143</v>
      </c>
      <c r="E240" s="208">
        <v>3.5</v>
      </c>
      <c r="F240" t="s">
        <v>4140</v>
      </c>
      <c r="G240" t="s">
        <v>640</v>
      </c>
      <c r="H240" s="271">
        <v>5246</v>
      </c>
      <c r="K240" t="s">
        <v>10973</v>
      </c>
      <c r="L240" t="s">
        <v>10990</v>
      </c>
      <c r="M240" t="s">
        <v>10989</v>
      </c>
      <c r="N240" t="s">
        <v>10988</v>
      </c>
      <c r="O240" s="208">
        <v>5.04</v>
      </c>
      <c r="P240" t="s">
        <v>10987</v>
      </c>
      <c r="Q240" t="s">
        <v>640</v>
      </c>
      <c r="R240" t="s">
        <v>10986</v>
      </c>
    </row>
    <row r="241" spans="1:18" x14ac:dyDescent="0.25">
      <c r="A241" t="s">
        <v>11023</v>
      </c>
      <c r="B241" t="s">
        <v>11038</v>
      </c>
      <c r="C241" t="s">
        <v>11037</v>
      </c>
      <c r="D241" t="s">
        <v>4139</v>
      </c>
      <c r="E241" s="208">
        <v>3.6</v>
      </c>
      <c r="F241" t="s">
        <v>4140</v>
      </c>
      <c r="G241" t="s">
        <v>640</v>
      </c>
      <c r="H241" s="271">
        <v>5245</v>
      </c>
      <c r="K241" t="s">
        <v>10973</v>
      </c>
      <c r="L241" t="s">
        <v>10985</v>
      </c>
      <c r="M241" t="s">
        <v>10984</v>
      </c>
      <c r="N241" t="s">
        <v>922</v>
      </c>
      <c r="O241" s="208">
        <v>8.3800000000000008</v>
      </c>
      <c r="P241" t="s">
        <v>921</v>
      </c>
      <c r="Q241" t="s">
        <v>640</v>
      </c>
      <c r="R241">
        <v>5289</v>
      </c>
    </row>
    <row r="242" spans="1:18" x14ac:dyDescent="0.25">
      <c r="A242" t="s">
        <v>11023</v>
      </c>
      <c r="B242" t="s">
        <v>11036</v>
      </c>
      <c r="C242" t="s">
        <v>11035</v>
      </c>
      <c r="D242" t="s">
        <v>5722</v>
      </c>
      <c r="E242" s="208">
        <v>2.46</v>
      </c>
      <c r="F242" t="s">
        <v>5723</v>
      </c>
      <c r="G242" t="s">
        <v>640</v>
      </c>
      <c r="H242" s="271">
        <v>5247</v>
      </c>
      <c r="K242" t="s">
        <v>10973</v>
      </c>
      <c r="L242" t="s">
        <v>10983</v>
      </c>
      <c r="M242" t="s">
        <v>10982</v>
      </c>
      <c r="N242" t="s">
        <v>970</v>
      </c>
      <c r="O242" s="208">
        <v>8.3800000000000008</v>
      </c>
      <c r="P242" t="s">
        <v>969</v>
      </c>
      <c r="Q242" t="s">
        <v>640</v>
      </c>
      <c r="R242">
        <v>5290</v>
      </c>
    </row>
    <row r="243" spans="1:18" x14ac:dyDescent="0.25">
      <c r="A243" t="s">
        <v>11023</v>
      </c>
      <c r="B243" t="s">
        <v>11034</v>
      </c>
      <c r="C243" t="s">
        <v>11033</v>
      </c>
      <c r="D243" t="s">
        <v>4460</v>
      </c>
      <c r="E243" s="208">
        <v>3.47</v>
      </c>
      <c r="F243" t="s">
        <v>4461</v>
      </c>
      <c r="G243" t="s">
        <v>640</v>
      </c>
      <c r="H243" s="271">
        <v>5248</v>
      </c>
      <c r="K243" t="s">
        <v>10973</v>
      </c>
      <c r="L243" t="s">
        <v>10981</v>
      </c>
      <c r="M243" t="s">
        <v>10980</v>
      </c>
      <c r="N243" t="s">
        <v>4241</v>
      </c>
      <c r="O243" s="208">
        <v>7.18</v>
      </c>
      <c r="P243" t="s">
        <v>4242</v>
      </c>
      <c r="Q243" t="s">
        <v>640</v>
      </c>
      <c r="R243">
        <v>5291</v>
      </c>
    </row>
    <row r="244" spans="1:18" x14ac:dyDescent="0.25">
      <c r="A244" t="s">
        <v>11023</v>
      </c>
      <c r="B244" t="s">
        <v>11032</v>
      </c>
      <c r="C244" t="s">
        <v>11031</v>
      </c>
      <c r="D244" t="s">
        <v>794</v>
      </c>
      <c r="E244" s="208">
        <v>16.760000000000002</v>
      </c>
      <c r="F244" t="s">
        <v>793</v>
      </c>
      <c r="G244" t="s">
        <v>640</v>
      </c>
      <c r="H244" s="271">
        <v>5249</v>
      </c>
      <c r="K244" t="s">
        <v>10973</v>
      </c>
      <c r="L244" t="s">
        <v>10979</v>
      </c>
      <c r="M244" t="s">
        <v>10978</v>
      </c>
      <c r="N244" t="s">
        <v>4083</v>
      </c>
      <c r="O244" s="208">
        <v>3.91</v>
      </c>
      <c r="P244" t="s">
        <v>4084</v>
      </c>
      <c r="Q244" t="s">
        <v>640</v>
      </c>
      <c r="R244">
        <v>5292</v>
      </c>
    </row>
    <row r="245" spans="1:18" x14ac:dyDescent="0.25">
      <c r="A245" t="s">
        <v>11023</v>
      </c>
      <c r="B245" t="s">
        <v>11030</v>
      </c>
      <c r="C245" t="s">
        <v>11029</v>
      </c>
      <c r="D245" t="s">
        <v>11028</v>
      </c>
      <c r="E245" s="208">
        <v>3.49</v>
      </c>
      <c r="F245" t="s">
        <v>11027</v>
      </c>
      <c r="G245" t="s">
        <v>640</v>
      </c>
      <c r="H245" s="271" t="s">
        <v>11026</v>
      </c>
      <c r="K245" t="s">
        <v>10973</v>
      </c>
      <c r="L245" t="s">
        <v>10977</v>
      </c>
      <c r="M245" t="s">
        <v>10976</v>
      </c>
      <c r="N245" t="s">
        <v>974</v>
      </c>
      <c r="O245" s="208">
        <v>4.8600000000000003</v>
      </c>
      <c r="P245" t="s">
        <v>973</v>
      </c>
      <c r="Q245" t="s">
        <v>640</v>
      </c>
      <c r="R245">
        <v>5293</v>
      </c>
    </row>
    <row r="246" spans="1:18" x14ac:dyDescent="0.25">
      <c r="A246" t="s">
        <v>11023</v>
      </c>
      <c r="B246" t="s">
        <v>11025</v>
      </c>
      <c r="C246" t="s">
        <v>11024</v>
      </c>
      <c r="D246" t="s">
        <v>3629</v>
      </c>
      <c r="E246" s="208">
        <v>6.63</v>
      </c>
      <c r="F246" t="s">
        <v>3630</v>
      </c>
      <c r="G246" t="s">
        <v>640</v>
      </c>
      <c r="H246" s="271">
        <v>5251</v>
      </c>
      <c r="K246" t="s">
        <v>10973</v>
      </c>
      <c r="L246" t="s">
        <v>10975</v>
      </c>
      <c r="M246" t="s">
        <v>10974</v>
      </c>
      <c r="N246" t="s">
        <v>4026</v>
      </c>
      <c r="O246" s="208">
        <v>5.36</v>
      </c>
      <c r="P246" t="s">
        <v>4027</v>
      </c>
      <c r="Q246" t="s">
        <v>640</v>
      </c>
      <c r="R246">
        <v>5294</v>
      </c>
    </row>
    <row r="247" spans="1:18" x14ac:dyDescent="0.25">
      <c r="A247" t="s">
        <v>11023</v>
      </c>
      <c r="B247" t="s">
        <v>11022</v>
      </c>
      <c r="C247" t="s">
        <v>11021</v>
      </c>
      <c r="D247" t="s">
        <v>4173</v>
      </c>
      <c r="E247" s="208">
        <v>3.27</v>
      </c>
      <c r="F247" t="s">
        <v>4174</v>
      </c>
      <c r="G247" t="s">
        <v>640</v>
      </c>
      <c r="H247" s="271">
        <v>5252</v>
      </c>
      <c r="K247" t="s">
        <v>10973</v>
      </c>
      <c r="L247" t="s">
        <v>10972</v>
      </c>
      <c r="M247" t="s">
        <v>10971</v>
      </c>
      <c r="N247" t="s">
        <v>1154</v>
      </c>
      <c r="O247" s="208">
        <v>14.99</v>
      </c>
      <c r="P247" t="s">
        <v>1153</v>
      </c>
      <c r="Q247" t="s">
        <v>640</v>
      </c>
      <c r="R247">
        <v>5295</v>
      </c>
    </row>
    <row r="248" spans="1:18" x14ac:dyDescent="0.25">
      <c r="C248" s="210" t="s">
        <v>3578</v>
      </c>
      <c r="D248" s="210"/>
      <c r="E248" s="209">
        <f>SUM(E227:E247)</f>
        <v>211.14000000000001</v>
      </c>
      <c r="M248" s="210" t="s">
        <v>3738</v>
      </c>
      <c r="N248" s="210"/>
      <c r="O248" s="209">
        <f>SUM(O228:O247)</f>
        <v>193.15</v>
      </c>
    </row>
    <row r="249" spans="1:18" x14ac:dyDescent="0.25">
      <c r="A249" t="s">
        <v>10907</v>
      </c>
      <c r="B249" t="s">
        <v>10970</v>
      </c>
      <c r="C249" t="s">
        <v>10969</v>
      </c>
      <c r="D249" t="s">
        <v>915</v>
      </c>
      <c r="E249" s="208">
        <v>5.4</v>
      </c>
      <c r="F249" t="s">
        <v>914</v>
      </c>
      <c r="G249" t="s">
        <v>640</v>
      </c>
      <c r="H249" s="271">
        <v>5336</v>
      </c>
    </row>
    <row r="250" spans="1:18" x14ac:dyDescent="0.25">
      <c r="A250" t="s">
        <v>10907</v>
      </c>
      <c r="B250" t="s">
        <v>10968</v>
      </c>
      <c r="C250" t="s">
        <v>10967</v>
      </c>
      <c r="D250" t="s">
        <v>842</v>
      </c>
      <c r="E250" s="208">
        <v>5.91</v>
      </c>
      <c r="F250" t="s">
        <v>841</v>
      </c>
      <c r="G250" t="s">
        <v>640</v>
      </c>
      <c r="H250" s="271">
        <v>5337</v>
      </c>
    </row>
    <row r="251" spans="1:18" x14ac:dyDescent="0.25">
      <c r="A251" t="s">
        <v>10907</v>
      </c>
      <c r="B251" t="s">
        <v>10966</v>
      </c>
      <c r="C251" t="s">
        <v>10965</v>
      </c>
      <c r="D251" t="s">
        <v>5636</v>
      </c>
      <c r="E251" s="208">
        <v>1.68</v>
      </c>
      <c r="F251" t="s">
        <v>5637</v>
      </c>
      <c r="G251" t="s">
        <v>640</v>
      </c>
      <c r="H251" s="271">
        <v>5338</v>
      </c>
    </row>
    <row r="252" spans="1:18" x14ac:dyDescent="0.25">
      <c r="A252" t="s">
        <v>10907</v>
      </c>
      <c r="B252" t="s">
        <v>10964</v>
      </c>
      <c r="C252" t="s">
        <v>10963</v>
      </c>
      <c r="D252" t="s">
        <v>4190</v>
      </c>
      <c r="E252" s="208">
        <v>7.43</v>
      </c>
      <c r="F252" t="s">
        <v>4191</v>
      </c>
      <c r="G252" t="s">
        <v>640</v>
      </c>
      <c r="H252" s="271">
        <v>5339</v>
      </c>
    </row>
    <row r="253" spans="1:18" x14ac:dyDescent="0.25">
      <c r="A253" t="s">
        <v>10907</v>
      </c>
      <c r="B253" t="s">
        <v>10962</v>
      </c>
      <c r="C253" t="s">
        <v>10961</v>
      </c>
      <c r="D253" t="s">
        <v>1329</v>
      </c>
      <c r="E253" s="208">
        <v>3.05</v>
      </c>
      <c r="F253" t="s">
        <v>1328</v>
      </c>
      <c r="G253" t="s">
        <v>640</v>
      </c>
      <c r="H253" s="271">
        <v>5340</v>
      </c>
    </row>
    <row r="254" spans="1:18" x14ac:dyDescent="0.25">
      <c r="A254" t="s">
        <v>10907</v>
      </c>
      <c r="B254" t="s">
        <v>10960</v>
      </c>
      <c r="C254" t="s">
        <v>10959</v>
      </c>
      <c r="D254" t="s">
        <v>10958</v>
      </c>
      <c r="E254" s="208">
        <v>5.49</v>
      </c>
      <c r="F254" t="s">
        <v>10957</v>
      </c>
      <c r="G254" t="s">
        <v>640</v>
      </c>
      <c r="H254" s="271">
        <v>5341</v>
      </c>
    </row>
    <row r="255" spans="1:18" x14ac:dyDescent="0.25">
      <c r="A255" t="s">
        <v>10907</v>
      </c>
      <c r="B255" t="s">
        <v>10900</v>
      </c>
      <c r="C255" t="s">
        <v>10956</v>
      </c>
      <c r="D255" t="s">
        <v>5239</v>
      </c>
      <c r="E255" s="208">
        <v>1.95</v>
      </c>
      <c r="F255" t="s">
        <v>5240</v>
      </c>
      <c r="G255" t="s">
        <v>640</v>
      </c>
      <c r="H255" s="271">
        <v>5342</v>
      </c>
    </row>
    <row r="256" spans="1:18" x14ac:dyDescent="0.25">
      <c r="A256" t="s">
        <v>10907</v>
      </c>
      <c r="B256" t="s">
        <v>10955</v>
      </c>
      <c r="C256" t="s">
        <v>10954</v>
      </c>
      <c r="D256" t="s">
        <v>4546</v>
      </c>
      <c r="E256" s="208">
        <v>3.39</v>
      </c>
      <c r="F256" t="s">
        <v>4547</v>
      </c>
      <c r="G256" t="s">
        <v>640</v>
      </c>
      <c r="H256" s="271">
        <v>5343</v>
      </c>
    </row>
    <row r="257" spans="1:8" x14ac:dyDescent="0.25">
      <c r="A257" t="s">
        <v>10907</v>
      </c>
      <c r="B257" t="s">
        <v>10953</v>
      </c>
      <c r="C257" t="s">
        <v>10952</v>
      </c>
      <c r="D257" t="s">
        <v>10951</v>
      </c>
      <c r="E257" s="208">
        <v>8.5299999999999994</v>
      </c>
      <c r="F257" t="s">
        <v>10950</v>
      </c>
      <c r="G257" t="s">
        <v>640</v>
      </c>
      <c r="H257" s="271">
        <v>5344</v>
      </c>
    </row>
    <row r="258" spans="1:8" x14ac:dyDescent="0.25">
      <c r="A258" t="s">
        <v>10907</v>
      </c>
      <c r="B258" t="s">
        <v>10949</v>
      </c>
      <c r="C258" t="s">
        <v>10948</v>
      </c>
      <c r="D258" t="s">
        <v>1405</v>
      </c>
      <c r="E258" s="208">
        <v>5.28</v>
      </c>
      <c r="F258" t="s">
        <v>1404</v>
      </c>
      <c r="G258" t="s">
        <v>640</v>
      </c>
      <c r="H258" s="271">
        <v>5345</v>
      </c>
    </row>
    <row r="259" spans="1:8" x14ac:dyDescent="0.25">
      <c r="A259" t="s">
        <v>10907</v>
      </c>
      <c r="B259" t="s">
        <v>10947</v>
      </c>
      <c r="C259" t="s">
        <v>10946</v>
      </c>
      <c r="D259" t="s">
        <v>936</v>
      </c>
      <c r="E259" s="208">
        <v>2.2599999999999998</v>
      </c>
      <c r="F259" t="s">
        <v>935</v>
      </c>
      <c r="G259" t="s">
        <v>640</v>
      </c>
      <c r="H259" s="271">
        <v>5346</v>
      </c>
    </row>
    <row r="260" spans="1:8" x14ac:dyDescent="0.25">
      <c r="A260" t="s">
        <v>10907</v>
      </c>
      <c r="B260" t="s">
        <v>10945</v>
      </c>
      <c r="C260" t="s">
        <v>10944</v>
      </c>
      <c r="D260" t="s">
        <v>3659</v>
      </c>
      <c r="E260" s="208">
        <v>2.36</v>
      </c>
      <c r="F260" t="s">
        <v>3660</v>
      </c>
      <c r="G260" t="s">
        <v>640</v>
      </c>
      <c r="H260" s="271">
        <v>5347</v>
      </c>
    </row>
    <row r="261" spans="1:8" x14ac:dyDescent="0.25">
      <c r="A261" t="s">
        <v>10907</v>
      </c>
      <c r="B261" t="s">
        <v>10943</v>
      </c>
      <c r="C261" t="s">
        <v>10942</v>
      </c>
      <c r="D261" t="s">
        <v>3583</v>
      </c>
      <c r="E261" s="208">
        <v>11.24</v>
      </c>
      <c r="F261" t="s">
        <v>3584</v>
      </c>
      <c r="G261" t="s">
        <v>640</v>
      </c>
      <c r="H261" s="271">
        <v>5348</v>
      </c>
    </row>
    <row r="262" spans="1:8" x14ac:dyDescent="0.25">
      <c r="A262" t="s">
        <v>10907</v>
      </c>
      <c r="B262" t="s">
        <v>10941</v>
      </c>
      <c r="C262" t="s">
        <v>10940</v>
      </c>
      <c r="D262" t="s">
        <v>3484</v>
      </c>
      <c r="E262" s="208">
        <v>7.45</v>
      </c>
      <c r="F262" t="s">
        <v>3485</v>
      </c>
      <c r="G262" t="s">
        <v>640</v>
      </c>
      <c r="H262" s="271">
        <v>5349</v>
      </c>
    </row>
    <row r="263" spans="1:8" x14ac:dyDescent="0.25">
      <c r="A263" t="s">
        <v>10907</v>
      </c>
      <c r="B263" t="s">
        <v>10939</v>
      </c>
      <c r="C263" t="s">
        <v>10938</v>
      </c>
      <c r="D263" t="s">
        <v>849</v>
      </c>
      <c r="E263" s="208">
        <v>29.56</v>
      </c>
      <c r="F263" t="s">
        <v>848</v>
      </c>
      <c r="G263" t="s">
        <v>640</v>
      </c>
      <c r="H263" s="271">
        <v>5350</v>
      </c>
    </row>
    <row r="264" spans="1:8" x14ac:dyDescent="0.25">
      <c r="A264" t="s">
        <v>10907</v>
      </c>
      <c r="B264" t="s">
        <v>10937</v>
      </c>
      <c r="C264" t="s">
        <v>10936</v>
      </c>
      <c r="D264" t="s">
        <v>1235</v>
      </c>
      <c r="E264" s="208">
        <v>1.78</v>
      </c>
      <c r="F264" t="s">
        <v>1234</v>
      </c>
      <c r="G264" t="s">
        <v>640</v>
      </c>
      <c r="H264" s="271">
        <v>5351</v>
      </c>
    </row>
    <row r="265" spans="1:8" x14ac:dyDescent="0.25">
      <c r="A265" t="s">
        <v>10907</v>
      </c>
      <c r="B265" t="s">
        <v>10935</v>
      </c>
      <c r="C265" t="s">
        <v>10934</v>
      </c>
      <c r="D265" t="s">
        <v>886</v>
      </c>
      <c r="E265" s="208">
        <v>5.71</v>
      </c>
      <c r="F265" t="s">
        <v>884</v>
      </c>
      <c r="G265" t="s">
        <v>640</v>
      </c>
      <c r="H265" s="271">
        <v>5353</v>
      </c>
    </row>
    <row r="266" spans="1:8" x14ac:dyDescent="0.25">
      <c r="A266" t="s">
        <v>10907</v>
      </c>
      <c r="B266" t="s">
        <v>10933</v>
      </c>
      <c r="C266" t="s">
        <v>10932</v>
      </c>
      <c r="D266" t="s">
        <v>885</v>
      </c>
      <c r="E266" s="208">
        <v>3.78</v>
      </c>
      <c r="F266" t="s">
        <v>884</v>
      </c>
      <c r="G266" t="s">
        <v>640</v>
      </c>
      <c r="H266" s="271">
        <v>5352</v>
      </c>
    </row>
    <row r="267" spans="1:8" x14ac:dyDescent="0.25">
      <c r="A267" t="s">
        <v>10907</v>
      </c>
      <c r="B267" t="s">
        <v>10931</v>
      </c>
      <c r="C267" t="s">
        <v>10930</v>
      </c>
      <c r="D267" t="s">
        <v>10929</v>
      </c>
      <c r="E267" s="208">
        <v>0.48</v>
      </c>
      <c r="F267" t="s">
        <v>10928</v>
      </c>
      <c r="G267" t="s">
        <v>640</v>
      </c>
      <c r="H267" s="271">
        <v>5354</v>
      </c>
    </row>
    <row r="268" spans="1:8" x14ac:dyDescent="0.25">
      <c r="A268" t="s">
        <v>10907</v>
      </c>
      <c r="B268" t="s">
        <v>10927</v>
      </c>
      <c r="C268" t="s">
        <v>10926</v>
      </c>
      <c r="D268" t="s">
        <v>10925</v>
      </c>
      <c r="E268" s="208">
        <v>0.23</v>
      </c>
      <c r="F268" t="s">
        <v>10924</v>
      </c>
      <c r="G268" t="s">
        <v>640</v>
      </c>
      <c r="H268" s="271">
        <v>5371</v>
      </c>
    </row>
    <row r="269" spans="1:8" x14ac:dyDescent="0.25">
      <c r="A269" t="s">
        <v>10907</v>
      </c>
      <c r="B269" t="s">
        <v>10923</v>
      </c>
      <c r="C269" t="s">
        <v>10922</v>
      </c>
      <c r="D269" t="s">
        <v>10921</v>
      </c>
      <c r="E269" s="208">
        <v>16.899999999999999</v>
      </c>
      <c r="F269" t="s">
        <v>10920</v>
      </c>
      <c r="G269" t="s">
        <v>640</v>
      </c>
      <c r="H269" s="271">
        <v>5372</v>
      </c>
    </row>
    <row r="270" spans="1:8" x14ac:dyDescent="0.25">
      <c r="A270" t="s">
        <v>10907</v>
      </c>
      <c r="B270" t="s">
        <v>10919</v>
      </c>
      <c r="C270" t="s">
        <v>10918</v>
      </c>
      <c r="D270" t="s">
        <v>10917</v>
      </c>
      <c r="E270" s="208">
        <v>6.81</v>
      </c>
      <c r="F270" t="s">
        <v>10916</v>
      </c>
      <c r="G270" t="s">
        <v>640</v>
      </c>
      <c r="H270" s="271">
        <v>5373</v>
      </c>
    </row>
    <row r="271" spans="1:8" x14ac:dyDescent="0.25">
      <c r="A271" t="s">
        <v>10907</v>
      </c>
      <c r="B271" t="s">
        <v>10915</v>
      </c>
      <c r="C271" t="s">
        <v>10914</v>
      </c>
      <c r="D271" t="s">
        <v>3730</v>
      </c>
      <c r="E271" s="208">
        <v>1.68</v>
      </c>
      <c r="F271" t="s">
        <v>3731</v>
      </c>
      <c r="G271" t="s">
        <v>640</v>
      </c>
      <c r="H271" s="271">
        <v>5374</v>
      </c>
    </row>
    <row r="272" spans="1:8" x14ac:dyDescent="0.25">
      <c r="A272" t="s">
        <v>10907</v>
      </c>
      <c r="B272" t="s">
        <v>10913</v>
      </c>
      <c r="C272" t="s">
        <v>10912</v>
      </c>
      <c r="D272" t="s">
        <v>1160</v>
      </c>
      <c r="E272" s="208">
        <v>8.3800000000000008</v>
      </c>
      <c r="F272" t="s">
        <v>1159</v>
      </c>
      <c r="G272" t="s">
        <v>640</v>
      </c>
      <c r="H272" s="271">
        <v>5375</v>
      </c>
    </row>
    <row r="273" spans="1:8" x14ac:dyDescent="0.25">
      <c r="A273" t="s">
        <v>10907</v>
      </c>
      <c r="B273" t="s">
        <v>10911</v>
      </c>
      <c r="C273" t="s">
        <v>10910</v>
      </c>
      <c r="D273" t="s">
        <v>10909</v>
      </c>
      <c r="E273" s="208">
        <v>14.99</v>
      </c>
      <c r="F273" t="s">
        <v>10908</v>
      </c>
      <c r="G273" t="s">
        <v>640</v>
      </c>
      <c r="H273" s="271">
        <v>5376</v>
      </c>
    </row>
    <row r="274" spans="1:8" x14ac:dyDescent="0.25">
      <c r="A274" t="s">
        <v>10907</v>
      </c>
      <c r="B274" t="s">
        <v>10906</v>
      </c>
      <c r="C274" t="s">
        <v>10905</v>
      </c>
      <c r="D274" t="s">
        <v>10904</v>
      </c>
      <c r="E274" s="208">
        <v>0.99</v>
      </c>
      <c r="F274" t="s">
        <v>10903</v>
      </c>
      <c r="G274" t="s">
        <v>640</v>
      </c>
      <c r="H274" s="271">
        <v>5377</v>
      </c>
    </row>
    <row r="275" spans="1:8" x14ac:dyDescent="0.25">
      <c r="C275" s="210" t="s">
        <v>3578</v>
      </c>
      <c r="D275" s="210"/>
      <c r="E275" s="209">
        <f>SUM(E249:E274)</f>
        <v>162.71000000000004</v>
      </c>
    </row>
    <row r="276" spans="1:8" x14ac:dyDescent="0.25">
      <c r="A276" t="s">
        <v>10858</v>
      </c>
      <c r="B276" t="s">
        <v>10902</v>
      </c>
      <c r="C276" t="s">
        <v>10901</v>
      </c>
      <c r="D276" t="s">
        <v>4392</v>
      </c>
      <c r="E276" s="208">
        <v>7.67</v>
      </c>
      <c r="F276" t="s">
        <v>4393</v>
      </c>
      <c r="G276" t="s">
        <v>640</v>
      </c>
      <c r="H276" s="271">
        <v>5402</v>
      </c>
    </row>
    <row r="277" spans="1:8" x14ac:dyDescent="0.25">
      <c r="A277" t="s">
        <v>10858</v>
      </c>
      <c r="B277" t="s">
        <v>10900</v>
      </c>
      <c r="C277" t="s">
        <v>10899</v>
      </c>
      <c r="D277" t="s">
        <v>4523</v>
      </c>
      <c r="E277" s="208">
        <v>13.45</v>
      </c>
      <c r="F277" t="s">
        <v>4524</v>
      </c>
      <c r="G277" t="s">
        <v>640</v>
      </c>
      <c r="H277" s="271">
        <v>5403</v>
      </c>
    </row>
    <row r="278" spans="1:8" x14ac:dyDescent="0.25">
      <c r="A278" t="s">
        <v>10858</v>
      </c>
      <c r="B278" t="s">
        <v>10898</v>
      </c>
      <c r="C278" t="s">
        <v>10897</v>
      </c>
      <c r="D278" t="s">
        <v>1483</v>
      </c>
      <c r="E278" s="208">
        <v>1.94</v>
      </c>
      <c r="F278" t="s">
        <v>1482</v>
      </c>
      <c r="G278" t="s">
        <v>640</v>
      </c>
      <c r="H278" s="271">
        <v>5404</v>
      </c>
    </row>
    <row r="279" spans="1:8" x14ac:dyDescent="0.25">
      <c r="A279" t="s">
        <v>10858</v>
      </c>
      <c r="B279" t="s">
        <v>10896</v>
      </c>
      <c r="C279" t="s">
        <v>10895</v>
      </c>
      <c r="D279" t="s">
        <v>1578</v>
      </c>
      <c r="E279" s="208">
        <v>5.63</v>
      </c>
      <c r="F279" t="s">
        <v>661</v>
      </c>
      <c r="G279" t="s">
        <v>640</v>
      </c>
      <c r="H279" s="271">
        <v>5405</v>
      </c>
    </row>
    <row r="280" spans="1:8" x14ac:dyDescent="0.25">
      <c r="A280" t="s">
        <v>10858</v>
      </c>
      <c r="B280" t="s">
        <v>10894</v>
      </c>
      <c r="C280" t="s">
        <v>10893</v>
      </c>
      <c r="D280" t="s">
        <v>1424</v>
      </c>
      <c r="E280" s="208">
        <v>9.61</v>
      </c>
      <c r="F280" t="s">
        <v>1423</v>
      </c>
      <c r="G280" t="s">
        <v>640</v>
      </c>
      <c r="H280" s="271">
        <v>5406</v>
      </c>
    </row>
    <row r="281" spans="1:8" x14ac:dyDescent="0.25">
      <c r="A281" t="s">
        <v>10858</v>
      </c>
      <c r="B281" t="s">
        <v>6068</v>
      </c>
      <c r="C281" t="s">
        <v>10892</v>
      </c>
      <c r="D281" t="s">
        <v>1411</v>
      </c>
      <c r="E281" s="208">
        <v>3.54</v>
      </c>
      <c r="F281" t="s">
        <v>1410</v>
      </c>
      <c r="G281" t="s">
        <v>640</v>
      </c>
      <c r="H281" s="271">
        <v>5407</v>
      </c>
    </row>
    <row r="282" spans="1:8" x14ac:dyDescent="0.25">
      <c r="A282" t="s">
        <v>10858</v>
      </c>
      <c r="B282" t="s">
        <v>10891</v>
      </c>
      <c r="C282" t="s">
        <v>10890</v>
      </c>
      <c r="D282" t="s">
        <v>812</v>
      </c>
      <c r="E282" s="208">
        <v>4.97</v>
      </c>
      <c r="F282" t="s">
        <v>811</v>
      </c>
      <c r="G282" t="s">
        <v>640</v>
      </c>
      <c r="H282" s="271">
        <v>5408</v>
      </c>
    </row>
    <row r="283" spans="1:8" x14ac:dyDescent="0.25">
      <c r="A283" t="s">
        <v>10858</v>
      </c>
      <c r="B283" t="s">
        <v>10889</v>
      </c>
      <c r="C283" t="s">
        <v>10888</v>
      </c>
      <c r="D283" t="s">
        <v>4594</v>
      </c>
      <c r="E283" s="208">
        <v>1.36</v>
      </c>
      <c r="F283" t="s">
        <v>4595</v>
      </c>
      <c r="G283" t="s">
        <v>640</v>
      </c>
      <c r="H283" s="271">
        <v>5409</v>
      </c>
    </row>
    <row r="284" spans="1:8" x14ac:dyDescent="0.25">
      <c r="A284" t="s">
        <v>10858</v>
      </c>
      <c r="B284" t="s">
        <v>10887</v>
      </c>
      <c r="C284" t="s">
        <v>10886</v>
      </c>
      <c r="D284" t="s">
        <v>3089</v>
      </c>
      <c r="E284" s="208">
        <v>5.07</v>
      </c>
      <c r="F284" t="s">
        <v>3090</v>
      </c>
      <c r="G284" t="s">
        <v>640</v>
      </c>
      <c r="H284" s="271">
        <v>5410</v>
      </c>
    </row>
    <row r="285" spans="1:8" x14ac:dyDescent="0.25">
      <c r="A285" t="s">
        <v>10858</v>
      </c>
      <c r="B285" t="s">
        <v>10885</v>
      </c>
      <c r="C285" t="s">
        <v>10884</v>
      </c>
      <c r="D285" t="s">
        <v>10883</v>
      </c>
      <c r="E285" s="208">
        <v>1.87</v>
      </c>
      <c r="F285" t="s">
        <v>10882</v>
      </c>
      <c r="G285" t="s">
        <v>640</v>
      </c>
      <c r="H285" s="271">
        <v>5411</v>
      </c>
    </row>
    <row r="286" spans="1:8" x14ac:dyDescent="0.25">
      <c r="A286" t="s">
        <v>10858</v>
      </c>
      <c r="B286" t="s">
        <v>10881</v>
      </c>
      <c r="C286" t="s">
        <v>10880</v>
      </c>
      <c r="D286" t="s">
        <v>10879</v>
      </c>
      <c r="E286" s="208">
        <v>5.3</v>
      </c>
      <c r="F286" t="s">
        <v>10878</v>
      </c>
      <c r="G286" t="s">
        <v>640</v>
      </c>
      <c r="H286" s="271">
        <v>5412</v>
      </c>
    </row>
    <row r="287" spans="1:8" x14ac:dyDescent="0.25">
      <c r="A287" t="s">
        <v>10858</v>
      </c>
      <c r="B287" t="s">
        <v>10877</v>
      </c>
      <c r="C287" t="s">
        <v>10876</v>
      </c>
      <c r="D287" t="s">
        <v>10875</v>
      </c>
      <c r="E287" s="208">
        <v>34.92</v>
      </c>
      <c r="F287" t="s">
        <v>10874</v>
      </c>
      <c r="G287" t="s">
        <v>640</v>
      </c>
      <c r="H287" s="271">
        <v>5413</v>
      </c>
    </row>
    <row r="288" spans="1:8" x14ac:dyDescent="0.25">
      <c r="A288" t="s">
        <v>10858</v>
      </c>
      <c r="B288" t="s">
        <v>10873</v>
      </c>
      <c r="C288" t="s">
        <v>10872</v>
      </c>
      <c r="D288" t="s">
        <v>5728</v>
      </c>
      <c r="E288" s="208">
        <v>1.68</v>
      </c>
      <c r="F288" t="s">
        <v>5729</v>
      </c>
      <c r="G288" t="s">
        <v>640</v>
      </c>
      <c r="H288" s="271">
        <v>5414</v>
      </c>
    </row>
    <row r="289" spans="1:8" x14ac:dyDescent="0.25">
      <c r="A289" t="s">
        <v>10858</v>
      </c>
      <c r="B289" t="s">
        <v>10871</v>
      </c>
      <c r="C289" t="s">
        <v>10870</v>
      </c>
      <c r="D289" t="s">
        <v>926</v>
      </c>
      <c r="E289" s="208">
        <v>1.97</v>
      </c>
      <c r="F289" t="s">
        <v>925</v>
      </c>
      <c r="G289" t="s">
        <v>640</v>
      </c>
      <c r="H289" s="271">
        <v>5415</v>
      </c>
    </row>
    <row r="290" spans="1:8" x14ac:dyDescent="0.25">
      <c r="A290" t="s">
        <v>10858</v>
      </c>
      <c r="B290" t="s">
        <v>10869</v>
      </c>
      <c r="C290" t="s">
        <v>10868</v>
      </c>
      <c r="D290" t="s">
        <v>679</v>
      </c>
      <c r="E290" s="208">
        <v>4.3</v>
      </c>
      <c r="F290" t="s">
        <v>678</v>
      </c>
      <c r="G290" t="s">
        <v>640</v>
      </c>
      <c r="H290" s="271">
        <v>5416</v>
      </c>
    </row>
    <row r="291" spans="1:8" x14ac:dyDescent="0.25">
      <c r="A291" t="s">
        <v>10858</v>
      </c>
      <c r="B291" t="s">
        <v>10867</v>
      </c>
      <c r="C291" t="s">
        <v>10866</v>
      </c>
      <c r="D291" t="s">
        <v>790</v>
      </c>
      <c r="E291" s="208">
        <v>2.67</v>
      </c>
      <c r="F291" t="s">
        <v>1468</v>
      </c>
      <c r="G291" t="s">
        <v>640</v>
      </c>
      <c r="H291" s="271">
        <v>5417</v>
      </c>
    </row>
    <row r="292" spans="1:8" x14ac:dyDescent="0.25">
      <c r="A292" t="s">
        <v>10858</v>
      </c>
      <c r="B292" t="s">
        <v>10865</v>
      </c>
      <c r="C292" t="s">
        <v>10864</v>
      </c>
      <c r="D292" t="s">
        <v>1361</v>
      </c>
      <c r="E292" s="208">
        <v>12.3</v>
      </c>
      <c r="F292" t="s">
        <v>1360</v>
      </c>
      <c r="G292" t="s">
        <v>640</v>
      </c>
      <c r="H292" s="271">
        <v>5418</v>
      </c>
    </row>
    <row r="293" spans="1:8" x14ac:dyDescent="0.25">
      <c r="A293" t="s">
        <v>10858</v>
      </c>
      <c r="B293" t="s">
        <v>10863</v>
      </c>
      <c r="C293" t="s">
        <v>10862</v>
      </c>
      <c r="D293" t="s">
        <v>3589</v>
      </c>
      <c r="E293" s="208">
        <v>2.34</v>
      </c>
      <c r="F293" t="s">
        <v>3590</v>
      </c>
      <c r="G293" t="s">
        <v>640</v>
      </c>
      <c r="H293" s="271">
        <v>5419</v>
      </c>
    </row>
    <row r="294" spans="1:8" x14ac:dyDescent="0.25">
      <c r="A294" t="s">
        <v>10858</v>
      </c>
      <c r="B294" t="s">
        <v>5625</v>
      </c>
      <c r="C294" t="s">
        <v>10861</v>
      </c>
      <c r="D294" t="s">
        <v>646</v>
      </c>
      <c r="E294" s="208">
        <v>3.66</v>
      </c>
      <c r="F294" t="s">
        <v>645</v>
      </c>
      <c r="G294" t="s">
        <v>640</v>
      </c>
      <c r="H294" s="271">
        <v>5420</v>
      </c>
    </row>
    <row r="295" spans="1:8" x14ac:dyDescent="0.25">
      <c r="A295" t="s">
        <v>10858</v>
      </c>
      <c r="B295" t="s">
        <v>10860</v>
      </c>
      <c r="C295" t="s">
        <v>10859</v>
      </c>
      <c r="D295" t="s">
        <v>1218</v>
      </c>
      <c r="E295" s="208">
        <v>8.02</v>
      </c>
      <c r="F295" t="s">
        <v>1217</v>
      </c>
      <c r="G295" t="s">
        <v>640</v>
      </c>
      <c r="H295" s="271">
        <v>5421</v>
      </c>
    </row>
    <row r="296" spans="1:8" x14ac:dyDescent="0.25">
      <c r="A296" t="s">
        <v>10858</v>
      </c>
      <c r="B296" t="s">
        <v>10857</v>
      </c>
      <c r="C296" t="s">
        <v>10856</v>
      </c>
      <c r="D296" t="s">
        <v>938</v>
      </c>
      <c r="E296" s="208">
        <v>1.68</v>
      </c>
      <c r="F296" t="s">
        <v>937</v>
      </c>
      <c r="G296" t="s">
        <v>640</v>
      </c>
      <c r="H296" s="271">
        <v>5432</v>
      </c>
    </row>
    <row r="297" spans="1:8" x14ac:dyDescent="0.25">
      <c r="C297" s="210" t="s">
        <v>3579</v>
      </c>
      <c r="D297" s="210"/>
      <c r="E297" s="209">
        <f>SUM(E276:E296)</f>
        <v>133.94999999999999</v>
      </c>
    </row>
    <row r="298" spans="1:8" x14ac:dyDescent="0.25">
      <c r="A298" t="s">
        <v>10832</v>
      </c>
      <c r="B298" t="s">
        <v>10855</v>
      </c>
      <c r="C298" t="s">
        <v>10854</v>
      </c>
      <c r="D298" t="s">
        <v>1018</v>
      </c>
      <c r="E298" s="208">
        <v>2.02</v>
      </c>
      <c r="F298" t="s">
        <v>1017</v>
      </c>
      <c r="G298" t="s">
        <v>640</v>
      </c>
      <c r="H298" s="271">
        <v>5433</v>
      </c>
    </row>
    <row r="299" spans="1:8" x14ac:dyDescent="0.25">
      <c r="A299" t="s">
        <v>10832</v>
      </c>
      <c r="B299" t="s">
        <v>10853</v>
      </c>
      <c r="C299" t="s">
        <v>10852</v>
      </c>
      <c r="D299" t="s">
        <v>1009</v>
      </c>
      <c r="E299" s="208">
        <v>2.99</v>
      </c>
      <c r="F299" t="s">
        <v>1008</v>
      </c>
      <c r="G299" t="s">
        <v>640</v>
      </c>
      <c r="H299" s="271">
        <v>5434</v>
      </c>
    </row>
    <row r="300" spans="1:8" x14ac:dyDescent="0.25">
      <c r="A300" t="s">
        <v>10832</v>
      </c>
      <c r="B300" t="s">
        <v>10851</v>
      </c>
      <c r="C300" t="s">
        <v>10850</v>
      </c>
      <c r="D300" t="s">
        <v>1287</v>
      </c>
      <c r="E300" s="208">
        <v>1.68</v>
      </c>
      <c r="F300" t="s">
        <v>1286</v>
      </c>
      <c r="G300" t="s">
        <v>640</v>
      </c>
      <c r="H300" s="271">
        <v>5435</v>
      </c>
    </row>
    <row r="301" spans="1:8" x14ac:dyDescent="0.25">
      <c r="A301" t="s">
        <v>10832</v>
      </c>
      <c r="B301" t="s">
        <v>10849</v>
      </c>
      <c r="C301" t="s">
        <v>10848</v>
      </c>
      <c r="D301" t="s">
        <v>1369</v>
      </c>
      <c r="E301" s="208">
        <v>13.46</v>
      </c>
      <c r="F301" t="s">
        <v>1368</v>
      </c>
      <c r="G301" t="s">
        <v>640</v>
      </c>
      <c r="H301" s="271">
        <v>5436</v>
      </c>
    </row>
    <row r="302" spans="1:8" x14ac:dyDescent="0.25">
      <c r="A302" t="s">
        <v>10832</v>
      </c>
      <c r="B302" t="s">
        <v>3397</v>
      </c>
      <c r="C302" t="s">
        <v>10847</v>
      </c>
      <c r="D302" t="s">
        <v>10846</v>
      </c>
      <c r="E302" s="208">
        <v>0.54</v>
      </c>
      <c r="F302" t="s">
        <v>10845</v>
      </c>
      <c r="G302" t="s">
        <v>640</v>
      </c>
      <c r="H302" s="271">
        <v>5437</v>
      </c>
    </row>
    <row r="303" spans="1:8" x14ac:dyDescent="0.25">
      <c r="A303" t="s">
        <v>10832</v>
      </c>
      <c r="B303" t="s">
        <v>10844</v>
      </c>
      <c r="C303" t="s">
        <v>10843</v>
      </c>
      <c r="D303" t="s">
        <v>10842</v>
      </c>
      <c r="E303" s="208">
        <v>0.28999999999999998</v>
      </c>
      <c r="F303" t="s">
        <v>10841</v>
      </c>
      <c r="G303" t="s">
        <v>640</v>
      </c>
      <c r="H303" s="271">
        <v>5438</v>
      </c>
    </row>
    <row r="304" spans="1:8" x14ac:dyDescent="0.25">
      <c r="A304" t="s">
        <v>10832</v>
      </c>
      <c r="B304" t="s">
        <v>10840</v>
      </c>
      <c r="C304" t="s">
        <v>10839</v>
      </c>
      <c r="D304" t="s">
        <v>10838</v>
      </c>
      <c r="E304" s="208">
        <v>3.98</v>
      </c>
      <c r="F304" t="s">
        <v>10837</v>
      </c>
      <c r="G304" t="s">
        <v>640</v>
      </c>
      <c r="H304" s="271">
        <v>5439</v>
      </c>
    </row>
    <row r="305" spans="1:8" x14ac:dyDescent="0.25">
      <c r="A305" t="s">
        <v>10832</v>
      </c>
      <c r="B305" t="s">
        <v>10836</v>
      </c>
      <c r="C305" t="s">
        <v>10835</v>
      </c>
      <c r="D305" t="s">
        <v>4707</v>
      </c>
      <c r="E305" s="208">
        <v>3.75</v>
      </c>
      <c r="F305" t="s">
        <v>4708</v>
      </c>
      <c r="G305" t="s">
        <v>640</v>
      </c>
      <c r="H305" s="271">
        <v>5440</v>
      </c>
    </row>
    <row r="306" spans="1:8" x14ac:dyDescent="0.25">
      <c r="A306" t="s">
        <v>10832</v>
      </c>
      <c r="B306" t="s">
        <v>10834</v>
      </c>
      <c r="C306" t="s">
        <v>10833</v>
      </c>
      <c r="D306" t="s">
        <v>952</v>
      </c>
      <c r="E306" s="208">
        <v>8.7100000000000009</v>
      </c>
      <c r="F306" t="s">
        <v>951</v>
      </c>
      <c r="G306" t="s">
        <v>640</v>
      </c>
      <c r="H306" s="271">
        <v>5441</v>
      </c>
    </row>
    <row r="307" spans="1:8" x14ac:dyDescent="0.25">
      <c r="A307" t="s">
        <v>10832</v>
      </c>
      <c r="B307" t="s">
        <v>10831</v>
      </c>
      <c r="C307" t="s">
        <v>10830</v>
      </c>
      <c r="D307" t="s">
        <v>1241</v>
      </c>
      <c r="E307" s="208">
        <v>2.5099999999999998</v>
      </c>
      <c r="F307" t="s">
        <v>1240</v>
      </c>
      <c r="G307" t="s">
        <v>640</v>
      </c>
      <c r="H307" s="271">
        <v>5442</v>
      </c>
    </row>
    <row r="308" spans="1:8" x14ac:dyDescent="0.25">
      <c r="C308" s="210" t="s">
        <v>3579</v>
      </c>
      <c r="D308" s="210"/>
      <c r="E308" s="209">
        <f>SUM(E298:E307)</f>
        <v>39.93</v>
      </c>
    </row>
    <row r="309" spans="1:8" x14ac:dyDescent="0.25">
      <c r="A309" t="s">
        <v>10821</v>
      </c>
      <c r="B309" t="s">
        <v>10829</v>
      </c>
      <c r="C309" t="s">
        <v>10828</v>
      </c>
      <c r="D309" t="s">
        <v>913</v>
      </c>
      <c r="E309" s="208">
        <v>30.28</v>
      </c>
      <c r="F309" t="s">
        <v>912</v>
      </c>
      <c r="G309" t="s">
        <v>640</v>
      </c>
      <c r="H309" s="271">
        <v>5443</v>
      </c>
    </row>
    <row r="310" spans="1:8" x14ac:dyDescent="0.25">
      <c r="A310" t="s">
        <v>10821</v>
      </c>
      <c r="B310" t="s">
        <v>10827</v>
      </c>
      <c r="C310" t="s">
        <v>10826</v>
      </c>
      <c r="D310" t="s">
        <v>2868</v>
      </c>
      <c r="E310" s="208">
        <v>2.31</v>
      </c>
      <c r="F310" t="s">
        <v>2869</v>
      </c>
      <c r="G310" t="s">
        <v>640</v>
      </c>
      <c r="H310" s="271">
        <v>5444</v>
      </c>
    </row>
    <row r="311" spans="1:8" x14ac:dyDescent="0.25">
      <c r="A311" t="s">
        <v>10821</v>
      </c>
      <c r="B311" t="s">
        <v>10825</v>
      </c>
      <c r="C311" t="s">
        <v>10824</v>
      </c>
      <c r="D311" t="s">
        <v>861</v>
      </c>
      <c r="E311" s="208">
        <v>3.9</v>
      </c>
      <c r="F311" t="s">
        <v>860</v>
      </c>
      <c r="G311" t="s">
        <v>640</v>
      </c>
      <c r="H311" s="271">
        <v>5445</v>
      </c>
    </row>
    <row r="312" spans="1:8" x14ac:dyDescent="0.25">
      <c r="A312" t="s">
        <v>10821</v>
      </c>
      <c r="B312" t="s">
        <v>10823</v>
      </c>
      <c r="C312" t="s">
        <v>10822</v>
      </c>
      <c r="D312" t="s">
        <v>4632</v>
      </c>
      <c r="E312" s="208">
        <v>5.3</v>
      </c>
      <c r="F312" t="s">
        <v>4633</v>
      </c>
      <c r="G312" t="s">
        <v>640</v>
      </c>
      <c r="H312" s="271">
        <v>5446</v>
      </c>
    </row>
    <row r="313" spans="1:8" x14ac:dyDescent="0.25">
      <c r="A313" t="s">
        <v>10821</v>
      </c>
      <c r="B313" t="s">
        <v>10820</v>
      </c>
      <c r="C313" t="s">
        <v>10819</v>
      </c>
      <c r="D313" t="s">
        <v>4005</v>
      </c>
      <c r="E313" s="208">
        <v>14.93</v>
      </c>
      <c r="F313" t="s">
        <v>4006</v>
      </c>
      <c r="G313" t="s">
        <v>640</v>
      </c>
      <c r="H313" s="271">
        <v>5447</v>
      </c>
    </row>
    <row r="314" spans="1:8" x14ac:dyDescent="0.25">
      <c r="C314" s="210" t="s">
        <v>3579</v>
      </c>
      <c r="D314" s="210"/>
      <c r="E314" s="209">
        <f>SUM(E309:E313)</f>
        <v>56.72</v>
      </c>
    </row>
    <row r="315" spans="1:8" x14ac:dyDescent="0.25">
      <c r="A315" t="s">
        <v>10784</v>
      </c>
      <c r="B315" t="s">
        <v>10818</v>
      </c>
      <c r="C315" t="s">
        <v>10817</v>
      </c>
      <c r="D315" t="s">
        <v>808</v>
      </c>
      <c r="E315" s="208">
        <v>2.2200000000000002</v>
      </c>
      <c r="F315" t="s">
        <v>807</v>
      </c>
      <c r="G315" t="s">
        <v>640</v>
      </c>
      <c r="H315" s="271">
        <v>5481</v>
      </c>
    </row>
    <row r="316" spans="1:8" x14ac:dyDescent="0.25">
      <c r="A316" t="s">
        <v>10784</v>
      </c>
      <c r="B316" t="s">
        <v>10816</v>
      </c>
      <c r="C316" t="s">
        <v>10815</v>
      </c>
      <c r="D316" t="s">
        <v>4062</v>
      </c>
      <c r="E316" s="208">
        <v>15.13</v>
      </c>
      <c r="F316" t="s">
        <v>4063</v>
      </c>
      <c r="G316" t="s">
        <v>640</v>
      </c>
      <c r="H316" s="271">
        <v>5482</v>
      </c>
    </row>
    <row r="317" spans="1:8" x14ac:dyDescent="0.25">
      <c r="A317" t="s">
        <v>10784</v>
      </c>
      <c r="B317" t="s">
        <v>10814</v>
      </c>
      <c r="C317" t="s">
        <v>10813</v>
      </c>
      <c r="D317" t="s">
        <v>10542</v>
      </c>
      <c r="E317" s="208">
        <v>1.04</v>
      </c>
      <c r="F317" t="s">
        <v>10541</v>
      </c>
      <c r="G317" t="s">
        <v>640</v>
      </c>
      <c r="H317" s="271">
        <v>5483</v>
      </c>
    </row>
    <row r="318" spans="1:8" x14ac:dyDescent="0.25">
      <c r="A318" t="s">
        <v>10784</v>
      </c>
      <c r="B318" t="s">
        <v>10812</v>
      </c>
      <c r="C318" t="s">
        <v>10811</v>
      </c>
      <c r="D318" t="s">
        <v>5285</v>
      </c>
      <c r="E318" s="208">
        <v>18</v>
      </c>
      <c r="F318" t="s">
        <v>5286</v>
      </c>
      <c r="G318" t="s">
        <v>640</v>
      </c>
      <c r="H318" s="271">
        <v>5484</v>
      </c>
    </row>
    <row r="319" spans="1:8" x14ac:dyDescent="0.25">
      <c r="A319" t="s">
        <v>10784</v>
      </c>
      <c r="B319" t="s">
        <v>5096</v>
      </c>
      <c r="C319" t="s">
        <v>10810</v>
      </c>
      <c r="D319" t="s">
        <v>10809</v>
      </c>
      <c r="E319" s="208">
        <v>24.08</v>
      </c>
      <c r="F319" t="s">
        <v>10808</v>
      </c>
      <c r="G319" t="s">
        <v>640</v>
      </c>
      <c r="H319" s="271">
        <v>5485</v>
      </c>
    </row>
    <row r="320" spans="1:8" x14ac:dyDescent="0.25">
      <c r="A320" t="s">
        <v>10784</v>
      </c>
      <c r="B320" t="s">
        <v>10807</v>
      </c>
      <c r="C320" t="s">
        <v>10806</v>
      </c>
      <c r="D320" t="s">
        <v>10805</v>
      </c>
      <c r="E320" s="208">
        <v>8.07</v>
      </c>
      <c r="F320" t="s">
        <v>10804</v>
      </c>
      <c r="G320" t="s">
        <v>640</v>
      </c>
      <c r="H320" s="271">
        <v>5486</v>
      </c>
    </row>
    <row r="321" spans="1:8" x14ac:dyDescent="0.25">
      <c r="A321" t="s">
        <v>10784</v>
      </c>
      <c r="B321" t="s">
        <v>10803</v>
      </c>
      <c r="C321" t="s">
        <v>10802</v>
      </c>
      <c r="D321" t="s">
        <v>5121</v>
      </c>
      <c r="E321" s="208">
        <v>16.68</v>
      </c>
      <c r="F321" t="s">
        <v>5122</v>
      </c>
      <c r="G321" t="s">
        <v>640</v>
      </c>
      <c r="H321" s="271">
        <v>5487</v>
      </c>
    </row>
    <row r="322" spans="1:8" x14ac:dyDescent="0.25">
      <c r="A322" t="s">
        <v>10784</v>
      </c>
      <c r="B322" t="s">
        <v>10801</v>
      </c>
      <c r="C322" t="s">
        <v>10800</v>
      </c>
      <c r="D322" t="s">
        <v>857</v>
      </c>
      <c r="E322" s="208">
        <v>1.79</v>
      </c>
      <c r="F322" t="s">
        <v>856</v>
      </c>
      <c r="G322" t="s">
        <v>640</v>
      </c>
      <c r="H322" s="271">
        <v>5488</v>
      </c>
    </row>
    <row r="323" spans="1:8" x14ac:dyDescent="0.25">
      <c r="A323" t="s">
        <v>10784</v>
      </c>
      <c r="B323" t="s">
        <v>10799</v>
      </c>
      <c r="C323" t="s">
        <v>10798</v>
      </c>
      <c r="D323" t="s">
        <v>4035</v>
      </c>
      <c r="E323" s="208">
        <v>58.36</v>
      </c>
      <c r="F323" t="s">
        <v>4036</v>
      </c>
      <c r="G323" t="s">
        <v>640</v>
      </c>
      <c r="H323" s="271">
        <v>5489</v>
      </c>
    </row>
    <row r="324" spans="1:8" x14ac:dyDescent="0.25">
      <c r="A324" t="s">
        <v>10784</v>
      </c>
      <c r="B324" t="s">
        <v>10797</v>
      </c>
      <c r="C324" t="s">
        <v>10796</v>
      </c>
      <c r="D324" t="s">
        <v>10795</v>
      </c>
      <c r="E324" s="208">
        <v>29.03</v>
      </c>
      <c r="F324" t="s">
        <v>10794</v>
      </c>
      <c r="G324" t="s">
        <v>640</v>
      </c>
      <c r="H324" s="271">
        <v>5490</v>
      </c>
    </row>
    <row r="325" spans="1:8" x14ac:dyDescent="0.25">
      <c r="A325" t="s">
        <v>10784</v>
      </c>
      <c r="B325" t="s">
        <v>10793</v>
      </c>
      <c r="C325" t="s">
        <v>10792</v>
      </c>
      <c r="D325" t="s">
        <v>4039</v>
      </c>
      <c r="E325" s="208">
        <v>9.7200000000000006</v>
      </c>
      <c r="F325" t="s">
        <v>4040</v>
      </c>
      <c r="G325" t="s">
        <v>640</v>
      </c>
      <c r="H325" s="271">
        <v>5491</v>
      </c>
    </row>
    <row r="326" spans="1:8" x14ac:dyDescent="0.25">
      <c r="A326" t="s">
        <v>10784</v>
      </c>
      <c r="B326" t="s">
        <v>10791</v>
      </c>
      <c r="C326" t="s">
        <v>10790</v>
      </c>
      <c r="D326" t="s">
        <v>4670</v>
      </c>
      <c r="E326" s="208">
        <v>4.18</v>
      </c>
      <c r="F326" t="s">
        <v>4671</v>
      </c>
      <c r="G326" t="s">
        <v>640</v>
      </c>
      <c r="H326" s="271">
        <v>5492</v>
      </c>
    </row>
    <row r="327" spans="1:8" x14ac:dyDescent="0.25">
      <c r="A327" t="s">
        <v>10784</v>
      </c>
      <c r="B327" t="s">
        <v>10789</v>
      </c>
      <c r="C327" t="s">
        <v>10788</v>
      </c>
      <c r="D327" t="s">
        <v>10787</v>
      </c>
      <c r="E327" s="208">
        <v>4.5199999999999996</v>
      </c>
      <c r="F327" t="s">
        <v>4503</v>
      </c>
      <c r="G327" t="s">
        <v>640</v>
      </c>
      <c r="H327" s="271">
        <v>5494</v>
      </c>
    </row>
    <row r="328" spans="1:8" x14ac:dyDescent="0.25">
      <c r="A328" t="s">
        <v>10784</v>
      </c>
      <c r="B328" t="s">
        <v>10786</v>
      </c>
      <c r="C328" t="s">
        <v>10785</v>
      </c>
      <c r="D328" t="s">
        <v>4502</v>
      </c>
      <c r="E328" s="208">
        <v>3.7</v>
      </c>
      <c r="F328" t="s">
        <v>4503</v>
      </c>
      <c r="G328" t="s">
        <v>640</v>
      </c>
      <c r="H328" s="271">
        <v>5493</v>
      </c>
    </row>
    <row r="329" spans="1:8" x14ac:dyDescent="0.25">
      <c r="A329" t="s">
        <v>10784</v>
      </c>
      <c r="B329" t="s">
        <v>10783</v>
      </c>
      <c r="C329" t="s">
        <v>10782</v>
      </c>
      <c r="D329" t="s">
        <v>1237</v>
      </c>
      <c r="E329" s="208">
        <v>13.55</v>
      </c>
      <c r="F329" t="s">
        <v>1236</v>
      </c>
      <c r="G329" t="s">
        <v>640</v>
      </c>
      <c r="H329" s="271">
        <v>5495</v>
      </c>
    </row>
    <row r="330" spans="1:8" x14ac:dyDescent="0.25">
      <c r="C330" s="210" t="s">
        <v>3579</v>
      </c>
      <c r="D330" s="210"/>
      <c r="E330" s="209">
        <f>SUM(E315:E329)</f>
        <v>210.07000000000002</v>
      </c>
    </row>
    <row r="331" spans="1:8" x14ac:dyDescent="0.25">
      <c r="A331" t="s">
        <v>10741</v>
      </c>
      <c r="B331" t="s">
        <v>10781</v>
      </c>
      <c r="C331" t="s">
        <v>10780</v>
      </c>
      <c r="D331" t="s">
        <v>1146</v>
      </c>
      <c r="E331" s="208">
        <v>4.97</v>
      </c>
      <c r="F331" t="s">
        <v>673</v>
      </c>
      <c r="G331" t="s">
        <v>640</v>
      </c>
      <c r="H331" s="271">
        <v>5526</v>
      </c>
    </row>
    <row r="332" spans="1:8" x14ac:dyDescent="0.25">
      <c r="A332" t="s">
        <v>10741</v>
      </c>
      <c r="B332" t="s">
        <v>10779</v>
      </c>
      <c r="C332" t="s">
        <v>10778</v>
      </c>
      <c r="D332" t="s">
        <v>838</v>
      </c>
      <c r="E332" s="208">
        <v>5.71</v>
      </c>
      <c r="F332" t="s">
        <v>837</v>
      </c>
      <c r="G332" t="s">
        <v>640</v>
      </c>
      <c r="H332" s="271" t="s">
        <v>10777</v>
      </c>
    </row>
    <row r="333" spans="1:8" x14ac:dyDescent="0.25">
      <c r="A333" t="s">
        <v>10741</v>
      </c>
      <c r="B333" t="s">
        <v>10776</v>
      </c>
      <c r="C333" t="s">
        <v>10775</v>
      </c>
      <c r="D333" t="s">
        <v>772</v>
      </c>
      <c r="E333" s="208">
        <v>0.84</v>
      </c>
      <c r="F333" t="s">
        <v>771</v>
      </c>
      <c r="G333" t="s">
        <v>640</v>
      </c>
      <c r="H333" s="271">
        <v>5527</v>
      </c>
    </row>
    <row r="334" spans="1:8" x14ac:dyDescent="0.25">
      <c r="A334" t="s">
        <v>10741</v>
      </c>
      <c r="B334" t="s">
        <v>10774</v>
      </c>
      <c r="C334" t="s">
        <v>10773</v>
      </c>
      <c r="D334" t="s">
        <v>1052</v>
      </c>
      <c r="E334" s="208">
        <v>1.68</v>
      </c>
      <c r="F334" t="s">
        <v>1051</v>
      </c>
      <c r="G334" t="s">
        <v>640</v>
      </c>
      <c r="H334" s="271">
        <v>5539</v>
      </c>
    </row>
    <row r="335" spans="1:8" x14ac:dyDescent="0.25">
      <c r="A335" t="s">
        <v>10741</v>
      </c>
      <c r="B335" t="s">
        <v>10772</v>
      </c>
      <c r="C335" t="s">
        <v>10771</v>
      </c>
      <c r="D335" t="s">
        <v>855</v>
      </c>
      <c r="E335" s="208">
        <v>11.74</v>
      </c>
      <c r="F335" t="s">
        <v>854</v>
      </c>
      <c r="G335" t="s">
        <v>640</v>
      </c>
      <c r="H335" s="271">
        <v>5540</v>
      </c>
    </row>
    <row r="336" spans="1:8" x14ac:dyDescent="0.25">
      <c r="A336" t="s">
        <v>10741</v>
      </c>
      <c r="B336" t="s">
        <v>10770</v>
      </c>
      <c r="C336" t="s">
        <v>10769</v>
      </c>
      <c r="D336" t="s">
        <v>1014</v>
      </c>
      <c r="E336" s="208">
        <v>5.62</v>
      </c>
      <c r="F336" t="s">
        <v>1013</v>
      </c>
      <c r="G336" t="s">
        <v>640</v>
      </c>
      <c r="H336" s="271" t="s">
        <v>10768</v>
      </c>
    </row>
    <row r="337" spans="1:8" x14ac:dyDescent="0.25">
      <c r="A337" t="s">
        <v>10741</v>
      </c>
      <c r="B337" t="s">
        <v>10767</v>
      </c>
      <c r="C337" t="s">
        <v>10766</v>
      </c>
      <c r="D337" t="s">
        <v>10765</v>
      </c>
      <c r="E337" s="208">
        <v>5.67</v>
      </c>
      <c r="F337" t="s">
        <v>10764</v>
      </c>
      <c r="G337" t="s">
        <v>640</v>
      </c>
      <c r="H337" s="271">
        <v>5541</v>
      </c>
    </row>
    <row r="338" spans="1:8" x14ac:dyDescent="0.25">
      <c r="A338" t="s">
        <v>10741</v>
      </c>
      <c r="B338" t="s">
        <v>10763</v>
      </c>
      <c r="C338" t="s">
        <v>10762</v>
      </c>
      <c r="D338" t="s">
        <v>737</v>
      </c>
      <c r="E338" s="208">
        <v>2.9</v>
      </c>
      <c r="F338" t="s">
        <v>736</v>
      </c>
      <c r="G338" t="s">
        <v>640</v>
      </c>
      <c r="H338" s="271">
        <v>5542</v>
      </c>
    </row>
    <row r="339" spans="1:8" x14ac:dyDescent="0.25">
      <c r="A339" t="s">
        <v>10741</v>
      </c>
      <c r="B339" t="s">
        <v>10761</v>
      </c>
      <c r="C339" t="s">
        <v>10760</v>
      </c>
      <c r="D339" t="s">
        <v>1269</v>
      </c>
      <c r="E339" s="208">
        <v>4.7</v>
      </c>
      <c r="F339" t="s">
        <v>1268</v>
      </c>
      <c r="G339" t="s">
        <v>640</v>
      </c>
      <c r="H339" s="271">
        <v>5543</v>
      </c>
    </row>
    <row r="340" spans="1:8" x14ac:dyDescent="0.25">
      <c r="A340" t="s">
        <v>10741</v>
      </c>
      <c r="B340" t="s">
        <v>10759</v>
      </c>
      <c r="C340" t="s">
        <v>10758</v>
      </c>
      <c r="D340" t="s">
        <v>10757</v>
      </c>
      <c r="E340" s="208">
        <v>4.3</v>
      </c>
      <c r="F340" t="s">
        <v>10756</v>
      </c>
      <c r="G340" t="s">
        <v>640</v>
      </c>
      <c r="H340" s="271">
        <v>5544</v>
      </c>
    </row>
    <row r="341" spans="1:8" x14ac:dyDescent="0.25">
      <c r="A341" t="s">
        <v>10741</v>
      </c>
      <c r="B341" t="s">
        <v>10755</v>
      </c>
      <c r="C341" t="s">
        <v>10754</v>
      </c>
      <c r="D341" t="s">
        <v>10753</v>
      </c>
      <c r="E341" s="208">
        <v>5.32</v>
      </c>
      <c r="F341" t="s">
        <v>10752</v>
      </c>
      <c r="G341" t="s">
        <v>640</v>
      </c>
      <c r="H341" s="271">
        <v>5545</v>
      </c>
    </row>
    <row r="342" spans="1:8" x14ac:dyDescent="0.25">
      <c r="A342" t="s">
        <v>10741</v>
      </c>
      <c r="B342" t="s">
        <v>10751</v>
      </c>
      <c r="C342" t="s">
        <v>10750</v>
      </c>
      <c r="D342" t="s">
        <v>844</v>
      </c>
      <c r="E342" s="208">
        <v>1.96</v>
      </c>
      <c r="F342" t="s">
        <v>843</v>
      </c>
      <c r="G342" t="s">
        <v>640</v>
      </c>
      <c r="H342" s="271">
        <v>5546</v>
      </c>
    </row>
    <row r="343" spans="1:8" x14ac:dyDescent="0.25">
      <c r="A343" t="s">
        <v>10741</v>
      </c>
      <c r="B343" t="s">
        <v>10749</v>
      </c>
      <c r="C343" t="s">
        <v>10748</v>
      </c>
      <c r="D343" t="s">
        <v>796</v>
      </c>
      <c r="E343" s="208">
        <v>2.58</v>
      </c>
      <c r="F343" t="s">
        <v>795</v>
      </c>
      <c r="G343" t="s">
        <v>640</v>
      </c>
      <c r="H343" s="271">
        <v>5548</v>
      </c>
    </row>
    <row r="344" spans="1:8" x14ac:dyDescent="0.25">
      <c r="A344" t="s">
        <v>10741</v>
      </c>
      <c r="B344" t="s">
        <v>10747</v>
      </c>
      <c r="C344" t="s">
        <v>10746</v>
      </c>
      <c r="D344" t="s">
        <v>821</v>
      </c>
      <c r="E344" s="208">
        <v>1.94</v>
      </c>
      <c r="F344" t="s">
        <v>820</v>
      </c>
      <c r="G344" t="s">
        <v>640</v>
      </c>
      <c r="H344" s="271">
        <v>5549</v>
      </c>
    </row>
    <row r="345" spans="1:8" x14ac:dyDescent="0.25">
      <c r="A345" t="s">
        <v>10741</v>
      </c>
      <c r="B345" t="s">
        <v>10745</v>
      </c>
      <c r="C345" t="s">
        <v>10744</v>
      </c>
      <c r="D345" t="s">
        <v>4323</v>
      </c>
      <c r="E345" s="208">
        <v>6.84</v>
      </c>
      <c r="F345" t="s">
        <v>4324</v>
      </c>
      <c r="G345" t="s">
        <v>640</v>
      </c>
      <c r="H345" s="271">
        <v>5551</v>
      </c>
    </row>
    <row r="346" spans="1:8" x14ac:dyDescent="0.25">
      <c r="A346" t="s">
        <v>10741</v>
      </c>
      <c r="B346" t="s">
        <v>10743</v>
      </c>
      <c r="C346" t="s">
        <v>10742</v>
      </c>
      <c r="D346" t="s">
        <v>4600</v>
      </c>
      <c r="E346" s="208">
        <v>10.38</v>
      </c>
      <c r="F346" t="s">
        <v>4601</v>
      </c>
      <c r="G346" t="s">
        <v>640</v>
      </c>
      <c r="H346" s="271">
        <v>5552</v>
      </c>
    </row>
    <row r="347" spans="1:8" x14ac:dyDescent="0.25">
      <c r="A347" t="s">
        <v>10741</v>
      </c>
      <c r="B347" t="s">
        <v>10740</v>
      </c>
      <c r="C347" t="s">
        <v>10739</v>
      </c>
      <c r="D347" t="s">
        <v>5936</v>
      </c>
      <c r="E347" s="208">
        <v>2.23</v>
      </c>
      <c r="F347" t="s">
        <v>5937</v>
      </c>
      <c r="G347" t="s">
        <v>640</v>
      </c>
      <c r="H347" s="271">
        <v>5553</v>
      </c>
    </row>
    <row r="348" spans="1:8" x14ac:dyDescent="0.25">
      <c r="C348" s="210" t="s">
        <v>3579</v>
      </c>
      <c r="D348" s="210"/>
      <c r="E348" s="209">
        <f>SUM(E331:E347)</f>
        <v>79.38</v>
      </c>
    </row>
    <row r="349" spans="1:8" x14ac:dyDescent="0.25">
      <c r="A349" t="s">
        <v>10734</v>
      </c>
      <c r="B349" t="s">
        <v>10738</v>
      </c>
      <c r="C349" t="s">
        <v>10737</v>
      </c>
      <c r="D349" t="s">
        <v>10736</v>
      </c>
      <c r="E349" s="208">
        <v>14.36</v>
      </c>
      <c r="F349" t="s">
        <v>10735</v>
      </c>
      <c r="G349" t="s">
        <v>640</v>
      </c>
      <c r="H349" s="271">
        <v>5582</v>
      </c>
    </row>
    <row r="350" spans="1:8" x14ac:dyDescent="0.25">
      <c r="A350" t="s">
        <v>10734</v>
      </c>
      <c r="B350" t="s">
        <v>10733</v>
      </c>
      <c r="C350" t="s">
        <v>10732</v>
      </c>
      <c r="D350" t="s">
        <v>10731</v>
      </c>
      <c r="E350" s="208">
        <v>9.4600000000000009</v>
      </c>
      <c r="F350" t="s">
        <v>10730</v>
      </c>
      <c r="G350" t="s">
        <v>640</v>
      </c>
      <c r="H350" s="271">
        <v>5583</v>
      </c>
    </row>
    <row r="351" spans="1:8" x14ac:dyDescent="0.25">
      <c r="C351" s="210" t="s">
        <v>3579</v>
      </c>
      <c r="D351" s="210"/>
      <c r="E351" s="209">
        <f>SUM(E349:E350)</f>
        <v>23.82</v>
      </c>
    </row>
    <row r="352" spans="1:8" x14ac:dyDescent="0.25">
      <c r="A352" t="s">
        <v>10673</v>
      </c>
      <c r="B352" t="s">
        <v>10729</v>
      </c>
      <c r="C352" t="s">
        <v>10728</v>
      </c>
      <c r="D352" t="s">
        <v>714</v>
      </c>
      <c r="E352" s="208">
        <v>1.75</v>
      </c>
      <c r="F352" t="s">
        <v>713</v>
      </c>
      <c r="G352" t="s">
        <v>640</v>
      </c>
      <c r="H352" s="271">
        <v>5710</v>
      </c>
    </row>
    <row r="353" spans="1:8" x14ac:dyDescent="0.25">
      <c r="A353" t="s">
        <v>10673</v>
      </c>
      <c r="B353" t="s">
        <v>10727</v>
      </c>
      <c r="C353" t="s">
        <v>10726</v>
      </c>
      <c r="D353" t="s">
        <v>710</v>
      </c>
      <c r="E353" s="208">
        <v>10.29</v>
      </c>
      <c r="F353" t="s">
        <v>709</v>
      </c>
      <c r="G353" t="s">
        <v>640</v>
      </c>
      <c r="H353" s="271">
        <v>5711</v>
      </c>
    </row>
    <row r="354" spans="1:8" x14ac:dyDescent="0.25">
      <c r="A354" t="s">
        <v>10673</v>
      </c>
      <c r="B354" t="s">
        <v>10725</v>
      </c>
      <c r="C354" t="s">
        <v>10724</v>
      </c>
      <c r="D354" t="s">
        <v>5487</v>
      </c>
      <c r="E354" s="208">
        <v>2</v>
      </c>
      <c r="F354" t="s">
        <v>5488</v>
      </c>
      <c r="G354" t="s">
        <v>640</v>
      </c>
      <c r="H354" s="271">
        <v>5712</v>
      </c>
    </row>
    <row r="355" spans="1:8" x14ac:dyDescent="0.25">
      <c r="A355" t="s">
        <v>10673</v>
      </c>
      <c r="B355" t="s">
        <v>10723</v>
      </c>
      <c r="C355" t="s">
        <v>10722</v>
      </c>
      <c r="D355" t="s">
        <v>1426</v>
      </c>
      <c r="E355" s="208">
        <v>9.23</v>
      </c>
      <c r="F355" t="s">
        <v>1425</v>
      </c>
      <c r="G355" t="s">
        <v>640</v>
      </c>
      <c r="H355" s="271">
        <v>5713</v>
      </c>
    </row>
    <row r="356" spans="1:8" x14ac:dyDescent="0.25">
      <c r="A356" t="s">
        <v>10673</v>
      </c>
      <c r="B356" t="s">
        <v>10721</v>
      </c>
      <c r="C356" t="s">
        <v>10720</v>
      </c>
      <c r="D356" t="s">
        <v>985</v>
      </c>
      <c r="E356" s="208">
        <v>1.78</v>
      </c>
      <c r="F356" t="s">
        <v>984</v>
      </c>
      <c r="G356" t="s">
        <v>640</v>
      </c>
      <c r="H356" s="271">
        <v>5714</v>
      </c>
    </row>
    <row r="357" spans="1:8" x14ac:dyDescent="0.25">
      <c r="A357" t="s">
        <v>10673</v>
      </c>
      <c r="B357" t="s">
        <v>10719</v>
      </c>
      <c r="C357" t="s">
        <v>10718</v>
      </c>
      <c r="D357" t="s">
        <v>747</v>
      </c>
      <c r="E357" s="208">
        <v>3.46</v>
      </c>
      <c r="F357" t="s">
        <v>746</v>
      </c>
      <c r="G357" t="s">
        <v>640</v>
      </c>
      <c r="H357" s="271">
        <v>5715</v>
      </c>
    </row>
    <row r="358" spans="1:8" x14ac:dyDescent="0.25">
      <c r="A358" t="s">
        <v>10673</v>
      </c>
      <c r="B358" t="s">
        <v>10717</v>
      </c>
      <c r="C358" t="s">
        <v>10716</v>
      </c>
      <c r="D358" t="s">
        <v>10715</v>
      </c>
      <c r="E358" s="208">
        <v>0.77</v>
      </c>
      <c r="F358" t="s">
        <v>10714</v>
      </c>
      <c r="G358" t="s">
        <v>640</v>
      </c>
      <c r="H358" s="271">
        <v>5716</v>
      </c>
    </row>
    <row r="359" spans="1:8" x14ac:dyDescent="0.25">
      <c r="A359" t="s">
        <v>10673</v>
      </c>
      <c r="B359" t="s">
        <v>10713</v>
      </c>
      <c r="C359" t="s">
        <v>10712</v>
      </c>
      <c r="D359" t="s">
        <v>5270</v>
      </c>
      <c r="E359" s="208">
        <v>11.79</v>
      </c>
      <c r="F359" t="s">
        <v>738</v>
      </c>
      <c r="G359" t="s">
        <v>640</v>
      </c>
      <c r="H359" s="271">
        <v>5717</v>
      </c>
    </row>
    <row r="360" spans="1:8" x14ac:dyDescent="0.25">
      <c r="A360" t="s">
        <v>10673</v>
      </c>
      <c r="B360" t="s">
        <v>10711</v>
      </c>
      <c r="C360" t="s">
        <v>10710</v>
      </c>
      <c r="D360" t="s">
        <v>3211</v>
      </c>
      <c r="E360" s="208">
        <v>7.99</v>
      </c>
      <c r="F360" t="s">
        <v>3212</v>
      </c>
      <c r="G360" t="s">
        <v>640</v>
      </c>
      <c r="H360" s="271">
        <v>5718</v>
      </c>
    </row>
    <row r="361" spans="1:8" x14ac:dyDescent="0.25">
      <c r="A361" t="s">
        <v>10673</v>
      </c>
      <c r="B361" t="s">
        <v>10709</v>
      </c>
      <c r="C361" t="s">
        <v>10708</v>
      </c>
      <c r="D361" t="s">
        <v>1493</v>
      </c>
      <c r="E361" s="208">
        <v>3.58</v>
      </c>
      <c r="F361" t="s">
        <v>1492</v>
      </c>
      <c r="G361" t="s">
        <v>640</v>
      </c>
      <c r="H361" s="271">
        <v>5719</v>
      </c>
    </row>
    <row r="362" spans="1:8" x14ac:dyDescent="0.25">
      <c r="A362" t="s">
        <v>10673</v>
      </c>
      <c r="B362" t="s">
        <v>10707</v>
      </c>
      <c r="C362" t="s">
        <v>10706</v>
      </c>
      <c r="D362" t="s">
        <v>10705</v>
      </c>
      <c r="E362" s="208">
        <v>6.32</v>
      </c>
      <c r="F362" t="s">
        <v>10704</v>
      </c>
      <c r="G362" t="s">
        <v>640</v>
      </c>
      <c r="H362" s="271">
        <v>5720</v>
      </c>
    </row>
    <row r="363" spans="1:8" x14ac:dyDescent="0.25">
      <c r="A363" t="s">
        <v>10673</v>
      </c>
      <c r="B363" t="s">
        <v>10703</v>
      </c>
      <c r="C363" t="s">
        <v>10702</v>
      </c>
      <c r="D363" t="s">
        <v>770</v>
      </c>
      <c r="E363" s="208">
        <v>8.65</v>
      </c>
      <c r="F363" t="s">
        <v>769</v>
      </c>
      <c r="G363" t="s">
        <v>640</v>
      </c>
      <c r="H363" s="271">
        <v>5721</v>
      </c>
    </row>
    <row r="364" spans="1:8" x14ac:dyDescent="0.25">
      <c r="A364" t="s">
        <v>10673</v>
      </c>
      <c r="B364" t="s">
        <v>10701</v>
      </c>
      <c r="C364" t="s">
        <v>10700</v>
      </c>
      <c r="D364" t="s">
        <v>5261</v>
      </c>
      <c r="E364" s="208">
        <v>3.74</v>
      </c>
      <c r="F364" t="s">
        <v>5262</v>
      </c>
      <c r="G364" t="s">
        <v>640</v>
      </c>
      <c r="H364" s="271">
        <v>5722</v>
      </c>
    </row>
    <row r="365" spans="1:8" x14ac:dyDescent="0.25">
      <c r="A365" t="s">
        <v>10673</v>
      </c>
      <c r="B365" t="s">
        <v>10699</v>
      </c>
      <c r="C365" t="s">
        <v>10698</v>
      </c>
      <c r="D365" t="s">
        <v>4438</v>
      </c>
      <c r="E365" s="208">
        <v>5.43</v>
      </c>
      <c r="F365" t="s">
        <v>4439</v>
      </c>
      <c r="G365" t="s">
        <v>640</v>
      </c>
      <c r="H365" s="271">
        <v>5723</v>
      </c>
    </row>
    <row r="366" spans="1:8" x14ac:dyDescent="0.25">
      <c r="A366" t="s">
        <v>10673</v>
      </c>
      <c r="B366" t="s">
        <v>10697</v>
      </c>
      <c r="C366" t="s">
        <v>10696</v>
      </c>
      <c r="D366" t="s">
        <v>1464</v>
      </c>
      <c r="E366" s="208">
        <v>25.14</v>
      </c>
      <c r="F366" t="s">
        <v>1463</v>
      </c>
      <c r="G366" t="s">
        <v>640</v>
      </c>
      <c r="H366" s="271">
        <v>5743</v>
      </c>
    </row>
    <row r="367" spans="1:8" x14ac:dyDescent="0.25">
      <c r="A367" t="s">
        <v>10673</v>
      </c>
      <c r="B367" t="s">
        <v>10695</v>
      </c>
      <c r="C367" t="s">
        <v>10694</v>
      </c>
      <c r="D367" t="s">
        <v>869</v>
      </c>
      <c r="E367" s="208">
        <v>1.68</v>
      </c>
      <c r="F367" t="s">
        <v>868</v>
      </c>
      <c r="G367" t="s">
        <v>640</v>
      </c>
      <c r="H367" s="271">
        <v>5744</v>
      </c>
    </row>
    <row r="368" spans="1:8" x14ac:dyDescent="0.25">
      <c r="A368" t="s">
        <v>10673</v>
      </c>
      <c r="B368" t="s">
        <v>10693</v>
      </c>
      <c r="C368" t="s">
        <v>10692</v>
      </c>
      <c r="D368" t="s">
        <v>10691</v>
      </c>
      <c r="E368" s="208">
        <v>7.36</v>
      </c>
      <c r="F368" t="s">
        <v>10690</v>
      </c>
      <c r="G368" t="s">
        <v>640</v>
      </c>
      <c r="H368" s="271">
        <v>5745</v>
      </c>
    </row>
    <row r="369" spans="1:8" x14ac:dyDescent="0.25">
      <c r="A369" t="s">
        <v>10673</v>
      </c>
      <c r="B369" t="s">
        <v>10689</v>
      </c>
      <c r="C369" t="s">
        <v>10688</v>
      </c>
      <c r="D369" t="s">
        <v>5847</v>
      </c>
      <c r="E369" s="208">
        <v>1.68</v>
      </c>
      <c r="F369" t="s">
        <v>5848</v>
      </c>
      <c r="G369" t="s">
        <v>640</v>
      </c>
      <c r="H369" s="271">
        <v>5746</v>
      </c>
    </row>
    <row r="370" spans="1:8" x14ac:dyDescent="0.25">
      <c r="A370" t="s">
        <v>10673</v>
      </c>
      <c r="B370" t="s">
        <v>10687</v>
      </c>
      <c r="C370" t="s">
        <v>10686</v>
      </c>
      <c r="D370" t="s">
        <v>685</v>
      </c>
      <c r="E370" s="208">
        <v>8.3800000000000008</v>
      </c>
      <c r="F370" t="s">
        <v>684</v>
      </c>
      <c r="G370" t="s">
        <v>640</v>
      </c>
      <c r="H370" s="271">
        <v>5747</v>
      </c>
    </row>
    <row r="371" spans="1:8" x14ac:dyDescent="0.25">
      <c r="A371" t="s">
        <v>10673</v>
      </c>
      <c r="B371" t="s">
        <v>10685</v>
      </c>
      <c r="C371" t="s">
        <v>10684</v>
      </c>
      <c r="D371" t="s">
        <v>751</v>
      </c>
      <c r="E371" s="208">
        <v>5.04</v>
      </c>
      <c r="F371" t="s">
        <v>750</v>
      </c>
      <c r="G371" t="s">
        <v>640</v>
      </c>
      <c r="H371" s="271">
        <v>5748</v>
      </c>
    </row>
    <row r="372" spans="1:8" x14ac:dyDescent="0.25">
      <c r="A372" t="s">
        <v>10673</v>
      </c>
      <c r="B372" t="s">
        <v>10683</v>
      </c>
      <c r="C372" t="s">
        <v>10682</v>
      </c>
      <c r="D372" t="s">
        <v>1038</v>
      </c>
      <c r="E372" s="208">
        <v>16.53</v>
      </c>
      <c r="F372" t="s">
        <v>1037</v>
      </c>
      <c r="G372" t="s">
        <v>640</v>
      </c>
      <c r="H372" s="271">
        <v>5749</v>
      </c>
    </row>
    <row r="373" spans="1:8" x14ac:dyDescent="0.25">
      <c r="A373" t="s">
        <v>10673</v>
      </c>
      <c r="B373" t="s">
        <v>10681</v>
      </c>
      <c r="C373" t="s">
        <v>10680</v>
      </c>
      <c r="D373" t="s">
        <v>1341</v>
      </c>
      <c r="E373" s="208">
        <v>5.08</v>
      </c>
      <c r="F373" t="s">
        <v>1340</v>
      </c>
      <c r="G373" t="s">
        <v>640</v>
      </c>
      <c r="H373" s="271">
        <v>5750</v>
      </c>
    </row>
    <row r="374" spans="1:8" x14ac:dyDescent="0.25">
      <c r="A374" t="s">
        <v>10673</v>
      </c>
      <c r="B374" t="s">
        <v>10679</v>
      </c>
      <c r="C374" t="s">
        <v>10678</v>
      </c>
      <c r="D374" t="s">
        <v>1156</v>
      </c>
      <c r="E374" s="208">
        <v>6.63</v>
      </c>
      <c r="F374" t="s">
        <v>1155</v>
      </c>
      <c r="G374" t="s">
        <v>640</v>
      </c>
      <c r="H374" s="271">
        <v>5751</v>
      </c>
    </row>
    <row r="375" spans="1:8" x14ac:dyDescent="0.25">
      <c r="A375" t="s">
        <v>10673</v>
      </c>
      <c r="B375" t="s">
        <v>10677</v>
      </c>
      <c r="C375" t="s">
        <v>10676</v>
      </c>
      <c r="D375" t="s">
        <v>768</v>
      </c>
      <c r="E375" s="208">
        <v>1.83</v>
      </c>
      <c r="F375" t="s">
        <v>766</v>
      </c>
      <c r="G375" t="s">
        <v>640</v>
      </c>
      <c r="H375" s="271">
        <v>5752</v>
      </c>
    </row>
    <row r="376" spans="1:8" x14ac:dyDescent="0.25">
      <c r="A376" t="s">
        <v>10673</v>
      </c>
      <c r="B376" t="s">
        <v>10675</v>
      </c>
      <c r="C376" t="s">
        <v>10674</v>
      </c>
      <c r="D376" t="s">
        <v>767</v>
      </c>
      <c r="E376" s="208">
        <v>1.68</v>
      </c>
      <c r="F376" t="s">
        <v>766</v>
      </c>
      <c r="G376" t="s">
        <v>640</v>
      </c>
      <c r="H376" s="271">
        <v>5753</v>
      </c>
    </row>
    <row r="377" spans="1:8" x14ac:dyDescent="0.25">
      <c r="A377" t="s">
        <v>10673</v>
      </c>
      <c r="B377" t="s">
        <v>10672</v>
      </c>
      <c r="C377" t="s">
        <v>10671</v>
      </c>
      <c r="D377" t="s">
        <v>948</v>
      </c>
      <c r="E377" s="208">
        <v>3.36</v>
      </c>
      <c r="F377" t="s">
        <v>947</v>
      </c>
      <c r="G377" t="s">
        <v>640</v>
      </c>
      <c r="H377" s="271">
        <v>5754</v>
      </c>
    </row>
    <row r="378" spans="1:8" x14ac:dyDescent="0.25">
      <c r="C378" s="210" t="s">
        <v>3740</v>
      </c>
      <c r="D378" s="210"/>
      <c r="E378" s="209">
        <f>SUM(E352:E377)</f>
        <v>161.17000000000007</v>
      </c>
    </row>
    <row r="379" spans="1:8" x14ac:dyDescent="0.25">
      <c r="A379" t="s">
        <v>10598</v>
      </c>
      <c r="B379" t="s">
        <v>10670</v>
      </c>
      <c r="C379" t="s">
        <v>10669</v>
      </c>
      <c r="D379" t="s">
        <v>10668</v>
      </c>
      <c r="E379" s="208">
        <v>2.27</v>
      </c>
      <c r="F379" t="s">
        <v>10667</v>
      </c>
      <c r="G379" t="s">
        <v>640</v>
      </c>
      <c r="H379" s="271">
        <v>5802</v>
      </c>
    </row>
    <row r="380" spans="1:8" x14ac:dyDescent="0.25">
      <c r="A380" t="s">
        <v>10598</v>
      </c>
      <c r="B380" t="s">
        <v>10666</v>
      </c>
      <c r="C380" t="s">
        <v>10665</v>
      </c>
      <c r="D380" t="s">
        <v>10664</v>
      </c>
      <c r="E380" s="208">
        <v>19.87</v>
      </c>
      <c r="F380" t="s">
        <v>10663</v>
      </c>
      <c r="G380" t="s">
        <v>640</v>
      </c>
      <c r="H380" s="271">
        <v>5803</v>
      </c>
    </row>
    <row r="381" spans="1:8" x14ac:dyDescent="0.25">
      <c r="A381" t="s">
        <v>10598</v>
      </c>
      <c r="B381" t="s">
        <v>10662</v>
      </c>
      <c r="C381" t="s">
        <v>10661</v>
      </c>
      <c r="D381" t="s">
        <v>4309</v>
      </c>
      <c r="E381" s="208">
        <v>5.49</v>
      </c>
      <c r="F381" t="s">
        <v>4310</v>
      </c>
      <c r="G381" t="s">
        <v>640</v>
      </c>
      <c r="H381" s="271">
        <v>5807</v>
      </c>
    </row>
    <row r="382" spans="1:8" x14ac:dyDescent="0.25">
      <c r="A382" t="s">
        <v>10598</v>
      </c>
      <c r="B382" t="s">
        <v>10660</v>
      </c>
      <c r="C382" t="s">
        <v>10659</v>
      </c>
      <c r="D382" t="s">
        <v>10658</v>
      </c>
      <c r="E382" s="208">
        <v>5.18</v>
      </c>
      <c r="F382" t="s">
        <v>10657</v>
      </c>
      <c r="G382" t="s">
        <v>640</v>
      </c>
      <c r="H382" s="271">
        <v>5804</v>
      </c>
    </row>
    <row r="383" spans="1:8" x14ac:dyDescent="0.25">
      <c r="A383" t="s">
        <v>10598</v>
      </c>
      <c r="B383" t="s">
        <v>10656</v>
      </c>
      <c r="C383" t="s">
        <v>10655</v>
      </c>
      <c r="D383" t="s">
        <v>10654</v>
      </c>
      <c r="E383" s="208">
        <v>201.86</v>
      </c>
      <c r="F383" t="s">
        <v>10653</v>
      </c>
      <c r="G383" t="s">
        <v>640</v>
      </c>
      <c r="H383" s="271">
        <v>5805</v>
      </c>
    </row>
    <row r="384" spans="1:8" x14ac:dyDescent="0.25">
      <c r="A384" t="s">
        <v>10598</v>
      </c>
      <c r="B384" t="s">
        <v>10652</v>
      </c>
      <c r="C384" t="s">
        <v>10651</v>
      </c>
      <c r="D384" t="s">
        <v>10650</v>
      </c>
      <c r="E384" s="208">
        <v>5.04</v>
      </c>
      <c r="F384" t="s">
        <v>10649</v>
      </c>
      <c r="G384" t="s">
        <v>640</v>
      </c>
      <c r="H384" s="271">
        <v>5808</v>
      </c>
    </row>
    <row r="385" spans="1:8" x14ac:dyDescent="0.25">
      <c r="A385" t="s">
        <v>10598</v>
      </c>
      <c r="B385" t="s">
        <v>10648</v>
      </c>
      <c r="C385" t="s">
        <v>10647</v>
      </c>
      <c r="D385" t="s">
        <v>10646</v>
      </c>
      <c r="E385" s="208">
        <v>5.85</v>
      </c>
      <c r="F385" t="s">
        <v>10645</v>
      </c>
      <c r="G385" t="s">
        <v>640</v>
      </c>
      <c r="H385" s="271">
        <v>5809</v>
      </c>
    </row>
    <row r="386" spans="1:8" x14ac:dyDescent="0.25">
      <c r="A386" t="s">
        <v>10598</v>
      </c>
      <c r="B386" t="s">
        <v>10644</v>
      </c>
      <c r="C386" t="s">
        <v>10643</v>
      </c>
      <c r="D386" t="s">
        <v>3621</v>
      </c>
      <c r="E386" s="208">
        <v>7.68</v>
      </c>
      <c r="F386" t="s">
        <v>3622</v>
      </c>
      <c r="G386" t="s">
        <v>640</v>
      </c>
      <c r="H386" s="271">
        <v>5810</v>
      </c>
    </row>
    <row r="387" spans="1:8" x14ac:dyDescent="0.25">
      <c r="A387" t="s">
        <v>10598</v>
      </c>
      <c r="B387" t="s">
        <v>10642</v>
      </c>
      <c r="C387" t="s">
        <v>10641</v>
      </c>
      <c r="D387" t="s">
        <v>4844</v>
      </c>
      <c r="E387" s="208">
        <v>5.8</v>
      </c>
      <c r="F387" t="s">
        <v>4845</v>
      </c>
      <c r="G387" t="s">
        <v>640</v>
      </c>
      <c r="H387" s="271">
        <v>5811</v>
      </c>
    </row>
    <row r="388" spans="1:8" x14ac:dyDescent="0.25">
      <c r="A388" t="s">
        <v>10598</v>
      </c>
      <c r="B388" t="s">
        <v>10640</v>
      </c>
      <c r="C388" t="s">
        <v>10639</v>
      </c>
      <c r="D388" t="s">
        <v>1331</v>
      </c>
      <c r="E388" s="208">
        <v>2.63</v>
      </c>
      <c r="F388" t="s">
        <v>1330</v>
      </c>
      <c r="G388" t="s">
        <v>640</v>
      </c>
      <c r="H388" s="271">
        <v>5812</v>
      </c>
    </row>
    <row r="389" spans="1:8" x14ac:dyDescent="0.25">
      <c r="A389" t="s">
        <v>10598</v>
      </c>
      <c r="B389" t="s">
        <v>10638</v>
      </c>
      <c r="C389" t="s">
        <v>10637</v>
      </c>
      <c r="D389" t="s">
        <v>778</v>
      </c>
      <c r="E389" s="208">
        <v>8</v>
      </c>
      <c r="F389" t="s">
        <v>777</v>
      </c>
      <c r="G389" t="s">
        <v>640</v>
      </c>
      <c r="H389" s="271">
        <v>5813</v>
      </c>
    </row>
    <row r="390" spans="1:8" x14ac:dyDescent="0.25">
      <c r="A390" t="s">
        <v>10598</v>
      </c>
      <c r="B390" t="s">
        <v>10636</v>
      </c>
      <c r="C390" t="s">
        <v>10635</v>
      </c>
      <c r="D390" t="s">
        <v>1007</v>
      </c>
      <c r="E390" s="208">
        <v>1.68</v>
      </c>
      <c r="F390" t="s">
        <v>1006</v>
      </c>
      <c r="G390" t="s">
        <v>640</v>
      </c>
      <c r="H390" s="271">
        <v>5814</v>
      </c>
    </row>
    <row r="391" spans="1:8" x14ac:dyDescent="0.25">
      <c r="A391" t="s">
        <v>10598</v>
      </c>
      <c r="B391" t="s">
        <v>10634</v>
      </c>
      <c r="C391" t="s">
        <v>10633</v>
      </c>
      <c r="D391" t="s">
        <v>911</v>
      </c>
      <c r="E391" s="208">
        <v>3.75</v>
      </c>
      <c r="F391" t="s">
        <v>910</v>
      </c>
      <c r="G391" t="s">
        <v>640</v>
      </c>
      <c r="H391" s="271">
        <v>5815</v>
      </c>
    </row>
    <row r="392" spans="1:8" x14ac:dyDescent="0.25">
      <c r="A392" t="s">
        <v>10598</v>
      </c>
      <c r="B392" t="s">
        <v>10632</v>
      </c>
      <c r="C392" t="s">
        <v>10631</v>
      </c>
      <c r="D392" t="s">
        <v>3597</v>
      </c>
      <c r="E392" s="208">
        <v>1.68</v>
      </c>
      <c r="F392" t="s">
        <v>3598</v>
      </c>
      <c r="G392" t="s">
        <v>640</v>
      </c>
      <c r="H392" s="271">
        <v>5816</v>
      </c>
    </row>
    <row r="393" spans="1:8" x14ac:dyDescent="0.25">
      <c r="A393" t="s">
        <v>10598</v>
      </c>
      <c r="B393" t="s">
        <v>10630</v>
      </c>
      <c r="C393" t="s">
        <v>10629</v>
      </c>
      <c r="D393" t="s">
        <v>993</v>
      </c>
      <c r="E393" s="208">
        <v>1.77</v>
      </c>
      <c r="F393" t="s">
        <v>992</v>
      </c>
      <c r="G393" t="s">
        <v>640</v>
      </c>
      <c r="H393" s="271">
        <v>5817</v>
      </c>
    </row>
    <row r="394" spans="1:8" x14ac:dyDescent="0.25">
      <c r="A394" t="s">
        <v>10598</v>
      </c>
      <c r="B394" t="s">
        <v>10628</v>
      </c>
      <c r="C394" t="s">
        <v>10627</v>
      </c>
      <c r="D394" t="s">
        <v>1327</v>
      </c>
      <c r="E394" s="208">
        <v>11.87</v>
      </c>
      <c r="F394" t="s">
        <v>1326</v>
      </c>
      <c r="G394" t="s">
        <v>640</v>
      </c>
      <c r="H394" s="271">
        <v>5818</v>
      </c>
    </row>
    <row r="395" spans="1:8" x14ac:dyDescent="0.25">
      <c r="A395" t="s">
        <v>10598</v>
      </c>
      <c r="B395" t="s">
        <v>2684</v>
      </c>
      <c r="C395" t="s">
        <v>10626</v>
      </c>
      <c r="D395" t="s">
        <v>846</v>
      </c>
      <c r="E395" s="208">
        <v>8.3800000000000008</v>
      </c>
      <c r="F395" t="s">
        <v>845</v>
      </c>
      <c r="G395" t="s">
        <v>640</v>
      </c>
      <c r="H395" s="271">
        <v>5819</v>
      </c>
    </row>
    <row r="396" spans="1:8" x14ac:dyDescent="0.25">
      <c r="A396" t="s">
        <v>10598</v>
      </c>
      <c r="B396" t="s">
        <v>10625</v>
      </c>
      <c r="C396" t="s">
        <v>10624</v>
      </c>
      <c r="D396" t="s">
        <v>10623</v>
      </c>
      <c r="E396" s="208">
        <v>0.25</v>
      </c>
      <c r="F396" t="s">
        <v>10622</v>
      </c>
      <c r="G396" t="s">
        <v>640</v>
      </c>
      <c r="H396" s="271">
        <v>5820</v>
      </c>
    </row>
    <row r="397" spans="1:8" x14ac:dyDescent="0.25">
      <c r="A397" t="s">
        <v>10598</v>
      </c>
      <c r="B397" t="s">
        <v>10621</v>
      </c>
      <c r="C397" t="s">
        <v>10620</v>
      </c>
      <c r="D397" t="s">
        <v>956</v>
      </c>
      <c r="E397" s="208">
        <v>5.38</v>
      </c>
      <c r="F397" t="s">
        <v>955</v>
      </c>
      <c r="G397" t="s">
        <v>640</v>
      </c>
      <c r="H397" s="271">
        <v>5821</v>
      </c>
    </row>
    <row r="398" spans="1:8" x14ac:dyDescent="0.25">
      <c r="A398" t="s">
        <v>10598</v>
      </c>
      <c r="B398" t="s">
        <v>4355</v>
      </c>
      <c r="C398" t="s">
        <v>10619</v>
      </c>
      <c r="D398" t="s">
        <v>1485</v>
      </c>
      <c r="E398" s="208">
        <v>3.48</v>
      </c>
      <c r="F398" t="s">
        <v>1484</v>
      </c>
      <c r="G398" t="s">
        <v>640</v>
      </c>
      <c r="H398" s="271">
        <v>5822</v>
      </c>
    </row>
    <row r="399" spans="1:8" x14ac:dyDescent="0.25">
      <c r="A399" t="s">
        <v>10598</v>
      </c>
      <c r="B399" t="s">
        <v>10618</v>
      </c>
      <c r="C399" t="s">
        <v>10617</v>
      </c>
      <c r="D399" t="s">
        <v>3036</v>
      </c>
      <c r="E399" s="208">
        <v>7.3</v>
      </c>
      <c r="F399" t="s">
        <v>3037</v>
      </c>
      <c r="G399" t="s">
        <v>640</v>
      </c>
      <c r="H399" s="271">
        <v>5823</v>
      </c>
    </row>
    <row r="400" spans="1:8" x14ac:dyDescent="0.25">
      <c r="A400" t="s">
        <v>10598</v>
      </c>
      <c r="B400" t="s">
        <v>10616</v>
      </c>
      <c r="C400" t="s">
        <v>10615</v>
      </c>
      <c r="D400" t="s">
        <v>1022</v>
      </c>
      <c r="E400" s="208">
        <v>1.68</v>
      </c>
      <c r="F400" t="s">
        <v>1021</v>
      </c>
      <c r="G400" t="s">
        <v>640</v>
      </c>
      <c r="H400" s="271">
        <v>5824</v>
      </c>
    </row>
    <row r="401" spans="1:8" x14ac:dyDescent="0.25">
      <c r="A401" t="s">
        <v>10598</v>
      </c>
      <c r="B401" t="s">
        <v>10614</v>
      </c>
      <c r="C401" t="s">
        <v>10613</v>
      </c>
      <c r="D401" t="s">
        <v>4527</v>
      </c>
      <c r="E401" s="208">
        <v>10.6</v>
      </c>
      <c r="F401" t="s">
        <v>4528</v>
      </c>
      <c r="G401" t="s">
        <v>640</v>
      </c>
      <c r="H401" s="271">
        <v>5825</v>
      </c>
    </row>
    <row r="402" spans="1:8" x14ac:dyDescent="0.25">
      <c r="A402" t="s">
        <v>10598</v>
      </c>
      <c r="B402" t="s">
        <v>10612</v>
      </c>
      <c r="C402" t="s">
        <v>10611</v>
      </c>
      <c r="D402" t="s">
        <v>10610</v>
      </c>
      <c r="E402" s="208">
        <v>1.86</v>
      </c>
      <c r="F402" t="s">
        <v>10609</v>
      </c>
      <c r="G402" t="s">
        <v>640</v>
      </c>
      <c r="H402" s="271">
        <v>5826</v>
      </c>
    </row>
    <row r="403" spans="1:8" x14ac:dyDescent="0.25">
      <c r="A403" t="s">
        <v>10598</v>
      </c>
      <c r="B403" t="s">
        <v>10608</v>
      </c>
      <c r="C403" t="s">
        <v>10607</v>
      </c>
      <c r="D403" t="s">
        <v>4878</v>
      </c>
      <c r="E403" s="208">
        <v>25.14</v>
      </c>
      <c r="F403" t="s">
        <v>4879</v>
      </c>
      <c r="G403" t="s">
        <v>640</v>
      </c>
      <c r="H403" s="271">
        <v>5827</v>
      </c>
    </row>
    <row r="404" spans="1:8" x14ac:dyDescent="0.25">
      <c r="A404" t="s">
        <v>10598</v>
      </c>
      <c r="B404" t="s">
        <v>10606</v>
      </c>
      <c r="C404" t="s">
        <v>10605</v>
      </c>
      <c r="D404" t="s">
        <v>10604</v>
      </c>
      <c r="E404" s="208">
        <v>0.99</v>
      </c>
      <c r="F404" t="s">
        <v>10603</v>
      </c>
      <c r="G404" t="s">
        <v>640</v>
      </c>
      <c r="H404" s="271">
        <v>5828</v>
      </c>
    </row>
    <row r="405" spans="1:8" x14ac:dyDescent="0.25">
      <c r="A405" t="s">
        <v>10598</v>
      </c>
      <c r="B405" t="s">
        <v>10602</v>
      </c>
      <c r="C405" t="s">
        <v>10601</v>
      </c>
      <c r="D405" t="s">
        <v>1162</v>
      </c>
      <c r="E405" s="208">
        <v>1.9</v>
      </c>
      <c r="F405" t="s">
        <v>1161</v>
      </c>
      <c r="G405" t="s">
        <v>640</v>
      </c>
      <c r="H405" s="271">
        <v>5829</v>
      </c>
    </row>
    <row r="406" spans="1:8" x14ac:dyDescent="0.25">
      <c r="A406" t="s">
        <v>10598</v>
      </c>
      <c r="B406" t="s">
        <v>10600</v>
      </c>
      <c r="C406" t="s">
        <v>10599</v>
      </c>
      <c r="D406" t="s">
        <v>2902</v>
      </c>
      <c r="E406" s="208">
        <v>4.1900000000000004</v>
      </c>
      <c r="F406" t="s">
        <v>2903</v>
      </c>
      <c r="G406" t="s">
        <v>640</v>
      </c>
      <c r="H406" s="271">
        <v>5830</v>
      </c>
    </row>
    <row r="407" spans="1:8" x14ac:dyDescent="0.25">
      <c r="A407" t="s">
        <v>10598</v>
      </c>
      <c r="B407" t="s">
        <v>10597</v>
      </c>
      <c r="C407" t="s">
        <v>10596</v>
      </c>
      <c r="D407" t="s">
        <v>5329</v>
      </c>
      <c r="E407" s="208">
        <v>24.12</v>
      </c>
      <c r="F407" t="s">
        <v>5330</v>
      </c>
      <c r="G407" t="s">
        <v>640</v>
      </c>
      <c r="H407" s="271">
        <v>5831</v>
      </c>
    </row>
    <row r="408" spans="1:8" x14ac:dyDescent="0.25">
      <c r="C408" s="210" t="s">
        <v>3740</v>
      </c>
      <c r="D408" s="210"/>
      <c r="E408" s="209">
        <f>SUM(E379:E407)</f>
        <v>385.69000000000005</v>
      </c>
    </row>
    <row r="409" spans="1:8" x14ac:dyDescent="0.25">
      <c r="A409" t="s">
        <v>10540</v>
      </c>
      <c r="B409" t="s">
        <v>10595</v>
      </c>
      <c r="C409" t="s">
        <v>10594</v>
      </c>
      <c r="D409" t="s">
        <v>3700</v>
      </c>
      <c r="E409" s="208">
        <v>6.08</v>
      </c>
      <c r="F409" t="s">
        <v>3701</v>
      </c>
      <c r="G409" t="s">
        <v>640</v>
      </c>
      <c r="H409" s="271">
        <v>5851</v>
      </c>
    </row>
    <row r="410" spans="1:8" x14ac:dyDescent="0.25">
      <c r="A410" t="s">
        <v>10540</v>
      </c>
      <c r="B410" t="s">
        <v>10593</v>
      </c>
      <c r="C410" t="s">
        <v>10592</v>
      </c>
      <c r="D410" t="s">
        <v>1164</v>
      </c>
      <c r="E410" s="208">
        <v>2.98</v>
      </c>
      <c r="F410" t="s">
        <v>1163</v>
      </c>
      <c r="G410" t="s">
        <v>640</v>
      </c>
      <c r="H410" s="271">
        <v>5852</v>
      </c>
    </row>
    <row r="411" spans="1:8" x14ac:dyDescent="0.25">
      <c r="A411" t="s">
        <v>10540</v>
      </c>
      <c r="B411" t="s">
        <v>10591</v>
      </c>
      <c r="C411" t="s">
        <v>10590</v>
      </c>
      <c r="D411" t="s">
        <v>4262</v>
      </c>
      <c r="E411" s="208">
        <v>6.13</v>
      </c>
      <c r="F411" t="s">
        <v>4263</v>
      </c>
      <c r="G411" t="s">
        <v>640</v>
      </c>
      <c r="H411" s="271">
        <v>5853</v>
      </c>
    </row>
    <row r="412" spans="1:8" x14ac:dyDescent="0.25">
      <c r="A412" t="s">
        <v>10540</v>
      </c>
      <c r="B412" t="s">
        <v>10589</v>
      </c>
      <c r="C412" t="s">
        <v>10588</v>
      </c>
      <c r="D412" t="s">
        <v>723</v>
      </c>
      <c r="E412" s="208">
        <v>3.85</v>
      </c>
      <c r="F412" t="s">
        <v>721</v>
      </c>
      <c r="G412" t="s">
        <v>640</v>
      </c>
      <c r="H412" s="271">
        <v>5854</v>
      </c>
    </row>
    <row r="413" spans="1:8" x14ac:dyDescent="0.25">
      <c r="A413" t="s">
        <v>10540</v>
      </c>
      <c r="B413" t="s">
        <v>10587</v>
      </c>
      <c r="C413" t="s">
        <v>10586</v>
      </c>
      <c r="D413" t="s">
        <v>722</v>
      </c>
      <c r="E413" s="208">
        <v>2.68</v>
      </c>
      <c r="F413" t="s">
        <v>721</v>
      </c>
      <c r="G413" t="s">
        <v>640</v>
      </c>
      <c r="H413" s="271">
        <v>5855</v>
      </c>
    </row>
    <row r="414" spans="1:8" x14ac:dyDescent="0.25">
      <c r="A414" t="s">
        <v>10540</v>
      </c>
      <c r="B414" t="s">
        <v>10585</v>
      </c>
      <c r="C414" t="s">
        <v>10584</v>
      </c>
      <c r="D414" t="s">
        <v>3819</v>
      </c>
      <c r="E414" s="208">
        <v>7.86</v>
      </c>
      <c r="F414" t="s">
        <v>3820</v>
      </c>
      <c r="G414" t="s">
        <v>640</v>
      </c>
      <c r="H414" s="271">
        <v>5856</v>
      </c>
    </row>
    <row r="415" spans="1:8" x14ac:dyDescent="0.25">
      <c r="A415" t="s">
        <v>10540</v>
      </c>
      <c r="B415" t="s">
        <v>10583</v>
      </c>
      <c r="C415" t="s">
        <v>10582</v>
      </c>
      <c r="D415" t="s">
        <v>1224</v>
      </c>
      <c r="E415" s="208">
        <v>3.47</v>
      </c>
      <c r="F415" t="s">
        <v>1223</v>
      </c>
      <c r="G415" t="s">
        <v>640</v>
      </c>
      <c r="H415" s="271">
        <v>5857</v>
      </c>
    </row>
    <row r="416" spans="1:8" x14ac:dyDescent="0.25">
      <c r="A416" t="s">
        <v>10540</v>
      </c>
      <c r="B416" t="s">
        <v>10581</v>
      </c>
      <c r="C416" t="s">
        <v>10580</v>
      </c>
      <c r="D416" t="s">
        <v>1225</v>
      </c>
      <c r="E416" s="208">
        <v>10.02</v>
      </c>
      <c r="F416" t="s">
        <v>1223</v>
      </c>
      <c r="G416" t="s">
        <v>640</v>
      </c>
      <c r="H416" s="271">
        <v>5858</v>
      </c>
    </row>
    <row r="417" spans="1:8" x14ac:dyDescent="0.25">
      <c r="A417" t="s">
        <v>10540</v>
      </c>
      <c r="B417" t="s">
        <v>10579</v>
      </c>
      <c r="C417" t="s">
        <v>10578</v>
      </c>
      <c r="D417" t="s">
        <v>10577</v>
      </c>
      <c r="E417" s="208">
        <v>10.26</v>
      </c>
      <c r="F417" t="s">
        <v>10576</v>
      </c>
      <c r="G417" t="s">
        <v>640</v>
      </c>
      <c r="H417" s="271">
        <v>5859</v>
      </c>
    </row>
    <row r="418" spans="1:8" x14ac:dyDescent="0.25">
      <c r="A418" t="s">
        <v>10540</v>
      </c>
      <c r="B418" t="s">
        <v>10575</v>
      </c>
      <c r="C418" t="s">
        <v>10574</v>
      </c>
      <c r="D418" t="s">
        <v>1347</v>
      </c>
      <c r="E418" s="208">
        <v>6.28</v>
      </c>
      <c r="F418" t="s">
        <v>1346</v>
      </c>
      <c r="G418" t="s">
        <v>640</v>
      </c>
      <c r="H418" s="271">
        <v>5860</v>
      </c>
    </row>
    <row r="419" spans="1:8" x14ac:dyDescent="0.25">
      <c r="A419" t="s">
        <v>10540</v>
      </c>
      <c r="B419" t="s">
        <v>10573</v>
      </c>
      <c r="C419" t="s">
        <v>10572</v>
      </c>
      <c r="D419" t="s">
        <v>3919</v>
      </c>
      <c r="E419" s="208">
        <v>6.45</v>
      </c>
      <c r="F419" t="s">
        <v>3920</v>
      </c>
      <c r="G419" t="s">
        <v>640</v>
      </c>
      <c r="H419" s="271">
        <v>5861</v>
      </c>
    </row>
    <row r="420" spans="1:8" x14ac:dyDescent="0.25">
      <c r="A420" t="s">
        <v>10540</v>
      </c>
      <c r="B420" t="s">
        <v>10571</v>
      </c>
      <c r="C420" t="s">
        <v>10570</v>
      </c>
      <c r="D420" t="s">
        <v>3923</v>
      </c>
      <c r="E420" s="208">
        <v>11.32</v>
      </c>
      <c r="F420" t="s">
        <v>3924</v>
      </c>
      <c r="G420" t="s">
        <v>640</v>
      </c>
      <c r="H420" s="271">
        <v>5862</v>
      </c>
    </row>
    <row r="421" spans="1:8" x14ac:dyDescent="0.25">
      <c r="A421" t="s">
        <v>10540</v>
      </c>
      <c r="B421" t="s">
        <v>10569</v>
      </c>
      <c r="C421" t="s">
        <v>10568</v>
      </c>
      <c r="D421" t="s">
        <v>3927</v>
      </c>
      <c r="E421" s="208">
        <v>5.04</v>
      </c>
      <c r="F421" t="s">
        <v>3928</v>
      </c>
      <c r="G421" t="s">
        <v>640</v>
      </c>
      <c r="H421" s="271">
        <v>5863</v>
      </c>
    </row>
    <row r="422" spans="1:8" x14ac:dyDescent="0.25">
      <c r="A422" t="s">
        <v>10540</v>
      </c>
      <c r="B422" t="s">
        <v>10567</v>
      </c>
      <c r="C422" t="s">
        <v>10566</v>
      </c>
      <c r="D422" t="s">
        <v>5924</v>
      </c>
      <c r="E422" s="208">
        <v>4.26</v>
      </c>
      <c r="F422" t="s">
        <v>5925</v>
      </c>
      <c r="G422" t="s">
        <v>640</v>
      </c>
      <c r="H422" s="271">
        <v>5864</v>
      </c>
    </row>
    <row r="423" spans="1:8" x14ac:dyDescent="0.25">
      <c r="A423" t="s">
        <v>10540</v>
      </c>
      <c r="B423" t="s">
        <v>10565</v>
      </c>
      <c r="C423" t="s">
        <v>10564</v>
      </c>
      <c r="D423" t="s">
        <v>10563</v>
      </c>
      <c r="E423" s="208">
        <v>4.18</v>
      </c>
      <c r="F423" t="s">
        <v>10562</v>
      </c>
      <c r="G423" t="s">
        <v>640</v>
      </c>
      <c r="H423" s="271">
        <v>5865</v>
      </c>
    </row>
    <row r="424" spans="1:8" x14ac:dyDescent="0.25">
      <c r="A424" t="s">
        <v>10540</v>
      </c>
      <c r="B424" t="s">
        <v>10561</v>
      </c>
      <c r="C424" t="s">
        <v>10560</v>
      </c>
      <c r="D424" t="s">
        <v>976</v>
      </c>
      <c r="E424" s="208">
        <v>5.15</v>
      </c>
      <c r="F424" t="s">
        <v>975</v>
      </c>
      <c r="G424" t="s">
        <v>640</v>
      </c>
      <c r="H424" s="271">
        <v>5866</v>
      </c>
    </row>
    <row r="425" spans="1:8" x14ac:dyDescent="0.25">
      <c r="A425" t="s">
        <v>10540</v>
      </c>
      <c r="B425" t="s">
        <v>10559</v>
      </c>
      <c r="C425" t="s">
        <v>10558</v>
      </c>
      <c r="D425" t="s">
        <v>733</v>
      </c>
      <c r="E425" s="208">
        <v>6.94</v>
      </c>
      <c r="F425" t="s">
        <v>732</v>
      </c>
      <c r="G425" t="s">
        <v>640</v>
      </c>
      <c r="H425" s="271">
        <v>5867</v>
      </c>
    </row>
    <row r="426" spans="1:8" x14ac:dyDescent="0.25">
      <c r="A426" t="s">
        <v>10540</v>
      </c>
      <c r="B426" t="s">
        <v>4208</v>
      </c>
      <c r="C426" t="s">
        <v>10557</v>
      </c>
      <c r="D426" t="s">
        <v>1452</v>
      </c>
      <c r="E426" s="208">
        <v>4.12</v>
      </c>
      <c r="F426" t="s">
        <v>1451</v>
      </c>
      <c r="G426" t="s">
        <v>640</v>
      </c>
      <c r="H426" s="271">
        <v>5868</v>
      </c>
    </row>
    <row r="427" spans="1:8" x14ac:dyDescent="0.25">
      <c r="A427" t="s">
        <v>10540</v>
      </c>
      <c r="B427" t="s">
        <v>10556</v>
      </c>
      <c r="C427" t="s">
        <v>10555</v>
      </c>
      <c r="D427" t="s">
        <v>3858</v>
      </c>
      <c r="E427" s="208">
        <v>1.68</v>
      </c>
      <c r="F427" t="s">
        <v>3859</v>
      </c>
      <c r="G427" t="s">
        <v>640</v>
      </c>
      <c r="H427" s="271">
        <v>5869</v>
      </c>
    </row>
    <row r="428" spans="1:8" x14ac:dyDescent="0.25">
      <c r="A428" t="s">
        <v>10540</v>
      </c>
      <c r="B428" t="s">
        <v>10554</v>
      </c>
      <c r="C428" t="s">
        <v>10553</v>
      </c>
      <c r="D428" t="s">
        <v>648</v>
      </c>
      <c r="E428" s="208">
        <v>0.75</v>
      </c>
      <c r="F428" t="s">
        <v>647</v>
      </c>
      <c r="G428" t="s">
        <v>640</v>
      </c>
      <c r="H428" s="271">
        <v>5870</v>
      </c>
    </row>
    <row r="429" spans="1:8" x14ac:dyDescent="0.25">
      <c r="A429" t="s">
        <v>10540</v>
      </c>
      <c r="B429" t="s">
        <v>10552</v>
      </c>
      <c r="C429" t="s">
        <v>10551</v>
      </c>
      <c r="D429" t="s">
        <v>10550</v>
      </c>
      <c r="E429" s="208">
        <v>1.94</v>
      </c>
      <c r="F429" t="s">
        <v>10549</v>
      </c>
      <c r="G429" t="s">
        <v>640</v>
      </c>
      <c r="H429" s="271">
        <v>5871</v>
      </c>
    </row>
    <row r="430" spans="1:8" x14ac:dyDescent="0.25">
      <c r="A430" t="s">
        <v>10540</v>
      </c>
      <c r="B430" t="s">
        <v>10548</v>
      </c>
      <c r="C430" t="s">
        <v>10547</v>
      </c>
      <c r="D430" t="s">
        <v>4498</v>
      </c>
      <c r="E430" s="208">
        <v>1.78</v>
      </c>
      <c r="F430" t="s">
        <v>4499</v>
      </c>
      <c r="G430" t="s">
        <v>640</v>
      </c>
      <c r="H430" s="271">
        <v>5872</v>
      </c>
    </row>
    <row r="431" spans="1:8" x14ac:dyDescent="0.25">
      <c r="A431" t="s">
        <v>10540</v>
      </c>
      <c r="B431" t="s">
        <v>10546</v>
      </c>
      <c r="C431" t="s">
        <v>10545</v>
      </c>
      <c r="D431" t="s">
        <v>879</v>
      </c>
      <c r="E431" s="208">
        <v>4.5599999999999996</v>
      </c>
      <c r="F431" t="s">
        <v>878</v>
      </c>
      <c r="G431" t="s">
        <v>640</v>
      </c>
      <c r="H431" s="271">
        <v>5873</v>
      </c>
    </row>
    <row r="432" spans="1:8" x14ac:dyDescent="0.25">
      <c r="A432" t="s">
        <v>10540</v>
      </c>
      <c r="B432" t="s">
        <v>10544</v>
      </c>
      <c r="C432" t="s">
        <v>10543</v>
      </c>
      <c r="D432" t="s">
        <v>10542</v>
      </c>
      <c r="E432" s="208">
        <v>1.05</v>
      </c>
      <c r="F432" t="s">
        <v>10541</v>
      </c>
      <c r="G432" t="s">
        <v>640</v>
      </c>
      <c r="H432" s="271">
        <v>5874</v>
      </c>
    </row>
    <row r="433" spans="1:8" x14ac:dyDescent="0.25">
      <c r="A433" t="s">
        <v>10540</v>
      </c>
      <c r="B433" t="s">
        <v>10539</v>
      </c>
      <c r="C433" t="s">
        <v>10538</v>
      </c>
      <c r="D433" t="s">
        <v>932</v>
      </c>
      <c r="E433" s="208">
        <v>2.04</v>
      </c>
      <c r="F433" t="s">
        <v>931</v>
      </c>
      <c r="G433" t="s">
        <v>640</v>
      </c>
      <c r="H433" s="271">
        <v>5875</v>
      </c>
    </row>
    <row r="434" spans="1:8" x14ac:dyDescent="0.25">
      <c r="C434" s="210" t="s">
        <v>3740</v>
      </c>
      <c r="D434" s="210"/>
      <c r="E434" s="209">
        <f>SUM(E409:E433)</f>
        <v>120.87000000000003</v>
      </c>
    </row>
    <row r="435" spans="1:8" x14ac:dyDescent="0.25">
      <c r="E435" s="208"/>
    </row>
    <row r="436" spans="1:8" x14ac:dyDescent="0.25">
      <c r="E436" s="208"/>
    </row>
    <row r="437" spans="1:8" x14ac:dyDescent="0.25">
      <c r="E437" s="208"/>
    </row>
    <row r="438" spans="1:8" x14ac:dyDescent="0.25">
      <c r="E438" s="208"/>
    </row>
    <row r="439" spans="1:8" x14ac:dyDescent="0.25">
      <c r="E439" s="208"/>
    </row>
    <row r="440" spans="1:8" x14ac:dyDescent="0.25">
      <c r="E440" s="208"/>
    </row>
    <row r="441" spans="1:8" x14ac:dyDescent="0.25">
      <c r="E441" s="208"/>
    </row>
    <row r="442" spans="1:8" x14ac:dyDescent="0.25">
      <c r="E442" s="208"/>
    </row>
    <row r="443" spans="1:8" x14ac:dyDescent="0.25">
      <c r="E443" s="208"/>
    </row>
    <row r="444" spans="1:8" x14ac:dyDescent="0.25">
      <c r="E444" s="208"/>
    </row>
    <row r="445" spans="1:8" x14ac:dyDescent="0.25">
      <c r="E445" s="208"/>
    </row>
    <row r="446" spans="1:8" x14ac:dyDescent="0.25">
      <c r="E446" s="208"/>
    </row>
    <row r="447" spans="1:8" x14ac:dyDescent="0.25">
      <c r="E447" s="208"/>
    </row>
    <row r="448" spans="1:8" x14ac:dyDescent="0.25">
      <c r="E448" s="208"/>
    </row>
    <row r="449" spans="5:5" x14ac:dyDescent="0.25">
      <c r="E449" s="208"/>
    </row>
    <row r="450" spans="5:5" x14ac:dyDescent="0.25">
      <c r="E450" s="208"/>
    </row>
    <row r="451" spans="5:5" x14ac:dyDescent="0.25">
      <c r="E451" s="208"/>
    </row>
    <row r="452" spans="5:5" x14ac:dyDescent="0.25">
      <c r="E452" s="208"/>
    </row>
    <row r="453" spans="5:5" x14ac:dyDescent="0.25">
      <c r="E453" s="208"/>
    </row>
    <row r="454" spans="5:5" x14ac:dyDescent="0.25">
      <c r="E454" s="208"/>
    </row>
    <row r="455" spans="5:5" x14ac:dyDescent="0.25">
      <c r="E455" s="208"/>
    </row>
    <row r="456" spans="5:5" x14ac:dyDescent="0.25">
      <c r="E456" s="208"/>
    </row>
    <row r="457" spans="5:5" x14ac:dyDescent="0.25">
      <c r="E457" s="208"/>
    </row>
    <row r="458" spans="5:5" x14ac:dyDescent="0.25">
      <c r="E458" s="208"/>
    </row>
    <row r="459" spans="5:5" x14ac:dyDescent="0.25">
      <c r="E459" s="208"/>
    </row>
    <row r="460" spans="5:5" x14ac:dyDescent="0.25">
      <c r="E460" s="208"/>
    </row>
    <row r="461" spans="5:5" x14ac:dyDescent="0.25">
      <c r="E461" s="208"/>
    </row>
    <row r="462" spans="5:5" x14ac:dyDescent="0.25">
      <c r="E462" s="208"/>
    </row>
    <row r="463" spans="5:5" x14ac:dyDescent="0.25">
      <c r="E463" s="208"/>
    </row>
    <row r="464" spans="5:5" x14ac:dyDescent="0.25">
      <c r="E464" s="208"/>
    </row>
    <row r="465" spans="5:5" x14ac:dyDescent="0.25">
      <c r="E465" s="208"/>
    </row>
    <row r="466" spans="5:5" x14ac:dyDescent="0.25">
      <c r="E466" s="208"/>
    </row>
    <row r="467" spans="5:5" x14ac:dyDescent="0.25">
      <c r="E467" s="208"/>
    </row>
    <row r="468" spans="5:5" x14ac:dyDescent="0.25">
      <c r="E468" s="208"/>
    </row>
    <row r="469" spans="5:5" x14ac:dyDescent="0.25">
      <c r="E469" s="208"/>
    </row>
    <row r="470" spans="5:5" x14ac:dyDescent="0.25">
      <c r="E470" s="208"/>
    </row>
    <row r="471" spans="5:5" x14ac:dyDescent="0.25">
      <c r="E471" s="208"/>
    </row>
    <row r="472" spans="5:5" x14ac:dyDescent="0.25">
      <c r="E472" s="208"/>
    </row>
    <row r="473" spans="5:5" x14ac:dyDescent="0.25">
      <c r="E473" s="208"/>
    </row>
    <row r="474" spans="5:5" x14ac:dyDescent="0.25">
      <c r="E474" s="208"/>
    </row>
    <row r="475" spans="5:5" x14ac:dyDescent="0.25">
      <c r="E475" s="208"/>
    </row>
    <row r="476" spans="5:5" x14ac:dyDescent="0.25">
      <c r="E476" s="208"/>
    </row>
    <row r="477" spans="5:5" x14ac:dyDescent="0.25">
      <c r="E477" s="208"/>
    </row>
    <row r="478" spans="5:5" x14ac:dyDescent="0.25">
      <c r="E478" s="208"/>
    </row>
    <row r="479" spans="5:5" x14ac:dyDescent="0.25">
      <c r="E479" s="208"/>
    </row>
    <row r="480" spans="5:5" x14ac:dyDescent="0.25">
      <c r="E480" s="208"/>
    </row>
    <row r="481" spans="5:5" x14ac:dyDescent="0.25">
      <c r="E481" s="208"/>
    </row>
    <row r="482" spans="5:5" x14ac:dyDescent="0.25">
      <c r="E482" s="208"/>
    </row>
    <row r="483" spans="5:5" x14ac:dyDescent="0.25">
      <c r="E483" s="208"/>
    </row>
    <row r="484" spans="5:5" x14ac:dyDescent="0.25">
      <c r="E484" s="208"/>
    </row>
    <row r="485" spans="5:5" x14ac:dyDescent="0.25">
      <c r="E485" s="208"/>
    </row>
    <row r="486" spans="5:5" x14ac:dyDescent="0.25">
      <c r="E486" s="208"/>
    </row>
    <row r="487" spans="5:5" x14ac:dyDescent="0.25">
      <c r="E487" s="208"/>
    </row>
    <row r="488" spans="5:5" x14ac:dyDescent="0.25">
      <c r="E488" s="208"/>
    </row>
  </sheetData>
  <mergeCells count="1">
    <mergeCell ref="A3:H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601FB-B27C-40C9-831A-1F0602E31E14}">
  <sheetPr>
    <pageSetUpPr fitToPage="1"/>
  </sheetPr>
  <dimension ref="A1:P96"/>
  <sheetViews>
    <sheetView topLeftCell="A76" zoomScaleNormal="100" workbookViewId="0">
      <selection activeCell="B75" sqref="B75"/>
    </sheetView>
  </sheetViews>
  <sheetFormatPr baseColWidth="10" defaultColWidth="11.42578125" defaultRowHeight="11.25" x14ac:dyDescent="0.2"/>
  <cols>
    <col min="1" max="1" width="11.5703125" style="6" customWidth="1"/>
    <col min="2" max="2" width="67.42578125" style="19" customWidth="1"/>
    <col min="3" max="3" width="12.42578125" style="73" bestFit="1" customWidth="1"/>
    <col min="4" max="4" width="11.28515625" style="161" bestFit="1" customWidth="1"/>
    <col min="5" max="5" width="6.140625" style="6" bestFit="1" customWidth="1"/>
    <col min="6" max="6" width="13.140625" style="6" customWidth="1"/>
    <col min="7" max="7" width="3.5703125" style="6" customWidth="1"/>
    <col min="8" max="8" width="14" style="5" customWidth="1"/>
    <col min="9" max="9" width="11.42578125" style="5"/>
    <col min="10" max="10" width="17.28515625" style="5" customWidth="1"/>
    <col min="11" max="256" width="11.42578125" style="5"/>
    <col min="257" max="257" width="14.140625" style="5" customWidth="1"/>
    <col min="258" max="258" width="55.7109375" style="5" customWidth="1"/>
    <col min="259" max="259" width="12.42578125" style="5" bestFit="1" customWidth="1"/>
    <col min="260" max="260" width="11.28515625" style="5" bestFit="1" customWidth="1"/>
    <col min="261" max="261" width="6.140625" style="5" bestFit="1" customWidth="1"/>
    <col min="262" max="262" width="13.140625" style="5" customWidth="1"/>
    <col min="263" max="263" width="3.5703125" style="5" customWidth="1"/>
    <col min="264" max="264" width="14" style="5" customWidth="1"/>
    <col min="265" max="265" width="11.42578125" style="5"/>
    <col min="266" max="266" width="17.28515625" style="5" customWidth="1"/>
    <col min="267" max="512" width="11.42578125" style="5"/>
    <col min="513" max="513" width="14.140625" style="5" customWidth="1"/>
    <col min="514" max="514" width="55.7109375" style="5" customWidth="1"/>
    <col min="515" max="515" width="12.42578125" style="5" bestFit="1" customWidth="1"/>
    <col min="516" max="516" width="11.28515625" style="5" bestFit="1" customWidth="1"/>
    <col min="517" max="517" width="6.140625" style="5" bestFit="1" customWidth="1"/>
    <col min="518" max="518" width="13.140625" style="5" customWidth="1"/>
    <col min="519" max="519" width="3.5703125" style="5" customWidth="1"/>
    <col min="520" max="520" width="14" style="5" customWidth="1"/>
    <col min="521" max="521" width="11.42578125" style="5"/>
    <col min="522" max="522" width="17.28515625" style="5" customWidth="1"/>
    <col min="523" max="768" width="11.42578125" style="5"/>
    <col min="769" max="769" width="14.140625" style="5" customWidth="1"/>
    <col min="770" max="770" width="55.7109375" style="5" customWidth="1"/>
    <col min="771" max="771" width="12.42578125" style="5" bestFit="1" customWidth="1"/>
    <col min="772" max="772" width="11.28515625" style="5" bestFit="1" customWidth="1"/>
    <col min="773" max="773" width="6.140625" style="5" bestFit="1" customWidth="1"/>
    <col min="774" max="774" width="13.140625" style="5" customWidth="1"/>
    <col min="775" max="775" width="3.5703125" style="5" customWidth="1"/>
    <col min="776" max="776" width="14" style="5" customWidth="1"/>
    <col min="777" max="777" width="11.42578125" style="5"/>
    <col min="778" max="778" width="17.28515625" style="5" customWidth="1"/>
    <col min="779" max="1024" width="11.42578125" style="5"/>
    <col min="1025" max="1025" width="14.140625" style="5" customWidth="1"/>
    <col min="1026" max="1026" width="55.7109375" style="5" customWidth="1"/>
    <col min="1027" max="1027" width="12.42578125" style="5" bestFit="1" customWidth="1"/>
    <col min="1028" max="1028" width="11.28515625" style="5" bestFit="1" customWidth="1"/>
    <col min="1029" max="1029" width="6.140625" style="5" bestFit="1" customWidth="1"/>
    <col min="1030" max="1030" width="13.140625" style="5" customWidth="1"/>
    <col min="1031" max="1031" width="3.5703125" style="5" customWidth="1"/>
    <col min="1032" max="1032" width="14" style="5" customWidth="1"/>
    <col min="1033" max="1033" width="11.42578125" style="5"/>
    <col min="1034" max="1034" width="17.28515625" style="5" customWidth="1"/>
    <col min="1035" max="1280" width="11.42578125" style="5"/>
    <col min="1281" max="1281" width="14.140625" style="5" customWidth="1"/>
    <col min="1282" max="1282" width="55.7109375" style="5" customWidth="1"/>
    <col min="1283" max="1283" width="12.42578125" style="5" bestFit="1" customWidth="1"/>
    <col min="1284" max="1284" width="11.28515625" style="5" bestFit="1" customWidth="1"/>
    <col min="1285" max="1285" width="6.140625" style="5" bestFit="1" customWidth="1"/>
    <col min="1286" max="1286" width="13.140625" style="5" customWidth="1"/>
    <col min="1287" max="1287" width="3.5703125" style="5" customWidth="1"/>
    <col min="1288" max="1288" width="14" style="5" customWidth="1"/>
    <col min="1289" max="1289" width="11.42578125" style="5"/>
    <col min="1290" max="1290" width="17.28515625" style="5" customWidth="1"/>
    <col min="1291" max="1536" width="11.42578125" style="5"/>
    <col min="1537" max="1537" width="14.140625" style="5" customWidth="1"/>
    <col min="1538" max="1538" width="55.7109375" style="5" customWidth="1"/>
    <col min="1539" max="1539" width="12.42578125" style="5" bestFit="1" customWidth="1"/>
    <col min="1540" max="1540" width="11.28515625" style="5" bestFit="1" customWidth="1"/>
    <col min="1541" max="1541" width="6.140625" style="5" bestFit="1" customWidth="1"/>
    <col min="1542" max="1542" width="13.140625" style="5" customWidth="1"/>
    <col min="1543" max="1543" width="3.5703125" style="5" customWidth="1"/>
    <col min="1544" max="1544" width="14" style="5" customWidth="1"/>
    <col min="1545" max="1545" width="11.42578125" style="5"/>
    <col min="1546" max="1546" width="17.28515625" style="5" customWidth="1"/>
    <col min="1547" max="1792" width="11.42578125" style="5"/>
    <col min="1793" max="1793" width="14.140625" style="5" customWidth="1"/>
    <col min="1794" max="1794" width="55.7109375" style="5" customWidth="1"/>
    <col min="1795" max="1795" width="12.42578125" style="5" bestFit="1" customWidth="1"/>
    <col min="1796" max="1796" width="11.28515625" style="5" bestFit="1" customWidth="1"/>
    <col min="1797" max="1797" width="6.140625" style="5" bestFit="1" customWidth="1"/>
    <col min="1798" max="1798" width="13.140625" style="5" customWidth="1"/>
    <col min="1799" max="1799" width="3.5703125" style="5" customWidth="1"/>
    <col min="1800" max="1800" width="14" style="5" customWidth="1"/>
    <col min="1801" max="1801" width="11.42578125" style="5"/>
    <col min="1802" max="1802" width="17.28515625" style="5" customWidth="1"/>
    <col min="1803" max="2048" width="11.42578125" style="5"/>
    <col min="2049" max="2049" width="14.140625" style="5" customWidth="1"/>
    <col min="2050" max="2050" width="55.7109375" style="5" customWidth="1"/>
    <col min="2051" max="2051" width="12.42578125" style="5" bestFit="1" customWidth="1"/>
    <col min="2052" max="2052" width="11.28515625" style="5" bestFit="1" customWidth="1"/>
    <col min="2053" max="2053" width="6.140625" style="5" bestFit="1" customWidth="1"/>
    <col min="2054" max="2054" width="13.140625" style="5" customWidth="1"/>
    <col min="2055" max="2055" width="3.5703125" style="5" customWidth="1"/>
    <col min="2056" max="2056" width="14" style="5" customWidth="1"/>
    <col min="2057" max="2057" width="11.42578125" style="5"/>
    <col min="2058" max="2058" width="17.28515625" style="5" customWidth="1"/>
    <col min="2059" max="2304" width="11.42578125" style="5"/>
    <col min="2305" max="2305" width="14.140625" style="5" customWidth="1"/>
    <col min="2306" max="2306" width="55.7109375" style="5" customWidth="1"/>
    <col min="2307" max="2307" width="12.42578125" style="5" bestFit="1" customWidth="1"/>
    <col min="2308" max="2308" width="11.28515625" style="5" bestFit="1" customWidth="1"/>
    <col min="2309" max="2309" width="6.140625" style="5" bestFit="1" customWidth="1"/>
    <col min="2310" max="2310" width="13.140625" style="5" customWidth="1"/>
    <col min="2311" max="2311" width="3.5703125" style="5" customWidth="1"/>
    <col min="2312" max="2312" width="14" style="5" customWidth="1"/>
    <col min="2313" max="2313" width="11.42578125" style="5"/>
    <col min="2314" max="2314" width="17.28515625" style="5" customWidth="1"/>
    <col min="2315" max="2560" width="11.42578125" style="5"/>
    <col min="2561" max="2561" width="14.140625" style="5" customWidth="1"/>
    <col min="2562" max="2562" width="55.7109375" style="5" customWidth="1"/>
    <col min="2563" max="2563" width="12.42578125" style="5" bestFit="1" customWidth="1"/>
    <col min="2564" max="2564" width="11.28515625" style="5" bestFit="1" customWidth="1"/>
    <col min="2565" max="2565" width="6.140625" style="5" bestFit="1" customWidth="1"/>
    <col min="2566" max="2566" width="13.140625" style="5" customWidth="1"/>
    <col min="2567" max="2567" width="3.5703125" style="5" customWidth="1"/>
    <col min="2568" max="2568" width="14" style="5" customWidth="1"/>
    <col min="2569" max="2569" width="11.42578125" style="5"/>
    <col min="2570" max="2570" width="17.28515625" style="5" customWidth="1"/>
    <col min="2571" max="2816" width="11.42578125" style="5"/>
    <col min="2817" max="2817" width="14.140625" style="5" customWidth="1"/>
    <col min="2818" max="2818" width="55.7109375" style="5" customWidth="1"/>
    <col min="2819" max="2819" width="12.42578125" style="5" bestFit="1" customWidth="1"/>
    <col min="2820" max="2820" width="11.28515625" style="5" bestFit="1" customWidth="1"/>
    <col min="2821" max="2821" width="6.140625" style="5" bestFit="1" customWidth="1"/>
    <col min="2822" max="2822" width="13.140625" style="5" customWidth="1"/>
    <col min="2823" max="2823" width="3.5703125" style="5" customWidth="1"/>
    <col min="2824" max="2824" width="14" style="5" customWidth="1"/>
    <col min="2825" max="2825" width="11.42578125" style="5"/>
    <col min="2826" max="2826" width="17.28515625" style="5" customWidth="1"/>
    <col min="2827" max="3072" width="11.42578125" style="5"/>
    <col min="3073" max="3073" width="14.140625" style="5" customWidth="1"/>
    <col min="3074" max="3074" width="55.7109375" style="5" customWidth="1"/>
    <col min="3075" max="3075" width="12.42578125" style="5" bestFit="1" customWidth="1"/>
    <col min="3076" max="3076" width="11.28515625" style="5" bestFit="1" customWidth="1"/>
    <col min="3077" max="3077" width="6.140625" style="5" bestFit="1" customWidth="1"/>
    <col min="3078" max="3078" width="13.140625" style="5" customWidth="1"/>
    <col min="3079" max="3079" width="3.5703125" style="5" customWidth="1"/>
    <col min="3080" max="3080" width="14" style="5" customWidth="1"/>
    <col min="3081" max="3081" width="11.42578125" style="5"/>
    <col min="3082" max="3082" width="17.28515625" style="5" customWidth="1"/>
    <col min="3083" max="3328" width="11.42578125" style="5"/>
    <col min="3329" max="3329" width="14.140625" style="5" customWidth="1"/>
    <col min="3330" max="3330" width="55.7109375" style="5" customWidth="1"/>
    <col min="3331" max="3331" width="12.42578125" style="5" bestFit="1" customWidth="1"/>
    <col min="3332" max="3332" width="11.28515625" style="5" bestFit="1" customWidth="1"/>
    <col min="3333" max="3333" width="6.140625" style="5" bestFit="1" customWidth="1"/>
    <col min="3334" max="3334" width="13.140625" style="5" customWidth="1"/>
    <col min="3335" max="3335" width="3.5703125" style="5" customWidth="1"/>
    <col min="3336" max="3336" width="14" style="5" customWidth="1"/>
    <col min="3337" max="3337" width="11.42578125" style="5"/>
    <col min="3338" max="3338" width="17.28515625" style="5" customWidth="1"/>
    <col min="3339" max="3584" width="11.42578125" style="5"/>
    <col min="3585" max="3585" width="14.140625" style="5" customWidth="1"/>
    <col min="3586" max="3586" width="55.7109375" style="5" customWidth="1"/>
    <col min="3587" max="3587" width="12.42578125" style="5" bestFit="1" customWidth="1"/>
    <col min="3588" max="3588" width="11.28515625" style="5" bestFit="1" customWidth="1"/>
    <col min="3589" max="3589" width="6.140625" style="5" bestFit="1" customWidth="1"/>
    <col min="3590" max="3590" width="13.140625" style="5" customWidth="1"/>
    <col min="3591" max="3591" width="3.5703125" style="5" customWidth="1"/>
    <col min="3592" max="3592" width="14" style="5" customWidth="1"/>
    <col min="3593" max="3593" width="11.42578125" style="5"/>
    <col min="3594" max="3594" width="17.28515625" style="5" customWidth="1"/>
    <col min="3595" max="3840" width="11.42578125" style="5"/>
    <col min="3841" max="3841" width="14.140625" style="5" customWidth="1"/>
    <col min="3842" max="3842" width="55.7109375" style="5" customWidth="1"/>
    <col min="3843" max="3843" width="12.42578125" style="5" bestFit="1" customWidth="1"/>
    <col min="3844" max="3844" width="11.28515625" style="5" bestFit="1" customWidth="1"/>
    <col min="3845" max="3845" width="6.140625" style="5" bestFit="1" customWidth="1"/>
    <col min="3846" max="3846" width="13.140625" style="5" customWidth="1"/>
    <col min="3847" max="3847" width="3.5703125" style="5" customWidth="1"/>
    <col min="3848" max="3848" width="14" style="5" customWidth="1"/>
    <col min="3849" max="3849" width="11.42578125" style="5"/>
    <col min="3850" max="3850" width="17.28515625" style="5" customWidth="1"/>
    <col min="3851" max="4096" width="11.42578125" style="5"/>
    <col min="4097" max="4097" width="14.140625" style="5" customWidth="1"/>
    <col min="4098" max="4098" width="55.7109375" style="5" customWidth="1"/>
    <col min="4099" max="4099" width="12.42578125" style="5" bestFit="1" customWidth="1"/>
    <col min="4100" max="4100" width="11.28515625" style="5" bestFit="1" customWidth="1"/>
    <col min="4101" max="4101" width="6.140625" style="5" bestFit="1" customWidth="1"/>
    <col min="4102" max="4102" width="13.140625" style="5" customWidth="1"/>
    <col min="4103" max="4103" width="3.5703125" style="5" customWidth="1"/>
    <col min="4104" max="4104" width="14" style="5" customWidth="1"/>
    <col min="4105" max="4105" width="11.42578125" style="5"/>
    <col min="4106" max="4106" width="17.28515625" style="5" customWidth="1"/>
    <col min="4107" max="4352" width="11.42578125" style="5"/>
    <col min="4353" max="4353" width="14.140625" style="5" customWidth="1"/>
    <col min="4354" max="4354" width="55.7109375" style="5" customWidth="1"/>
    <col min="4355" max="4355" width="12.42578125" style="5" bestFit="1" customWidth="1"/>
    <col min="4356" max="4356" width="11.28515625" style="5" bestFit="1" customWidth="1"/>
    <col min="4357" max="4357" width="6.140625" style="5" bestFit="1" customWidth="1"/>
    <col min="4358" max="4358" width="13.140625" style="5" customWidth="1"/>
    <col min="4359" max="4359" width="3.5703125" style="5" customWidth="1"/>
    <col min="4360" max="4360" width="14" style="5" customWidth="1"/>
    <col min="4361" max="4361" width="11.42578125" style="5"/>
    <col min="4362" max="4362" width="17.28515625" style="5" customWidth="1"/>
    <col min="4363" max="4608" width="11.42578125" style="5"/>
    <col min="4609" max="4609" width="14.140625" style="5" customWidth="1"/>
    <col min="4610" max="4610" width="55.7109375" style="5" customWidth="1"/>
    <col min="4611" max="4611" width="12.42578125" style="5" bestFit="1" customWidth="1"/>
    <col min="4612" max="4612" width="11.28515625" style="5" bestFit="1" customWidth="1"/>
    <col min="4613" max="4613" width="6.140625" style="5" bestFit="1" customWidth="1"/>
    <col min="4614" max="4614" width="13.140625" style="5" customWidth="1"/>
    <col min="4615" max="4615" width="3.5703125" style="5" customWidth="1"/>
    <col min="4616" max="4616" width="14" style="5" customWidth="1"/>
    <col min="4617" max="4617" width="11.42578125" style="5"/>
    <col min="4618" max="4618" width="17.28515625" style="5" customWidth="1"/>
    <col min="4619" max="4864" width="11.42578125" style="5"/>
    <col min="4865" max="4865" width="14.140625" style="5" customWidth="1"/>
    <col min="4866" max="4866" width="55.7109375" style="5" customWidth="1"/>
    <col min="4867" max="4867" width="12.42578125" style="5" bestFit="1" customWidth="1"/>
    <col min="4868" max="4868" width="11.28515625" style="5" bestFit="1" customWidth="1"/>
    <col min="4869" max="4869" width="6.140625" style="5" bestFit="1" customWidth="1"/>
    <col min="4870" max="4870" width="13.140625" style="5" customWidth="1"/>
    <col min="4871" max="4871" width="3.5703125" style="5" customWidth="1"/>
    <col min="4872" max="4872" width="14" style="5" customWidth="1"/>
    <col min="4873" max="4873" width="11.42578125" style="5"/>
    <col min="4874" max="4874" width="17.28515625" style="5" customWidth="1"/>
    <col min="4875" max="5120" width="11.42578125" style="5"/>
    <col min="5121" max="5121" width="14.140625" style="5" customWidth="1"/>
    <col min="5122" max="5122" width="55.7109375" style="5" customWidth="1"/>
    <col min="5123" max="5123" width="12.42578125" style="5" bestFit="1" customWidth="1"/>
    <col min="5124" max="5124" width="11.28515625" style="5" bestFit="1" customWidth="1"/>
    <col min="5125" max="5125" width="6.140625" style="5" bestFit="1" customWidth="1"/>
    <col min="5126" max="5126" width="13.140625" style="5" customWidth="1"/>
    <col min="5127" max="5127" width="3.5703125" style="5" customWidth="1"/>
    <col min="5128" max="5128" width="14" style="5" customWidth="1"/>
    <col min="5129" max="5129" width="11.42578125" style="5"/>
    <col min="5130" max="5130" width="17.28515625" style="5" customWidth="1"/>
    <col min="5131" max="5376" width="11.42578125" style="5"/>
    <col min="5377" max="5377" width="14.140625" style="5" customWidth="1"/>
    <col min="5378" max="5378" width="55.7109375" style="5" customWidth="1"/>
    <col min="5379" max="5379" width="12.42578125" style="5" bestFit="1" customWidth="1"/>
    <col min="5380" max="5380" width="11.28515625" style="5" bestFit="1" customWidth="1"/>
    <col min="5381" max="5381" width="6.140625" style="5" bestFit="1" customWidth="1"/>
    <col min="5382" max="5382" width="13.140625" style="5" customWidth="1"/>
    <col min="5383" max="5383" width="3.5703125" style="5" customWidth="1"/>
    <col min="5384" max="5384" width="14" style="5" customWidth="1"/>
    <col min="5385" max="5385" width="11.42578125" style="5"/>
    <col min="5386" max="5386" width="17.28515625" style="5" customWidth="1"/>
    <col min="5387" max="5632" width="11.42578125" style="5"/>
    <col min="5633" max="5633" width="14.140625" style="5" customWidth="1"/>
    <col min="5634" max="5634" width="55.7109375" style="5" customWidth="1"/>
    <col min="5635" max="5635" width="12.42578125" style="5" bestFit="1" customWidth="1"/>
    <col min="5636" max="5636" width="11.28515625" style="5" bestFit="1" customWidth="1"/>
    <col min="5637" max="5637" width="6.140625" style="5" bestFit="1" customWidth="1"/>
    <col min="5638" max="5638" width="13.140625" style="5" customWidth="1"/>
    <col min="5639" max="5639" width="3.5703125" style="5" customWidth="1"/>
    <col min="5640" max="5640" width="14" style="5" customWidth="1"/>
    <col min="5641" max="5641" width="11.42578125" style="5"/>
    <col min="5642" max="5642" width="17.28515625" style="5" customWidth="1"/>
    <col min="5643" max="5888" width="11.42578125" style="5"/>
    <col min="5889" max="5889" width="14.140625" style="5" customWidth="1"/>
    <col min="5890" max="5890" width="55.7109375" style="5" customWidth="1"/>
    <col min="5891" max="5891" width="12.42578125" style="5" bestFit="1" customWidth="1"/>
    <col min="5892" max="5892" width="11.28515625" style="5" bestFit="1" customWidth="1"/>
    <col min="5893" max="5893" width="6.140625" style="5" bestFit="1" customWidth="1"/>
    <col min="5894" max="5894" width="13.140625" style="5" customWidth="1"/>
    <col min="5895" max="5895" width="3.5703125" style="5" customWidth="1"/>
    <col min="5896" max="5896" width="14" style="5" customWidth="1"/>
    <col min="5897" max="5897" width="11.42578125" style="5"/>
    <col min="5898" max="5898" width="17.28515625" style="5" customWidth="1"/>
    <col min="5899" max="6144" width="11.42578125" style="5"/>
    <col min="6145" max="6145" width="14.140625" style="5" customWidth="1"/>
    <col min="6146" max="6146" width="55.7109375" style="5" customWidth="1"/>
    <col min="6147" max="6147" width="12.42578125" style="5" bestFit="1" customWidth="1"/>
    <col min="6148" max="6148" width="11.28515625" style="5" bestFit="1" customWidth="1"/>
    <col min="6149" max="6149" width="6.140625" style="5" bestFit="1" customWidth="1"/>
    <col min="6150" max="6150" width="13.140625" style="5" customWidth="1"/>
    <col min="6151" max="6151" width="3.5703125" style="5" customWidth="1"/>
    <col min="6152" max="6152" width="14" style="5" customWidth="1"/>
    <col min="6153" max="6153" width="11.42578125" style="5"/>
    <col min="6154" max="6154" width="17.28515625" style="5" customWidth="1"/>
    <col min="6155" max="6400" width="11.42578125" style="5"/>
    <col min="6401" max="6401" width="14.140625" style="5" customWidth="1"/>
    <col min="6402" max="6402" width="55.7109375" style="5" customWidth="1"/>
    <col min="6403" max="6403" width="12.42578125" style="5" bestFit="1" customWidth="1"/>
    <col min="6404" max="6404" width="11.28515625" style="5" bestFit="1" customWidth="1"/>
    <col min="6405" max="6405" width="6.140625" style="5" bestFit="1" customWidth="1"/>
    <col min="6406" max="6406" width="13.140625" style="5" customWidth="1"/>
    <col min="6407" max="6407" width="3.5703125" style="5" customWidth="1"/>
    <col min="6408" max="6408" width="14" style="5" customWidth="1"/>
    <col min="6409" max="6409" width="11.42578125" style="5"/>
    <col min="6410" max="6410" width="17.28515625" style="5" customWidth="1"/>
    <col min="6411" max="6656" width="11.42578125" style="5"/>
    <col min="6657" max="6657" width="14.140625" style="5" customWidth="1"/>
    <col min="6658" max="6658" width="55.7109375" style="5" customWidth="1"/>
    <col min="6659" max="6659" width="12.42578125" style="5" bestFit="1" customWidth="1"/>
    <col min="6660" max="6660" width="11.28515625" style="5" bestFit="1" customWidth="1"/>
    <col min="6661" max="6661" width="6.140625" style="5" bestFit="1" customWidth="1"/>
    <col min="6662" max="6662" width="13.140625" style="5" customWidth="1"/>
    <col min="6663" max="6663" width="3.5703125" style="5" customWidth="1"/>
    <col min="6664" max="6664" width="14" style="5" customWidth="1"/>
    <col min="6665" max="6665" width="11.42578125" style="5"/>
    <col min="6666" max="6666" width="17.28515625" style="5" customWidth="1"/>
    <col min="6667" max="6912" width="11.42578125" style="5"/>
    <col min="6913" max="6913" width="14.140625" style="5" customWidth="1"/>
    <col min="6914" max="6914" width="55.7109375" style="5" customWidth="1"/>
    <col min="6915" max="6915" width="12.42578125" style="5" bestFit="1" customWidth="1"/>
    <col min="6916" max="6916" width="11.28515625" style="5" bestFit="1" customWidth="1"/>
    <col min="6917" max="6917" width="6.140625" style="5" bestFit="1" customWidth="1"/>
    <col min="6918" max="6918" width="13.140625" style="5" customWidth="1"/>
    <col min="6919" max="6919" width="3.5703125" style="5" customWidth="1"/>
    <col min="6920" max="6920" width="14" style="5" customWidth="1"/>
    <col min="6921" max="6921" width="11.42578125" style="5"/>
    <col min="6922" max="6922" width="17.28515625" style="5" customWidth="1"/>
    <col min="6923" max="7168" width="11.42578125" style="5"/>
    <col min="7169" max="7169" width="14.140625" style="5" customWidth="1"/>
    <col min="7170" max="7170" width="55.7109375" style="5" customWidth="1"/>
    <col min="7171" max="7171" width="12.42578125" style="5" bestFit="1" customWidth="1"/>
    <col min="7172" max="7172" width="11.28515625" style="5" bestFit="1" customWidth="1"/>
    <col min="7173" max="7173" width="6.140625" style="5" bestFit="1" customWidth="1"/>
    <col min="7174" max="7174" width="13.140625" style="5" customWidth="1"/>
    <col min="7175" max="7175" width="3.5703125" style="5" customWidth="1"/>
    <col min="7176" max="7176" width="14" style="5" customWidth="1"/>
    <col min="7177" max="7177" width="11.42578125" style="5"/>
    <col min="7178" max="7178" width="17.28515625" style="5" customWidth="1"/>
    <col min="7179" max="7424" width="11.42578125" style="5"/>
    <col min="7425" max="7425" width="14.140625" style="5" customWidth="1"/>
    <col min="7426" max="7426" width="55.7109375" style="5" customWidth="1"/>
    <col min="7427" max="7427" width="12.42578125" style="5" bestFit="1" customWidth="1"/>
    <col min="7428" max="7428" width="11.28515625" style="5" bestFit="1" customWidth="1"/>
    <col min="7429" max="7429" width="6.140625" style="5" bestFit="1" customWidth="1"/>
    <col min="7430" max="7430" width="13.140625" style="5" customWidth="1"/>
    <col min="7431" max="7431" width="3.5703125" style="5" customWidth="1"/>
    <col min="7432" max="7432" width="14" style="5" customWidth="1"/>
    <col min="7433" max="7433" width="11.42578125" style="5"/>
    <col min="7434" max="7434" width="17.28515625" style="5" customWidth="1"/>
    <col min="7435" max="7680" width="11.42578125" style="5"/>
    <col min="7681" max="7681" width="14.140625" style="5" customWidth="1"/>
    <col min="7682" max="7682" width="55.7109375" style="5" customWidth="1"/>
    <col min="7683" max="7683" width="12.42578125" style="5" bestFit="1" customWidth="1"/>
    <col min="7684" max="7684" width="11.28515625" style="5" bestFit="1" customWidth="1"/>
    <col min="7685" max="7685" width="6.140625" style="5" bestFit="1" customWidth="1"/>
    <col min="7686" max="7686" width="13.140625" style="5" customWidth="1"/>
    <col min="7687" max="7687" width="3.5703125" style="5" customWidth="1"/>
    <col min="7688" max="7688" width="14" style="5" customWidth="1"/>
    <col min="7689" max="7689" width="11.42578125" style="5"/>
    <col min="7690" max="7690" width="17.28515625" style="5" customWidth="1"/>
    <col min="7691" max="7936" width="11.42578125" style="5"/>
    <col min="7937" max="7937" width="14.140625" style="5" customWidth="1"/>
    <col min="7938" max="7938" width="55.7109375" style="5" customWidth="1"/>
    <col min="7939" max="7939" width="12.42578125" style="5" bestFit="1" customWidth="1"/>
    <col min="7940" max="7940" width="11.28515625" style="5" bestFit="1" customWidth="1"/>
    <col min="7941" max="7941" width="6.140625" style="5" bestFit="1" customWidth="1"/>
    <col min="7942" max="7942" width="13.140625" style="5" customWidth="1"/>
    <col min="7943" max="7943" width="3.5703125" style="5" customWidth="1"/>
    <col min="7944" max="7944" width="14" style="5" customWidth="1"/>
    <col min="7945" max="7945" width="11.42578125" style="5"/>
    <col min="7946" max="7946" width="17.28515625" style="5" customWidth="1"/>
    <col min="7947" max="8192" width="11.42578125" style="5"/>
    <col min="8193" max="8193" width="14.140625" style="5" customWidth="1"/>
    <col min="8194" max="8194" width="55.7109375" style="5" customWidth="1"/>
    <col min="8195" max="8195" width="12.42578125" style="5" bestFit="1" customWidth="1"/>
    <col min="8196" max="8196" width="11.28515625" style="5" bestFit="1" customWidth="1"/>
    <col min="8197" max="8197" width="6.140625" style="5" bestFit="1" customWidth="1"/>
    <col min="8198" max="8198" width="13.140625" style="5" customWidth="1"/>
    <col min="8199" max="8199" width="3.5703125" style="5" customWidth="1"/>
    <col min="8200" max="8200" width="14" style="5" customWidth="1"/>
    <col min="8201" max="8201" width="11.42578125" style="5"/>
    <col min="8202" max="8202" width="17.28515625" style="5" customWidth="1"/>
    <col min="8203" max="8448" width="11.42578125" style="5"/>
    <col min="8449" max="8449" width="14.140625" style="5" customWidth="1"/>
    <col min="8450" max="8450" width="55.7109375" style="5" customWidth="1"/>
    <col min="8451" max="8451" width="12.42578125" style="5" bestFit="1" customWidth="1"/>
    <col min="8452" max="8452" width="11.28515625" style="5" bestFit="1" customWidth="1"/>
    <col min="8453" max="8453" width="6.140625" style="5" bestFit="1" customWidth="1"/>
    <col min="8454" max="8454" width="13.140625" style="5" customWidth="1"/>
    <col min="8455" max="8455" width="3.5703125" style="5" customWidth="1"/>
    <col min="8456" max="8456" width="14" style="5" customWidth="1"/>
    <col min="8457" max="8457" width="11.42578125" style="5"/>
    <col min="8458" max="8458" width="17.28515625" style="5" customWidth="1"/>
    <col min="8459" max="8704" width="11.42578125" style="5"/>
    <col min="8705" max="8705" width="14.140625" style="5" customWidth="1"/>
    <col min="8706" max="8706" width="55.7109375" style="5" customWidth="1"/>
    <col min="8707" max="8707" width="12.42578125" style="5" bestFit="1" customWidth="1"/>
    <col min="8708" max="8708" width="11.28515625" style="5" bestFit="1" customWidth="1"/>
    <col min="8709" max="8709" width="6.140625" style="5" bestFit="1" customWidth="1"/>
    <col min="8710" max="8710" width="13.140625" style="5" customWidth="1"/>
    <col min="8711" max="8711" width="3.5703125" style="5" customWidth="1"/>
    <col min="8712" max="8712" width="14" style="5" customWidth="1"/>
    <col min="8713" max="8713" width="11.42578125" style="5"/>
    <col min="8714" max="8714" width="17.28515625" style="5" customWidth="1"/>
    <col min="8715" max="8960" width="11.42578125" style="5"/>
    <col min="8961" max="8961" width="14.140625" style="5" customWidth="1"/>
    <col min="8962" max="8962" width="55.7109375" style="5" customWidth="1"/>
    <col min="8963" max="8963" width="12.42578125" style="5" bestFit="1" customWidth="1"/>
    <col min="8964" max="8964" width="11.28515625" style="5" bestFit="1" customWidth="1"/>
    <col min="8965" max="8965" width="6.140625" style="5" bestFit="1" customWidth="1"/>
    <col min="8966" max="8966" width="13.140625" style="5" customWidth="1"/>
    <col min="8967" max="8967" width="3.5703125" style="5" customWidth="1"/>
    <col min="8968" max="8968" width="14" style="5" customWidth="1"/>
    <col min="8969" max="8969" width="11.42578125" style="5"/>
    <col min="8970" max="8970" width="17.28515625" style="5" customWidth="1"/>
    <col min="8971" max="9216" width="11.42578125" style="5"/>
    <col min="9217" max="9217" width="14.140625" style="5" customWidth="1"/>
    <col min="9218" max="9218" width="55.7109375" style="5" customWidth="1"/>
    <col min="9219" max="9219" width="12.42578125" style="5" bestFit="1" customWidth="1"/>
    <col min="9220" max="9220" width="11.28515625" style="5" bestFit="1" customWidth="1"/>
    <col min="9221" max="9221" width="6.140625" style="5" bestFit="1" customWidth="1"/>
    <col min="9222" max="9222" width="13.140625" style="5" customWidth="1"/>
    <col min="9223" max="9223" width="3.5703125" style="5" customWidth="1"/>
    <col min="9224" max="9224" width="14" style="5" customWidth="1"/>
    <col min="9225" max="9225" width="11.42578125" style="5"/>
    <col min="9226" max="9226" width="17.28515625" style="5" customWidth="1"/>
    <col min="9227" max="9472" width="11.42578125" style="5"/>
    <col min="9473" max="9473" width="14.140625" style="5" customWidth="1"/>
    <col min="9474" max="9474" width="55.7109375" style="5" customWidth="1"/>
    <col min="9475" max="9475" width="12.42578125" style="5" bestFit="1" customWidth="1"/>
    <col min="9476" max="9476" width="11.28515625" style="5" bestFit="1" customWidth="1"/>
    <col min="9477" max="9477" width="6.140625" style="5" bestFit="1" customWidth="1"/>
    <col min="9478" max="9478" width="13.140625" style="5" customWidth="1"/>
    <col min="9479" max="9479" width="3.5703125" style="5" customWidth="1"/>
    <col min="9480" max="9480" width="14" style="5" customWidth="1"/>
    <col min="9481" max="9481" width="11.42578125" style="5"/>
    <col min="9482" max="9482" width="17.28515625" style="5" customWidth="1"/>
    <col min="9483" max="9728" width="11.42578125" style="5"/>
    <col min="9729" max="9729" width="14.140625" style="5" customWidth="1"/>
    <col min="9730" max="9730" width="55.7109375" style="5" customWidth="1"/>
    <col min="9731" max="9731" width="12.42578125" style="5" bestFit="1" customWidth="1"/>
    <col min="9732" max="9732" width="11.28515625" style="5" bestFit="1" customWidth="1"/>
    <col min="9733" max="9733" width="6.140625" style="5" bestFit="1" customWidth="1"/>
    <col min="9734" max="9734" width="13.140625" style="5" customWidth="1"/>
    <col min="9735" max="9735" width="3.5703125" style="5" customWidth="1"/>
    <col min="9736" max="9736" width="14" style="5" customWidth="1"/>
    <col min="9737" max="9737" width="11.42578125" style="5"/>
    <col min="9738" max="9738" width="17.28515625" style="5" customWidth="1"/>
    <col min="9739" max="9984" width="11.42578125" style="5"/>
    <col min="9985" max="9985" width="14.140625" style="5" customWidth="1"/>
    <col min="9986" max="9986" width="55.7109375" style="5" customWidth="1"/>
    <col min="9987" max="9987" width="12.42578125" style="5" bestFit="1" customWidth="1"/>
    <col min="9988" max="9988" width="11.28515625" style="5" bestFit="1" customWidth="1"/>
    <col min="9989" max="9989" width="6.140625" style="5" bestFit="1" customWidth="1"/>
    <col min="9990" max="9990" width="13.140625" style="5" customWidth="1"/>
    <col min="9991" max="9991" width="3.5703125" style="5" customWidth="1"/>
    <col min="9992" max="9992" width="14" style="5" customWidth="1"/>
    <col min="9993" max="9993" width="11.42578125" style="5"/>
    <col min="9994" max="9994" width="17.28515625" style="5" customWidth="1"/>
    <col min="9995" max="10240" width="11.42578125" style="5"/>
    <col min="10241" max="10241" width="14.140625" style="5" customWidth="1"/>
    <col min="10242" max="10242" width="55.7109375" style="5" customWidth="1"/>
    <col min="10243" max="10243" width="12.42578125" style="5" bestFit="1" customWidth="1"/>
    <col min="10244" max="10244" width="11.28515625" style="5" bestFit="1" customWidth="1"/>
    <col min="10245" max="10245" width="6.140625" style="5" bestFit="1" customWidth="1"/>
    <col min="10246" max="10246" width="13.140625" style="5" customWidth="1"/>
    <col min="10247" max="10247" width="3.5703125" style="5" customWidth="1"/>
    <col min="10248" max="10248" width="14" style="5" customWidth="1"/>
    <col min="10249" max="10249" width="11.42578125" style="5"/>
    <col min="10250" max="10250" width="17.28515625" style="5" customWidth="1"/>
    <col min="10251" max="10496" width="11.42578125" style="5"/>
    <col min="10497" max="10497" width="14.140625" style="5" customWidth="1"/>
    <col min="10498" max="10498" width="55.7109375" style="5" customWidth="1"/>
    <col min="10499" max="10499" width="12.42578125" style="5" bestFit="1" customWidth="1"/>
    <col min="10500" max="10500" width="11.28515625" style="5" bestFit="1" customWidth="1"/>
    <col min="10501" max="10501" width="6.140625" style="5" bestFit="1" customWidth="1"/>
    <col min="10502" max="10502" width="13.140625" style="5" customWidth="1"/>
    <col min="10503" max="10503" width="3.5703125" style="5" customWidth="1"/>
    <col min="10504" max="10504" width="14" style="5" customWidth="1"/>
    <col min="10505" max="10505" width="11.42578125" style="5"/>
    <col min="10506" max="10506" width="17.28515625" style="5" customWidth="1"/>
    <col min="10507" max="10752" width="11.42578125" style="5"/>
    <col min="10753" max="10753" width="14.140625" style="5" customWidth="1"/>
    <col min="10754" max="10754" width="55.7109375" style="5" customWidth="1"/>
    <col min="10755" max="10755" width="12.42578125" style="5" bestFit="1" customWidth="1"/>
    <col min="10756" max="10756" width="11.28515625" style="5" bestFit="1" customWidth="1"/>
    <col min="10757" max="10757" width="6.140625" style="5" bestFit="1" customWidth="1"/>
    <col min="10758" max="10758" width="13.140625" style="5" customWidth="1"/>
    <col min="10759" max="10759" width="3.5703125" style="5" customWidth="1"/>
    <col min="10760" max="10760" width="14" style="5" customWidth="1"/>
    <col min="10761" max="10761" width="11.42578125" style="5"/>
    <col min="10762" max="10762" width="17.28515625" style="5" customWidth="1"/>
    <col min="10763" max="11008" width="11.42578125" style="5"/>
    <col min="11009" max="11009" width="14.140625" style="5" customWidth="1"/>
    <col min="11010" max="11010" width="55.7109375" style="5" customWidth="1"/>
    <col min="11011" max="11011" width="12.42578125" style="5" bestFit="1" customWidth="1"/>
    <col min="11012" max="11012" width="11.28515625" style="5" bestFit="1" customWidth="1"/>
    <col min="11013" max="11013" width="6.140625" style="5" bestFit="1" customWidth="1"/>
    <col min="11014" max="11014" width="13.140625" style="5" customWidth="1"/>
    <col min="11015" max="11015" width="3.5703125" style="5" customWidth="1"/>
    <col min="11016" max="11016" width="14" style="5" customWidth="1"/>
    <col min="11017" max="11017" width="11.42578125" style="5"/>
    <col min="11018" max="11018" width="17.28515625" style="5" customWidth="1"/>
    <col min="11019" max="11264" width="11.42578125" style="5"/>
    <col min="11265" max="11265" width="14.140625" style="5" customWidth="1"/>
    <col min="11266" max="11266" width="55.7109375" style="5" customWidth="1"/>
    <col min="11267" max="11267" width="12.42578125" style="5" bestFit="1" customWidth="1"/>
    <col min="11268" max="11268" width="11.28515625" style="5" bestFit="1" customWidth="1"/>
    <col min="11269" max="11269" width="6.140625" style="5" bestFit="1" customWidth="1"/>
    <col min="11270" max="11270" width="13.140625" style="5" customWidth="1"/>
    <col min="11271" max="11271" width="3.5703125" style="5" customWidth="1"/>
    <col min="11272" max="11272" width="14" style="5" customWidth="1"/>
    <col min="11273" max="11273" width="11.42578125" style="5"/>
    <col min="11274" max="11274" width="17.28515625" style="5" customWidth="1"/>
    <col min="11275" max="11520" width="11.42578125" style="5"/>
    <col min="11521" max="11521" width="14.140625" style="5" customWidth="1"/>
    <col min="11522" max="11522" width="55.7109375" style="5" customWidth="1"/>
    <col min="11523" max="11523" width="12.42578125" style="5" bestFit="1" customWidth="1"/>
    <col min="11524" max="11524" width="11.28515625" style="5" bestFit="1" customWidth="1"/>
    <col min="11525" max="11525" width="6.140625" style="5" bestFit="1" customWidth="1"/>
    <col min="11526" max="11526" width="13.140625" style="5" customWidth="1"/>
    <col min="11527" max="11527" width="3.5703125" style="5" customWidth="1"/>
    <col min="11528" max="11528" width="14" style="5" customWidth="1"/>
    <col min="11529" max="11529" width="11.42578125" style="5"/>
    <col min="11530" max="11530" width="17.28515625" style="5" customWidth="1"/>
    <col min="11531" max="11776" width="11.42578125" style="5"/>
    <col min="11777" max="11777" width="14.140625" style="5" customWidth="1"/>
    <col min="11778" max="11778" width="55.7109375" style="5" customWidth="1"/>
    <col min="11779" max="11779" width="12.42578125" style="5" bestFit="1" customWidth="1"/>
    <col min="11780" max="11780" width="11.28515625" style="5" bestFit="1" customWidth="1"/>
    <col min="11781" max="11781" width="6.140625" style="5" bestFit="1" customWidth="1"/>
    <col min="11782" max="11782" width="13.140625" style="5" customWidth="1"/>
    <col min="11783" max="11783" width="3.5703125" style="5" customWidth="1"/>
    <col min="11784" max="11784" width="14" style="5" customWidth="1"/>
    <col min="11785" max="11785" width="11.42578125" style="5"/>
    <col min="11786" max="11786" width="17.28515625" style="5" customWidth="1"/>
    <col min="11787" max="12032" width="11.42578125" style="5"/>
    <col min="12033" max="12033" width="14.140625" style="5" customWidth="1"/>
    <col min="12034" max="12034" width="55.7109375" style="5" customWidth="1"/>
    <col min="12035" max="12035" width="12.42578125" style="5" bestFit="1" customWidth="1"/>
    <col min="12036" max="12036" width="11.28515625" style="5" bestFit="1" customWidth="1"/>
    <col min="12037" max="12037" width="6.140625" style="5" bestFit="1" customWidth="1"/>
    <col min="12038" max="12038" width="13.140625" style="5" customWidth="1"/>
    <col min="12039" max="12039" width="3.5703125" style="5" customWidth="1"/>
    <col min="12040" max="12040" width="14" style="5" customWidth="1"/>
    <col min="12041" max="12041" width="11.42578125" style="5"/>
    <col min="12042" max="12042" width="17.28515625" style="5" customWidth="1"/>
    <col min="12043" max="12288" width="11.42578125" style="5"/>
    <col min="12289" max="12289" width="14.140625" style="5" customWidth="1"/>
    <col min="12290" max="12290" width="55.7109375" style="5" customWidth="1"/>
    <col min="12291" max="12291" width="12.42578125" style="5" bestFit="1" customWidth="1"/>
    <col min="12292" max="12292" width="11.28515625" style="5" bestFit="1" customWidth="1"/>
    <col min="12293" max="12293" width="6.140625" style="5" bestFit="1" customWidth="1"/>
    <col min="12294" max="12294" width="13.140625" style="5" customWidth="1"/>
    <col min="12295" max="12295" width="3.5703125" style="5" customWidth="1"/>
    <col min="12296" max="12296" width="14" style="5" customWidth="1"/>
    <col min="12297" max="12297" width="11.42578125" style="5"/>
    <col min="12298" max="12298" width="17.28515625" style="5" customWidth="1"/>
    <col min="12299" max="12544" width="11.42578125" style="5"/>
    <col min="12545" max="12545" width="14.140625" style="5" customWidth="1"/>
    <col min="12546" max="12546" width="55.7109375" style="5" customWidth="1"/>
    <col min="12547" max="12547" width="12.42578125" style="5" bestFit="1" customWidth="1"/>
    <col min="12548" max="12548" width="11.28515625" style="5" bestFit="1" customWidth="1"/>
    <col min="12549" max="12549" width="6.140625" style="5" bestFit="1" customWidth="1"/>
    <col min="12550" max="12550" width="13.140625" style="5" customWidth="1"/>
    <col min="12551" max="12551" width="3.5703125" style="5" customWidth="1"/>
    <col min="12552" max="12552" width="14" style="5" customWidth="1"/>
    <col min="12553" max="12553" width="11.42578125" style="5"/>
    <col min="12554" max="12554" width="17.28515625" style="5" customWidth="1"/>
    <col min="12555" max="12800" width="11.42578125" style="5"/>
    <col min="12801" max="12801" width="14.140625" style="5" customWidth="1"/>
    <col min="12802" max="12802" width="55.7109375" style="5" customWidth="1"/>
    <col min="12803" max="12803" width="12.42578125" style="5" bestFit="1" customWidth="1"/>
    <col min="12804" max="12804" width="11.28515625" style="5" bestFit="1" customWidth="1"/>
    <col min="12805" max="12805" width="6.140625" style="5" bestFit="1" customWidth="1"/>
    <col min="12806" max="12806" width="13.140625" style="5" customWidth="1"/>
    <col min="12807" max="12807" width="3.5703125" style="5" customWidth="1"/>
    <col min="12808" max="12808" width="14" style="5" customWidth="1"/>
    <col min="12809" max="12809" width="11.42578125" style="5"/>
    <col min="12810" max="12810" width="17.28515625" style="5" customWidth="1"/>
    <col min="12811" max="13056" width="11.42578125" style="5"/>
    <col min="13057" max="13057" width="14.140625" style="5" customWidth="1"/>
    <col min="13058" max="13058" width="55.7109375" style="5" customWidth="1"/>
    <col min="13059" max="13059" width="12.42578125" style="5" bestFit="1" customWidth="1"/>
    <col min="13060" max="13060" width="11.28515625" style="5" bestFit="1" customWidth="1"/>
    <col min="13061" max="13061" width="6.140625" style="5" bestFit="1" customWidth="1"/>
    <col min="13062" max="13062" width="13.140625" style="5" customWidth="1"/>
    <col min="13063" max="13063" width="3.5703125" style="5" customWidth="1"/>
    <col min="13064" max="13064" width="14" style="5" customWidth="1"/>
    <col min="13065" max="13065" width="11.42578125" style="5"/>
    <col min="13066" max="13066" width="17.28515625" style="5" customWidth="1"/>
    <col min="13067" max="13312" width="11.42578125" style="5"/>
    <col min="13313" max="13313" width="14.140625" style="5" customWidth="1"/>
    <col min="13314" max="13314" width="55.7109375" style="5" customWidth="1"/>
    <col min="13315" max="13315" width="12.42578125" style="5" bestFit="1" customWidth="1"/>
    <col min="13316" max="13316" width="11.28515625" style="5" bestFit="1" customWidth="1"/>
    <col min="13317" max="13317" width="6.140625" style="5" bestFit="1" customWidth="1"/>
    <col min="13318" max="13318" width="13.140625" style="5" customWidth="1"/>
    <col min="13319" max="13319" width="3.5703125" style="5" customWidth="1"/>
    <col min="13320" max="13320" width="14" style="5" customWidth="1"/>
    <col min="13321" max="13321" width="11.42578125" style="5"/>
    <col min="13322" max="13322" width="17.28515625" style="5" customWidth="1"/>
    <col min="13323" max="13568" width="11.42578125" style="5"/>
    <col min="13569" max="13569" width="14.140625" style="5" customWidth="1"/>
    <col min="13570" max="13570" width="55.7109375" style="5" customWidth="1"/>
    <col min="13571" max="13571" width="12.42578125" style="5" bestFit="1" customWidth="1"/>
    <col min="13572" max="13572" width="11.28515625" style="5" bestFit="1" customWidth="1"/>
    <col min="13573" max="13573" width="6.140625" style="5" bestFit="1" customWidth="1"/>
    <col min="13574" max="13574" width="13.140625" style="5" customWidth="1"/>
    <col min="13575" max="13575" width="3.5703125" style="5" customWidth="1"/>
    <col min="13576" max="13576" width="14" style="5" customWidth="1"/>
    <col min="13577" max="13577" width="11.42578125" style="5"/>
    <col min="13578" max="13578" width="17.28515625" style="5" customWidth="1"/>
    <col min="13579" max="13824" width="11.42578125" style="5"/>
    <col min="13825" max="13825" width="14.140625" style="5" customWidth="1"/>
    <col min="13826" max="13826" width="55.7109375" style="5" customWidth="1"/>
    <col min="13827" max="13827" width="12.42578125" style="5" bestFit="1" customWidth="1"/>
    <col min="13828" max="13828" width="11.28515625" style="5" bestFit="1" customWidth="1"/>
    <col min="13829" max="13829" width="6.140625" style="5" bestFit="1" customWidth="1"/>
    <col min="13830" max="13830" width="13.140625" style="5" customWidth="1"/>
    <col min="13831" max="13831" width="3.5703125" style="5" customWidth="1"/>
    <col min="13832" max="13832" width="14" style="5" customWidth="1"/>
    <col min="13833" max="13833" width="11.42578125" style="5"/>
    <col min="13834" max="13834" width="17.28515625" style="5" customWidth="1"/>
    <col min="13835" max="14080" width="11.42578125" style="5"/>
    <col min="14081" max="14081" width="14.140625" style="5" customWidth="1"/>
    <col min="14082" max="14082" width="55.7109375" style="5" customWidth="1"/>
    <col min="14083" max="14083" width="12.42578125" style="5" bestFit="1" customWidth="1"/>
    <col min="14084" max="14084" width="11.28515625" style="5" bestFit="1" customWidth="1"/>
    <col min="14085" max="14085" width="6.140625" style="5" bestFit="1" customWidth="1"/>
    <col min="14086" max="14086" width="13.140625" style="5" customWidth="1"/>
    <col min="14087" max="14087" width="3.5703125" style="5" customWidth="1"/>
    <col min="14088" max="14088" width="14" style="5" customWidth="1"/>
    <col min="14089" max="14089" width="11.42578125" style="5"/>
    <col min="14090" max="14090" width="17.28515625" style="5" customWidth="1"/>
    <col min="14091" max="14336" width="11.42578125" style="5"/>
    <col min="14337" max="14337" width="14.140625" style="5" customWidth="1"/>
    <col min="14338" max="14338" width="55.7109375" style="5" customWidth="1"/>
    <col min="14339" max="14339" width="12.42578125" style="5" bestFit="1" customWidth="1"/>
    <col min="14340" max="14340" width="11.28515625" style="5" bestFit="1" customWidth="1"/>
    <col min="14341" max="14341" width="6.140625" style="5" bestFit="1" customWidth="1"/>
    <col min="14342" max="14342" width="13.140625" style="5" customWidth="1"/>
    <col min="14343" max="14343" width="3.5703125" style="5" customWidth="1"/>
    <col min="14344" max="14344" width="14" style="5" customWidth="1"/>
    <col min="14345" max="14345" width="11.42578125" style="5"/>
    <col min="14346" max="14346" width="17.28515625" style="5" customWidth="1"/>
    <col min="14347" max="14592" width="11.42578125" style="5"/>
    <col min="14593" max="14593" width="14.140625" style="5" customWidth="1"/>
    <col min="14594" max="14594" width="55.7109375" style="5" customWidth="1"/>
    <col min="14595" max="14595" width="12.42578125" style="5" bestFit="1" customWidth="1"/>
    <col min="14596" max="14596" width="11.28515625" style="5" bestFit="1" customWidth="1"/>
    <col min="14597" max="14597" width="6.140625" style="5" bestFit="1" customWidth="1"/>
    <col min="14598" max="14598" width="13.140625" style="5" customWidth="1"/>
    <col min="14599" max="14599" width="3.5703125" style="5" customWidth="1"/>
    <col min="14600" max="14600" width="14" style="5" customWidth="1"/>
    <col min="14601" max="14601" width="11.42578125" style="5"/>
    <col min="14602" max="14602" width="17.28515625" style="5" customWidth="1"/>
    <col min="14603" max="14848" width="11.42578125" style="5"/>
    <col min="14849" max="14849" width="14.140625" style="5" customWidth="1"/>
    <col min="14850" max="14850" width="55.7109375" style="5" customWidth="1"/>
    <col min="14851" max="14851" width="12.42578125" style="5" bestFit="1" customWidth="1"/>
    <col min="14852" max="14852" width="11.28515625" style="5" bestFit="1" customWidth="1"/>
    <col min="14853" max="14853" width="6.140625" style="5" bestFit="1" customWidth="1"/>
    <col min="14854" max="14854" width="13.140625" style="5" customWidth="1"/>
    <col min="14855" max="14855" width="3.5703125" style="5" customWidth="1"/>
    <col min="14856" max="14856" width="14" style="5" customWidth="1"/>
    <col min="14857" max="14857" width="11.42578125" style="5"/>
    <col min="14858" max="14858" width="17.28515625" style="5" customWidth="1"/>
    <col min="14859" max="15104" width="11.42578125" style="5"/>
    <col min="15105" max="15105" width="14.140625" style="5" customWidth="1"/>
    <col min="15106" max="15106" width="55.7109375" style="5" customWidth="1"/>
    <col min="15107" max="15107" width="12.42578125" style="5" bestFit="1" customWidth="1"/>
    <col min="15108" max="15108" width="11.28515625" style="5" bestFit="1" customWidth="1"/>
    <col min="15109" max="15109" width="6.140625" style="5" bestFit="1" customWidth="1"/>
    <col min="15110" max="15110" width="13.140625" style="5" customWidth="1"/>
    <col min="15111" max="15111" width="3.5703125" style="5" customWidth="1"/>
    <col min="15112" max="15112" width="14" style="5" customWidth="1"/>
    <col min="15113" max="15113" width="11.42578125" style="5"/>
    <col min="15114" max="15114" width="17.28515625" style="5" customWidth="1"/>
    <col min="15115" max="15360" width="11.42578125" style="5"/>
    <col min="15361" max="15361" width="14.140625" style="5" customWidth="1"/>
    <col min="15362" max="15362" width="55.7109375" style="5" customWidth="1"/>
    <col min="15363" max="15363" width="12.42578125" style="5" bestFit="1" customWidth="1"/>
    <col min="15364" max="15364" width="11.28515625" style="5" bestFit="1" customWidth="1"/>
    <col min="15365" max="15365" width="6.140625" style="5" bestFit="1" customWidth="1"/>
    <col min="15366" max="15366" width="13.140625" style="5" customWidth="1"/>
    <col min="15367" max="15367" width="3.5703125" style="5" customWidth="1"/>
    <col min="15368" max="15368" width="14" style="5" customWidth="1"/>
    <col min="15369" max="15369" width="11.42578125" style="5"/>
    <col min="15370" max="15370" width="17.28515625" style="5" customWidth="1"/>
    <col min="15371" max="15616" width="11.42578125" style="5"/>
    <col min="15617" max="15617" width="14.140625" style="5" customWidth="1"/>
    <col min="15618" max="15618" width="55.7109375" style="5" customWidth="1"/>
    <col min="15619" max="15619" width="12.42578125" style="5" bestFit="1" customWidth="1"/>
    <col min="15620" max="15620" width="11.28515625" style="5" bestFit="1" customWidth="1"/>
    <col min="15621" max="15621" width="6.140625" style="5" bestFit="1" customWidth="1"/>
    <col min="15622" max="15622" width="13.140625" style="5" customWidth="1"/>
    <col min="15623" max="15623" width="3.5703125" style="5" customWidth="1"/>
    <col min="15624" max="15624" width="14" style="5" customWidth="1"/>
    <col min="15625" max="15625" width="11.42578125" style="5"/>
    <col min="15626" max="15626" width="17.28515625" style="5" customWidth="1"/>
    <col min="15627" max="15872" width="11.42578125" style="5"/>
    <col min="15873" max="15873" width="14.140625" style="5" customWidth="1"/>
    <col min="15874" max="15874" width="55.7109375" style="5" customWidth="1"/>
    <col min="15875" max="15875" width="12.42578125" style="5" bestFit="1" customWidth="1"/>
    <col min="15876" max="15876" width="11.28515625" style="5" bestFit="1" customWidth="1"/>
    <col min="15877" max="15877" width="6.140625" style="5" bestFit="1" customWidth="1"/>
    <col min="15878" max="15878" width="13.140625" style="5" customWidth="1"/>
    <col min="15879" max="15879" width="3.5703125" style="5" customWidth="1"/>
    <col min="15880" max="15880" width="14" style="5" customWidth="1"/>
    <col min="15881" max="15881" width="11.42578125" style="5"/>
    <col min="15882" max="15882" width="17.28515625" style="5" customWidth="1"/>
    <col min="15883" max="16128" width="11.42578125" style="5"/>
    <col min="16129" max="16129" width="14.140625" style="5" customWidth="1"/>
    <col min="16130" max="16130" width="55.7109375" style="5" customWidth="1"/>
    <col min="16131" max="16131" width="12.42578125" style="5" bestFit="1" customWidth="1"/>
    <col min="16132" max="16132" width="11.28515625" style="5" bestFit="1" customWidth="1"/>
    <col min="16133" max="16133" width="6.140625" style="5" bestFit="1" customWidth="1"/>
    <col min="16134" max="16134" width="13.140625" style="5" customWidth="1"/>
    <col min="16135" max="16135" width="3.5703125" style="5" customWidth="1"/>
    <col min="16136" max="16136" width="14" style="5" customWidth="1"/>
    <col min="16137" max="16137" width="11.42578125" style="5"/>
    <col min="16138" max="16138" width="17.28515625" style="5" customWidth="1"/>
    <col min="16139" max="16384" width="11.42578125" style="5"/>
  </cols>
  <sheetData>
    <row r="1" spans="1:8" x14ac:dyDescent="0.2">
      <c r="A1" s="1" t="s">
        <v>0</v>
      </c>
      <c r="B1" s="2"/>
      <c r="C1" s="7"/>
      <c r="D1" s="160"/>
      <c r="E1" s="3"/>
      <c r="F1" s="3"/>
      <c r="G1" s="3"/>
      <c r="H1" s="4"/>
    </row>
    <row r="2" spans="1:8" x14ac:dyDescent="0.2">
      <c r="A2" s="1"/>
      <c r="B2" s="2"/>
      <c r="C2" s="7"/>
      <c r="D2" s="160"/>
      <c r="E2" s="3"/>
      <c r="F2" s="3"/>
      <c r="G2" s="3"/>
      <c r="H2" s="4"/>
    </row>
    <row r="3" spans="1:8" x14ac:dyDescent="0.2">
      <c r="A3" s="1"/>
      <c r="B3" s="2"/>
      <c r="C3" s="7"/>
      <c r="D3" s="160"/>
      <c r="E3" s="3"/>
      <c r="F3" s="3"/>
      <c r="G3" s="3"/>
      <c r="H3" s="4"/>
    </row>
    <row r="4" spans="1:8" x14ac:dyDescent="0.2">
      <c r="A4" s="1" t="s">
        <v>1</v>
      </c>
      <c r="B4" s="1"/>
      <c r="E4" s="5"/>
      <c r="G4" s="5"/>
    </row>
    <row r="5" spans="1:8" x14ac:dyDescent="0.2">
      <c r="A5" s="7"/>
      <c r="B5" s="2"/>
      <c r="C5" s="7"/>
      <c r="D5" s="160"/>
      <c r="E5" s="3"/>
      <c r="F5" s="3"/>
      <c r="G5" s="3"/>
      <c r="H5" s="4"/>
    </row>
    <row r="6" spans="1:8" x14ac:dyDescent="0.2">
      <c r="A6" s="7"/>
      <c r="B6" s="2"/>
      <c r="C6" s="7"/>
      <c r="D6" s="160"/>
      <c r="E6" s="3"/>
      <c r="F6" s="3"/>
      <c r="G6" s="3"/>
      <c r="H6" s="4"/>
    </row>
    <row r="7" spans="1:8" x14ac:dyDescent="0.2">
      <c r="A7" s="7"/>
      <c r="B7" s="8" t="s">
        <v>2</v>
      </c>
      <c r="C7" s="7"/>
      <c r="D7" s="160"/>
      <c r="E7" s="3"/>
      <c r="F7" s="3"/>
      <c r="G7" s="3"/>
      <c r="H7" s="4"/>
    </row>
    <row r="8" spans="1:8" x14ac:dyDescent="0.2">
      <c r="A8" s="7"/>
      <c r="B8" s="2"/>
      <c r="C8" s="7"/>
      <c r="D8" s="160"/>
      <c r="E8" s="3"/>
      <c r="F8" s="3"/>
      <c r="G8" s="3"/>
      <c r="H8" s="4"/>
    </row>
    <row r="9" spans="1:8" ht="13.5" customHeight="1" x14ac:dyDescent="0.2">
      <c r="A9" s="9" t="s">
        <v>13214</v>
      </c>
      <c r="B9" s="9"/>
      <c r="C9" s="74"/>
      <c r="D9" s="160"/>
      <c r="E9" s="3"/>
      <c r="F9" s="3"/>
      <c r="G9" s="10" t="s">
        <v>3</v>
      </c>
      <c r="H9" s="11">
        <v>66115.47</v>
      </c>
    </row>
    <row r="10" spans="1:8" x14ac:dyDescent="0.2">
      <c r="A10" s="3"/>
      <c r="B10" s="8"/>
      <c r="C10" s="7"/>
      <c r="D10" s="160"/>
      <c r="E10" s="3"/>
      <c r="F10" s="3"/>
      <c r="G10" s="3"/>
      <c r="H10" s="4"/>
    </row>
    <row r="11" spans="1:8" x14ac:dyDescent="0.2">
      <c r="A11" s="12"/>
      <c r="B11" s="13" t="s">
        <v>4</v>
      </c>
      <c r="C11" s="7"/>
      <c r="D11" s="162"/>
      <c r="E11" s="14"/>
      <c r="F11" s="15"/>
      <c r="G11" s="3"/>
      <c r="H11" s="4"/>
    </row>
    <row r="12" spans="1:8" ht="12.75" customHeight="1" x14ac:dyDescent="0.2">
      <c r="A12" s="12"/>
      <c r="B12" s="16" t="s">
        <v>1553</v>
      </c>
      <c r="C12" s="7"/>
      <c r="D12" s="162"/>
      <c r="E12" s="14"/>
      <c r="F12" s="15"/>
      <c r="G12" s="3"/>
      <c r="H12" s="4"/>
    </row>
    <row r="13" spans="1:8" x14ac:dyDescent="0.2">
      <c r="A13" s="12"/>
      <c r="B13" s="8"/>
      <c r="C13" s="7"/>
      <c r="D13" s="162"/>
      <c r="E13" s="14"/>
      <c r="F13" s="15"/>
      <c r="G13" s="3"/>
      <c r="H13" s="4"/>
    </row>
    <row r="14" spans="1:8" ht="12.75" x14ac:dyDescent="0.2">
      <c r="A14" s="38" t="s">
        <v>5</v>
      </c>
      <c r="B14" s="39" t="s">
        <v>6</v>
      </c>
      <c r="C14" s="75" t="s">
        <v>7</v>
      </c>
      <c r="D14" s="163" t="s">
        <v>8</v>
      </c>
      <c r="E14" s="41"/>
      <c r="F14" s="41" t="s">
        <v>9</v>
      </c>
      <c r="G14" s="42"/>
      <c r="H14" s="36"/>
    </row>
    <row r="15" spans="1:8" ht="12.75" x14ac:dyDescent="0.2">
      <c r="A15" s="90"/>
      <c r="B15" s="89"/>
      <c r="C15" s="91"/>
      <c r="D15" s="164"/>
      <c r="E15" s="41"/>
      <c r="F15" s="46"/>
      <c r="G15" s="42"/>
      <c r="H15" s="36"/>
    </row>
    <row r="16" spans="1:8" ht="12.75" x14ac:dyDescent="0.2">
      <c r="A16" s="47"/>
      <c r="B16" s="48"/>
      <c r="C16" s="77"/>
      <c r="D16" s="149"/>
      <c r="E16" s="41"/>
      <c r="F16" s="68"/>
      <c r="G16" s="42"/>
      <c r="H16" s="49">
        <f>SUM(F15:F15)</f>
        <v>0</v>
      </c>
    </row>
    <row r="17" spans="1:16" ht="12.75" x14ac:dyDescent="0.2">
      <c r="A17" s="38"/>
      <c r="B17" s="50"/>
      <c r="C17" s="78"/>
      <c r="D17" s="163"/>
      <c r="E17" s="41"/>
      <c r="F17" s="51"/>
      <c r="G17" s="52"/>
      <c r="H17" s="36"/>
    </row>
    <row r="18" spans="1:16" ht="12.75" x14ac:dyDescent="0.2">
      <c r="A18" s="42"/>
      <c r="B18" s="53" t="s">
        <v>4</v>
      </c>
      <c r="C18" s="78"/>
      <c r="D18" s="165"/>
      <c r="E18" s="54"/>
      <c r="F18" s="41" t="s">
        <v>9</v>
      </c>
      <c r="G18" s="42"/>
      <c r="H18" s="36"/>
    </row>
    <row r="19" spans="1:16" ht="13.5" customHeight="1" x14ac:dyDescent="0.2">
      <c r="A19" s="40" t="s">
        <v>5</v>
      </c>
      <c r="B19" s="55" t="s">
        <v>10</v>
      </c>
      <c r="C19" s="78"/>
      <c r="D19" s="165"/>
      <c r="E19" s="54"/>
      <c r="F19" s="51"/>
      <c r="G19" s="42"/>
      <c r="H19" s="36"/>
    </row>
    <row r="20" spans="1:16" ht="13.5" customHeight="1" x14ac:dyDescent="0.2">
      <c r="A20" s="155">
        <v>44305</v>
      </c>
      <c r="B20" s="216" t="s">
        <v>11660</v>
      </c>
      <c r="C20" s="78"/>
      <c r="D20" s="165"/>
      <c r="E20" s="54"/>
      <c r="F20" s="51">
        <v>1.08</v>
      </c>
      <c r="G20" s="42"/>
      <c r="H20" s="36"/>
    </row>
    <row r="21" spans="1:16" ht="13.5" customHeight="1" x14ac:dyDescent="0.2">
      <c r="A21" s="155">
        <v>44313</v>
      </c>
      <c r="B21" s="216" t="s">
        <v>11661</v>
      </c>
      <c r="C21" s="78"/>
      <c r="D21" s="165"/>
      <c r="E21" s="54"/>
      <c r="F21" s="69">
        <v>16.760000000000002</v>
      </c>
      <c r="G21" s="42"/>
      <c r="H21" s="36"/>
    </row>
    <row r="22" spans="1:16" ht="12.75" x14ac:dyDescent="0.2">
      <c r="A22" s="155"/>
      <c r="B22" s="156"/>
      <c r="C22" s="157"/>
      <c r="D22" s="158"/>
      <c r="E22" s="154"/>
      <c r="F22" s="159"/>
      <c r="G22" s="42"/>
      <c r="H22" s="49">
        <f>SUM(F20:F21)</f>
        <v>17.840000000000003</v>
      </c>
    </row>
    <row r="23" spans="1:16" s="20" customFormat="1" ht="12.75" x14ac:dyDescent="0.2">
      <c r="A23" s="58"/>
      <c r="B23" s="59" t="s">
        <v>12</v>
      </c>
      <c r="C23" s="75"/>
      <c r="D23" s="166"/>
      <c r="E23" s="40"/>
      <c r="F23" s="42"/>
      <c r="G23" s="60"/>
      <c r="H23" s="37"/>
    </row>
    <row r="24" spans="1:16" s="20" customFormat="1" ht="12.75" x14ac:dyDescent="0.2">
      <c r="A24" s="40" t="s">
        <v>5</v>
      </c>
      <c r="B24" s="59" t="s">
        <v>13</v>
      </c>
      <c r="C24" s="75"/>
      <c r="D24" s="166"/>
      <c r="E24" s="40"/>
      <c r="F24" s="41" t="s">
        <v>9</v>
      </c>
      <c r="G24" s="60"/>
      <c r="H24" s="37"/>
    </row>
    <row r="25" spans="1:16" ht="12.75" x14ac:dyDescent="0.2">
      <c r="A25" s="43"/>
      <c r="B25" s="44"/>
      <c r="C25" s="78"/>
      <c r="D25" s="165"/>
      <c r="E25" s="54"/>
      <c r="F25" s="214"/>
      <c r="G25" s="42"/>
      <c r="H25" s="36"/>
    </row>
    <row r="26" spans="1:16" ht="12.75" x14ac:dyDescent="0.2">
      <c r="A26" s="43"/>
      <c r="B26" s="44"/>
      <c r="C26" s="78"/>
      <c r="D26" s="165"/>
      <c r="E26" s="54"/>
      <c r="F26" s="69"/>
      <c r="G26" s="42"/>
      <c r="H26" s="36"/>
    </row>
    <row r="27" spans="1:16" ht="12.75" x14ac:dyDescent="0.2">
      <c r="A27" s="61"/>
      <c r="B27" s="57"/>
      <c r="C27" s="78"/>
      <c r="D27" s="165"/>
      <c r="E27" s="54"/>
      <c r="F27" s="51"/>
      <c r="G27" s="42"/>
      <c r="H27" s="49">
        <f>SUM(F25:F26)</f>
        <v>0</v>
      </c>
    </row>
    <row r="28" spans="1:16" ht="12.75" x14ac:dyDescent="0.2">
      <c r="A28" s="42"/>
      <c r="B28" s="57"/>
      <c r="C28" s="78"/>
      <c r="D28" s="165"/>
      <c r="E28" s="54"/>
      <c r="F28" s="51"/>
      <c r="G28" s="42"/>
      <c r="H28" s="36"/>
    </row>
    <row r="29" spans="1:16" ht="12.75" x14ac:dyDescent="0.2">
      <c r="A29" s="42"/>
      <c r="B29" s="59" t="s">
        <v>12</v>
      </c>
      <c r="C29" s="78"/>
      <c r="D29" s="165"/>
      <c r="E29" s="54"/>
      <c r="F29" s="41" t="s">
        <v>9</v>
      </c>
      <c r="G29" s="42"/>
      <c r="H29" s="36"/>
    </row>
    <row r="30" spans="1:16" ht="12.75" x14ac:dyDescent="0.2">
      <c r="A30" s="40" t="s">
        <v>5</v>
      </c>
      <c r="B30" s="55" t="s">
        <v>14</v>
      </c>
      <c r="C30" s="78"/>
      <c r="D30" s="165"/>
      <c r="E30" s="54"/>
      <c r="F30" s="52"/>
      <c r="G30" s="42"/>
      <c r="H30" s="36"/>
    </row>
    <row r="31" spans="1:16" s="188" customFormat="1" ht="12.75" x14ac:dyDescent="0.2">
      <c r="A31" s="155">
        <v>44315</v>
      </c>
      <c r="B31" s="199" t="s">
        <v>9152</v>
      </c>
      <c r="C31" s="201" t="s">
        <v>9153</v>
      </c>
      <c r="D31" s="158"/>
      <c r="E31" s="56" t="s">
        <v>3577</v>
      </c>
      <c r="F31" s="215">
        <v>2.25</v>
      </c>
      <c r="G31" s="185"/>
      <c r="H31" s="186"/>
      <c r="I31" s="187"/>
      <c r="J31" s="201"/>
      <c r="K31" s="200"/>
      <c r="L31" s="199"/>
      <c r="M31" s="22"/>
      <c r="N31" s="22"/>
      <c r="O31" s="148"/>
      <c r="P31" s="198"/>
    </row>
    <row r="32" spans="1:16" s="188" customFormat="1" ht="12.75" x14ac:dyDescent="0.2">
      <c r="A32" s="155">
        <v>44315</v>
      </c>
      <c r="B32" s="199" t="s">
        <v>9150</v>
      </c>
      <c r="C32" s="201" t="s">
        <v>9151</v>
      </c>
      <c r="D32" s="158"/>
      <c r="E32" s="56" t="s">
        <v>3577</v>
      </c>
      <c r="F32" s="215">
        <v>7.27</v>
      </c>
      <c r="G32" s="185"/>
      <c r="H32" s="186"/>
      <c r="I32" s="187"/>
      <c r="J32" s="201"/>
      <c r="K32" s="200"/>
      <c r="L32" s="199"/>
      <c r="M32" s="22"/>
      <c r="N32" s="22"/>
      <c r="O32" s="148"/>
      <c r="P32" s="198"/>
    </row>
    <row r="33" spans="1:16" ht="12.75" x14ac:dyDescent="0.2">
      <c r="A33" s="155">
        <v>44315</v>
      </c>
      <c r="B33" s="199" t="s">
        <v>9148</v>
      </c>
      <c r="C33" s="201" t="s">
        <v>9149</v>
      </c>
      <c r="D33" s="158"/>
      <c r="E33" s="56" t="s">
        <v>3577</v>
      </c>
      <c r="F33" s="215">
        <v>1.68</v>
      </c>
      <c r="G33" s="42"/>
      <c r="H33" s="37"/>
      <c r="I33" s="17"/>
      <c r="J33" s="201"/>
      <c r="K33" s="200"/>
      <c r="L33" s="199"/>
      <c r="M33" s="22"/>
      <c r="N33" s="22"/>
      <c r="O33" s="148"/>
      <c r="P33" s="198"/>
    </row>
    <row r="34" spans="1:16" ht="12.75" x14ac:dyDescent="0.2">
      <c r="A34" s="155">
        <v>44315</v>
      </c>
      <c r="B34" s="199" t="s">
        <v>9146</v>
      </c>
      <c r="C34" s="201" t="s">
        <v>9147</v>
      </c>
      <c r="D34" s="158"/>
      <c r="E34" s="56" t="s">
        <v>3577</v>
      </c>
      <c r="F34" s="215">
        <v>12.41</v>
      </c>
      <c r="G34" s="42"/>
      <c r="H34" s="37"/>
      <c r="I34" s="17"/>
      <c r="J34" s="201"/>
      <c r="K34" s="200"/>
      <c r="L34" s="199"/>
      <c r="M34" s="22"/>
      <c r="N34" s="22"/>
      <c r="O34" s="148"/>
      <c r="P34" s="198"/>
    </row>
    <row r="35" spans="1:16" ht="12.75" x14ac:dyDescent="0.2">
      <c r="A35" s="155">
        <v>44315</v>
      </c>
      <c r="B35" s="199" t="s">
        <v>9144</v>
      </c>
      <c r="C35" s="201" t="s">
        <v>9145</v>
      </c>
      <c r="D35" s="158"/>
      <c r="E35" s="56" t="s">
        <v>3577</v>
      </c>
      <c r="F35" s="215">
        <v>3.43</v>
      </c>
      <c r="I35" s="17"/>
      <c r="J35" s="201"/>
      <c r="K35" s="200"/>
      <c r="L35" s="199"/>
      <c r="M35" s="22"/>
      <c r="N35" s="22"/>
      <c r="O35" s="148"/>
      <c r="P35" s="198"/>
    </row>
    <row r="36" spans="1:16" ht="12.75" x14ac:dyDescent="0.2">
      <c r="A36" s="155">
        <v>44315</v>
      </c>
      <c r="B36" s="199" t="s">
        <v>9142</v>
      </c>
      <c r="C36" s="201" t="s">
        <v>9143</v>
      </c>
      <c r="D36" s="158"/>
      <c r="E36" s="56" t="s">
        <v>3577</v>
      </c>
      <c r="F36" s="215">
        <v>4.45</v>
      </c>
      <c r="G36" s="42"/>
      <c r="H36" s="37"/>
      <c r="I36" s="17"/>
      <c r="J36" s="201"/>
      <c r="K36" s="200"/>
      <c r="L36" s="199"/>
      <c r="M36" s="22"/>
      <c r="N36" s="22"/>
      <c r="O36" s="148"/>
      <c r="P36" s="198"/>
    </row>
    <row r="37" spans="1:16" ht="12.75" x14ac:dyDescent="0.2">
      <c r="A37" s="155">
        <v>44315</v>
      </c>
      <c r="B37" s="199" t="s">
        <v>9140</v>
      </c>
      <c r="C37" s="201" t="s">
        <v>9141</v>
      </c>
      <c r="D37" s="158"/>
      <c r="E37" s="56" t="s">
        <v>3577</v>
      </c>
      <c r="F37" s="215">
        <v>3.61</v>
      </c>
      <c r="G37" s="42"/>
      <c r="H37" s="37"/>
      <c r="I37" s="17"/>
      <c r="J37" s="201"/>
      <c r="K37" s="200"/>
      <c r="L37" s="199"/>
      <c r="M37" s="22"/>
      <c r="N37" s="22"/>
      <c r="O37" s="148"/>
      <c r="P37" s="198"/>
    </row>
    <row r="38" spans="1:16" ht="12.75" x14ac:dyDescent="0.2">
      <c r="A38" s="155">
        <v>44315</v>
      </c>
      <c r="B38" s="199" t="s">
        <v>9138</v>
      </c>
      <c r="C38" s="201" t="s">
        <v>9139</v>
      </c>
      <c r="D38" s="158"/>
      <c r="E38" s="56" t="s">
        <v>3577</v>
      </c>
      <c r="F38" s="215">
        <v>4.7699999999999996</v>
      </c>
      <c r="G38" s="42"/>
      <c r="H38" s="37"/>
      <c r="I38" s="17"/>
      <c r="J38" s="201"/>
      <c r="K38" s="200"/>
      <c r="L38" s="199"/>
      <c r="M38" s="22"/>
      <c r="N38" s="22"/>
      <c r="O38" s="148"/>
      <c r="P38" s="198"/>
    </row>
    <row r="39" spans="1:16" ht="12.75" x14ac:dyDescent="0.2">
      <c r="A39" s="155">
        <v>44315</v>
      </c>
      <c r="B39" s="199" t="s">
        <v>9136</v>
      </c>
      <c r="C39" s="201" t="s">
        <v>9137</v>
      </c>
      <c r="D39" s="158"/>
      <c r="E39" s="56" t="s">
        <v>3577</v>
      </c>
      <c r="F39" s="215">
        <v>50.95</v>
      </c>
      <c r="G39" s="42"/>
      <c r="H39" s="37"/>
      <c r="I39" s="17"/>
      <c r="J39" s="201"/>
      <c r="K39" s="200"/>
      <c r="L39" s="199"/>
      <c r="M39" s="22"/>
      <c r="N39" s="22"/>
      <c r="O39" s="148"/>
      <c r="P39" s="198"/>
    </row>
    <row r="40" spans="1:16" ht="12.75" x14ac:dyDescent="0.2">
      <c r="A40" s="155">
        <v>44315</v>
      </c>
      <c r="B40" s="199" t="s">
        <v>9134</v>
      </c>
      <c r="C40" s="201" t="s">
        <v>9135</v>
      </c>
      <c r="D40" s="158"/>
      <c r="E40" s="56" t="s">
        <v>3577</v>
      </c>
      <c r="F40" s="215">
        <v>8.57</v>
      </c>
      <c r="G40" s="42"/>
      <c r="H40" s="37"/>
      <c r="I40" s="17"/>
      <c r="J40" s="201"/>
      <c r="K40" s="200"/>
      <c r="L40" s="199"/>
      <c r="M40" s="22"/>
      <c r="N40" s="22"/>
      <c r="O40" s="148"/>
      <c r="P40" s="198"/>
    </row>
    <row r="41" spans="1:16" ht="12.75" x14ac:dyDescent="0.2">
      <c r="A41" s="155">
        <v>44315</v>
      </c>
      <c r="B41" s="199" t="s">
        <v>9132</v>
      </c>
      <c r="C41" s="201" t="s">
        <v>9133</v>
      </c>
      <c r="D41" s="158"/>
      <c r="E41" s="56" t="s">
        <v>3577</v>
      </c>
      <c r="F41" s="215">
        <v>1.1100000000000001</v>
      </c>
      <c r="G41" s="42"/>
      <c r="H41" s="37"/>
      <c r="I41" s="17"/>
      <c r="J41" s="201"/>
      <c r="K41" s="200"/>
      <c r="L41" s="199"/>
      <c r="M41" s="22"/>
      <c r="N41" s="22"/>
      <c r="O41" s="148"/>
      <c r="P41" s="198"/>
    </row>
    <row r="42" spans="1:16" ht="12.75" x14ac:dyDescent="0.2">
      <c r="A42" s="155">
        <v>44315</v>
      </c>
      <c r="B42" s="199" t="s">
        <v>9130</v>
      </c>
      <c r="C42" s="201" t="s">
        <v>9131</v>
      </c>
      <c r="D42" s="158"/>
      <c r="E42" s="56" t="s">
        <v>3577</v>
      </c>
      <c r="F42" s="215">
        <v>23.85</v>
      </c>
      <c r="G42" s="42"/>
      <c r="H42" s="37"/>
      <c r="I42" s="17"/>
      <c r="J42" s="201"/>
      <c r="K42" s="200"/>
      <c r="L42" s="199"/>
      <c r="M42" s="22"/>
      <c r="N42" s="22"/>
      <c r="O42" s="148"/>
      <c r="P42" s="198"/>
    </row>
    <row r="43" spans="1:16" ht="12.75" x14ac:dyDescent="0.2">
      <c r="A43" s="155">
        <v>44315</v>
      </c>
      <c r="B43" s="199" t="s">
        <v>9126</v>
      </c>
      <c r="C43" s="201" t="s">
        <v>9127</v>
      </c>
      <c r="D43" s="158"/>
      <c r="E43" s="56" t="s">
        <v>3577</v>
      </c>
      <c r="F43" s="215">
        <v>13.89</v>
      </c>
      <c r="G43" s="42"/>
      <c r="H43" s="37"/>
      <c r="I43" s="17"/>
      <c r="J43" s="201"/>
      <c r="K43" s="200"/>
      <c r="L43" s="199"/>
      <c r="M43" s="22"/>
      <c r="N43" s="22"/>
      <c r="O43" s="148"/>
      <c r="P43" s="198"/>
    </row>
    <row r="44" spans="1:16" ht="12.75" x14ac:dyDescent="0.2">
      <c r="A44" s="155">
        <v>44315</v>
      </c>
      <c r="B44" s="199" t="s">
        <v>9124</v>
      </c>
      <c r="C44" s="201" t="s">
        <v>9125</v>
      </c>
      <c r="D44" s="158"/>
      <c r="E44" s="56" t="s">
        <v>3577</v>
      </c>
      <c r="F44" s="215">
        <v>4.05</v>
      </c>
      <c r="G44" s="42"/>
      <c r="H44" s="37"/>
      <c r="I44" s="17"/>
      <c r="J44" s="201"/>
      <c r="K44" s="200"/>
      <c r="L44" s="199"/>
      <c r="M44" s="22"/>
      <c r="N44" s="22"/>
      <c r="O44" s="148"/>
      <c r="P44" s="198"/>
    </row>
    <row r="45" spans="1:16" ht="12.75" x14ac:dyDescent="0.2">
      <c r="A45" s="155">
        <v>44315</v>
      </c>
      <c r="B45" s="199" t="s">
        <v>9122</v>
      </c>
      <c r="C45" s="201" t="s">
        <v>9123</v>
      </c>
      <c r="D45" s="158"/>
      <c r="E45" s="56" t="s">
        <v>3577</v>
      </c>
      <c r="F45" s="215">
        <v>6.18</v>
      </c>
      <c r="G45" s="42"/>
      <c r="H45" s="37"/>
      <c r="I45" s="17"/>
      <c r="J45" s="201"/>
      <c r="K45" s="200"/>
      <c r="L45" s="199"/>
      <c r="M45" s="22"/>
      <c r="N45" s="22"/>
      <c r="O45" s="148"/>
      <c r="P45" s="198"/>
    </row>
    <row r="46" spans="1:16" ht="12.75" x14ac:dyDescent="0.2">
      <c r="A46" s="155">
        <v>44315</v>
      </c>
      <c r="B46" s="199" t="s">
        <v>9120</v>
      </c>
      <c r="C46" s="201" t="s">
        <v>9121</v>
      </c>
      <c r="D46" s="158"/>
      <c r="E46" s="56" t="s">
        <v>3577</v>
      </c>
      <c r="F46" s="215">
        <v>9.0299999999999994</v>
      </c>
      <c r="G46" s="42"/>
      <c r="H46" s="37"/>
      <c r="I46" s="17"/>
      <c r="J46" s="201"/>
      <c r="K46" s="200"/>
      <c r="L46" s="199"/>
      <c r="M46" s="22"/>
      <c r="N46" s="22"/>
      <c r="O46" s="148"/>
      <c r="P46" s="198"/>
    </row>
    <row r="47" spans="1:16" ht="12.75" x14ac:dyDescent="0.2">
      <c r="A47" s="155">
        <v>44315</v>
      </c>
      <c r="B47" s="199" t="s">
        <v>9118</v>
      </c>
      <c r="C47" s="201" t="s">
        <v>9119</v>
      </c>
      <c r="D47" s="158"/>
      <c r="E47" s="56" t="s">
        <v>3577</v>
      </c>
      <c r="F47" s="215">
        <v>5.35</v>
      </c>
      <c r="G47" s="42"/>
      <c r="H47" s="37"/>
      <c r="I47" s="17"/>
      <c r="J47" s="201"/>
      <c r="K47" s="200"/>
      <c r="L47" s="199"/>
      <c r="M47" s="22"/>
      <c r="N47" s="22"/>
      <c r="O47" s="148"/>
      <c r="P47" s="198"/>
    </row>
    <row r="48" spans="1:16" ht="12.75" x14ac:dyDescent="0.2">
      <c r="A48" s="155">
        <v>44315</v>
      </c>
      <c r="B48" s="199" t="s">
        <v>9116</v>
      </c>
      <c r="C48" s="201" t="s">
        <v>9117</v>
      </c>
      <c r="D48" s="158"/>
      <c r="E48" s="56" t="s">
        <v>3577</v>
      </c>
      <c r="F48" s="215">
        <v>1.72</v>
      </c>
      <c r="J48" s="201"/>
      <c r="K48" s="200"/>
      <c r="L48" s="199"/>
      <c r="M48" s="22"/>
      <c r="N48" s="22"/>
      <c r="O48" s="148"/>
      <c r="P48" s="198"/>
    </row>
    <row r="49" spans="1:16" ht="12.75" x14ac:dyDescent="0.2">
      <c r="A49" s="155">
        <v>44315</v>
      </c>
      <c r="B49" s="199" t="s">
        <v>9108</v>
      </c>
      <c r="C49" s="201" t="s">
        <v>9109</v>
      </c>
      <c r="D49" s="158"/>
      <c r="E49" s="56" t="s">
        <v>3577</v>
      </c>
      <c r="F49" s="215">
        <v>4.43</v>
      </c>
      <c r="J49" s="201"/>
      <c r="K49" s="200"/>
      <c r="L49" s="199"/>
      <c r="M49" s="22"/>
      <c r="N49" s="22"/>
      <c r="O49" s="148"/>
      <c r="P49" s="198"/>
    </row>
    <row r="50" spans="1:16" ht="12.75" x14ac:dyDescent="0.2">
      <c r="A50" s="155">
        <v>44315</v>
      </c>
      <c r="B50" s="199" t="s">
        <v>9106</v>
      </c>
      <c r="C50" s="201" t="s">
        <v>9107</v>
      </c>
      <c r="D50" s="158"/>
      <c r="E50" s="56" t="s">
        <v>3577</v>
      </c>
      <c r="F50" s="215">
        <v>1.68</v>
      </c>
      <c r="G50" s="42"/>
      <c r="H50" s="37"/>
      <c r="I50" s="17"/>
      <c r="J50" s="201"/>
      <c r="K50" s="200"/>
      <c r="L50" s="199"/>
      <c r="M50" s="22"/>
      <c r="N50" s="22"/>
      <c r="O50" s="148"/>
      <c r="P50" s="198"/>
    </row>
    <row r="51" spans="1:16" ht="12.75" x14ac:dyDescent="0.2">
      <c r="A51" s="155">
        <v>44315</v>
      </c>
      <c r="B51" s="199" t="s">
        <v>9104</v>
      </c>
      <c r="C51" s="201" t="s">
        <v>9105</v>
      </c>
      <c r="D51" s="158"/>
      <c r="E51" s="56" t="s">
        <v>3577</v>
      </c>
      <c r="F51" s="215">
        <v>0.9</v>
      </c>
      <c r="G51" s="42"/>
      <c r="H51" s="37"/>
      <c r="I51" s="17"/>
      <c r="J51" s="201"/>
      <c r="K51" s="200"/>
      <c r="L51" s="199"/>
      <c r="M51" s="22"/>
      <c r="N51" s="22"/>
      <c r="O51" s="148"/>
      <c r="P51" s="198"/>
    </row>
    <row r="52" spans="1:16" ht="12.75" x14ac:dyDescent="0.2">
      <c r="A52" s="155">
        <v>44316</v>
      </c>
      <c r="B52" s="199" t="s">
        <v>9094</v>
      </c>
      <c r="C52" s="201" t="s">
        <v>9095</v>
      </c>
      <c r="D52" s="158"/>
      <c r="E52" s="56" t="s">
        <v>3577</v>
      </c>
      <c r="F52" s="215">
        <v>4.4800000000000004</v>
      </c>
      <c r="G52" s="42"/>
      <c r="H52" s="37"/>
      <c r="I52" s="17"/>
      <c r="J52" s="201"/>
      <c r="K52" s="200"/>
      <c r="L52" s="199"/>
      <c r="M52" s="22"/>
      <c r="N52" s="22"/>
      <c r="O52" s="148"/>
      <c r="P52" s="198"/>
    </row>
    <row r="53" spans="1:16" ht="12.75" x14ac:dyDescent="0.2">
      <c r="A53" s="155">
        <v>44316</v>
      </c>
      <c r="B53" s="199" t="s">
        <v>9092</v>
      </c>
      <c r="C53" s="201" t="s">
        <v>9093</v>
      </c>
      <c r="D53" s="158"/>
      <c r="E53" s="56" t="s">
        <v>3577</v>
      </c>
      <c r="F53" s="215">
        <v>4.9800000000000004</v>
      </c>
      <c r="G53" s="42"/>
      <c r="H53" s="37"/>
      <c r="I53" s="17"/>
      <c r="J53" s="201"/>
      <c r="K53" s="200"/>
      <c r="L53" s="199"/>
      <c r="M53" s="22"/>
      <c r="N53" s="22"/>
      <c r="O53" s="148"/>
      <c r="P53" s="198"/>
    </row>
    <row r="54" spans="1:16" ht="12.75" x14ac:dyDescent="0.2">
      <c r="A54" s="155">
        <v>44316</v>
      </c>
      <c r="B54" s="199" t="s">
        <v>9090</v>
      </c>
      <c r="C54" s="201" t="s">
        <v>9091</v>
      </c>
      <c r="D54" s="158"/>
      <c r="E54" s="56" t="s">
        <v>3577</v>
      </c>
      <c r="F54" s="215">
        <v>17.45</v>
      </c>
      <c r="G54" s="42"/>
      <c r="H54" s="37"/>
      <c r="I54" s="17"/>
      <c r="J54" s="201"/>
      <c r="K54" s="200"/>
      <c r="L54" s="199"/>
      <c r="M54" s="22"/>
      <c r="N54" s="22"/>
      <c r="O54" s="148"/>
      <c r="P54" s="198"/>
    </row>
    <row r="55" spans="1:16" ht="12.75" x14ac:dyDescent="0.2">
      <c r="A55" s="155">
        <v>44316</v>
      </c>
      <c r="B55" s="199" t="s">
        <v>9088</v>
      </c>
      <c r="C55" s="201" t="s">
        <v>9089</v>
      </c>
      <c r="D55" s="158"/>
      <c r="E55" s="56" t="s">
        <v>3577</v>
      </c>
      <c r="F55" s="215">
        <v>27.33</v>
      </c>
      <c r="G55" s="42"/>
      <c r="H55" s="37"/>
      <c r="I55" s="17"/>
      <c r="J55" s="201"/>
      <c r="K55" s="200"/>
      <c r="L55" s="199"/>
      <c r="M55" s="22"/>
      <c r="N55" s="22"/>
      <c r="O55" s="148"/>
      <c r="P55" s="198"/>
    </row>
    <row r="56" spans="1:16" ht="12.75" x14ac:dyDescent="0.2">
      <c r="A56" s="155">
        <v>44316</v>
      </c>
      <c r="B56" s="199" t="s">
        <v>9086</v>
      </c>
      <c r="C56" s="201" t="s">
        <v>9087</v>
      </c>
      <c r="D56" s="158"/>
      <c r="E56" s="56" t="s">
        <v>3577</v>
      </c>
      <c r="F56" s="215">
        <v>2.06</v>
      </c>
      <c r="G56" s="42"/>
      <c r="H56" s="37"/>
      <c r="I56" s="17"/>
      <c r="J56" s="201"/>
      <c r="K56" s="200"/>
      <c r="L56" s="199"/>
      <c r="M56" s="22"/>
      <c r="N56" s="22"/>
      <c r="O56" s="148"/>
      <c r="P56" s="198"/>
    </row>
    <row r="57" spans="1:16" ht="12.75" x14ac:dyDescent="0.2">
      <c r="A57" s="155">
        <v>44316</v>
      </c>
      <c r="B57" s="199" t="s">
        <v>9084</v>
      </c>
      <c r="C57" s="201" t="s">
        <v>9085</v>
      </c>
      <c r="D57" s="158"/>
      <c r="E57" s="56" t="s">
        <v>3577</v>
      </c>
      <c r="F57" s="215">
        <v>3.74</v>
      </c>
      <c r="G57" s="42"/>
      <c r="H57" s="37"/>
      <c r="I57" s="17"/>
      <c r="J57" s="201"/>
      <c r="K57" s="200"/>
      <c r="L57" s="199"/>
      <c r="M57" s="22"/>
      <c r="N57" s="22"/>
      <c r="O57" s="148"/>
      <c r="P57" s="198"/>
    </row>
    <row r="58" spans="1:16" ht="12.75" x14ac:dyDescent="0.2">
      <c r="A58" s="155">
        <v>44316</v>
      </c>
      <c r="B58" s="199" t="s">
        <v>9082</v>
      </c>
      <c r="C58" s="201" t="s">
        <v>9083</v>
      </c>
      <c r="D58" s="158"/>
      <c r="E58" s="56" t="s">
        <v>3577</v>
      </c>
      <c r="F58" s="215">
        <v>1.72</v>
      </c>
      <c r="G58" s="42"/>
      <c r="H58" s="37"/>
      <c r="I58" s="17"/>
      <c r="J58" s="201"/>
      <c r="K58" s="200"/>
      <c r="L58" s="199"/>
      <c r="M58" s="22"/>
      <c r="N58" s="22"/>
      <c r="O58" s="148"/>
      <c r="P58" s="198"/>
    </row>
    <row r="59" spans="1:16" ht="12.75" x14ac:dyDescent="0.2">
      <c r="A59" s="155">
        <v>44316</v>
      </c>
      <c r="B59" s="199" t="s">
        <v>9080</v>
      </c>
      <c r="C59" s="201" t="s">
        <v>9081</v>
      </c>
      <c r="D59" s="158"/>
      <c r="E59" s="56" t="s">
        <v>3577</v>
      </c>
      <c r="F59" s="215">
        <v>2.1800000000000002</v>
      </c>
      <c r="G59" s="42"/>
      <c r="H59" s="37"/>
      <c r="I59" s="17"/>
      <c r="J59" s="201"/>
      <c r="K59" s="200"/>
      <c r="L59" s="199"/>
      <c r="M59" s="22"/>
      <c r="N59" s="22"/>
      <c r="O59" s="148"/>
      <c r="P59" s="198"/>
    </row>
    <row r="60" spans="1:16" ht="12.75" x14ac:dyDescent="0.2">
      <c r="A60" s="155">
        <v>44316</v>
      </c>
      <c r="B60" s="199" t="s">
        <v>9078</v>
      </c>
      <c r="C60" s="201" t="s">
        <v>9079</v>
      </c>
      <c r="D60" s="158"/>
      <c r="E60" s="56" t="s">
        <v>3577</v>
      </c>
      <c r="F60" s="215">
        <v>6.24</v>
      </c>
      <c r="G60" s="42"/>
      <c r="H60" s="37"/>
      <c r="I60" s="17"/>
      <c r="J60" s="201"/>
      <c r="K60" s="200"/>
      <c r="L60" s="199"/>
      <c r="M60" s="22"/>
      <c r="N60" s="22"/>
      <c r="O60" s="148"/>
      <c r="P60" s="198"/>
    </row>
    <row r="61" spans="1:16" ht="12.75" x14ac:dyDescent="0.2">
      <c r="A61" s="155">
        <v>44316</v>
      </c>
      <c r="B61" s="199" t="s">
        <v>9076</v>
      </c>
      <c r="C61" s="201" t="s">
        <v>9077</v>
      </c>
      <c r="D61" s="158"/>
      <c r="E61" s="56" t="s">
        <v>3577</v>
      </c>
      <c r="F61" s="215">
        <v>7.82</v>
      </c>
      <c r="G61" s="42"/>
      <c r="H61" s="37"/>
      <c r="I61" s="17"/>
      <c r="J61" s="201"/>
      <c r="K61" s="200"/>
      <c r="L61" s="199"/>
      <c r="M61" s="22"/>
      <c r="N61" s="22"/>
      <c r="O61" s="148"/>
      <c r="P61" s="198"/>
    </row>
    <row r="62" spans="1:16" ht="12.75" x14ac:dyDescent="0.2">
      <c r="A62" s="155">
        <v>44316</v>
      </c>
      <c r="B62" s="199" t="s">
        <v>9074</v>
      </c>
      <c r="C62" s="201" t="s">
        <v>9075</v>
      </c>
      <c r="D62" s="158"/>
      <c r="E62" s="56" t="s">
        <v>3577</v>
      </c>
      <c r="F62" s="215">
        <v>1.68</v>
      </c>
      <c r="J62" s="201"/>
      <c r="K62" s="200"/>
      <c r="L62" s="199"/>
      <c r="M62" s="22"/>
      <c r="N62" s="22"/>
      <c r="O62" s="148"/>
      <c r="P62" s="198"/>
    </row>
    <row r="63" spans="1:16" ht="12.75" x14ac:dyDescent="0.2">
      <c r="A63" s="155">
        <v>44316</v>
      </c>
      <c r="B63" s="199" t="s">
        <v>9072</v>
      </c>
      <c r="C63" s="201" t="s">
        <v>9073</v>
      </c>
      <c r="D63" s="158"/>
      <c r="E63" s="56" t="s">
        <v>3577</v>
      </c>
      <c r="F63" s="215">
        <v>3.43</v>
      </c>
      <c r="J63" s="201"/>
      <c r="K63" s="200"/>
      <c r="L63" s="199"/>
      <c r="M63" s="22"/>
      <c r="N63" s="22"/>
      <c r="O63" s="148"/>
      <c r="P63" s="198"/>
    </row>
    <row r="64" spans="1:16" ht="12.75" x14ac:dyDescent="0.2">
      <c r="A64" s="155">
        <v>44316</v>
      </c>
      <c r="B64" s="199" t="s">
        <v>9070</v>
      </c>
      <c r="C64" s="201" t="s">
        <v>9071</v>
      </c>
      <c r="D64" s="158"/>
      <c r="E64" s="56" t="s">
        <v>3577</v>
      </c>
      <c r="F64" s="215">
        <v>8.2200000000000006</v>
      </c>
      <c r="G64" s="42"/>
      <c r="H64" s="37"/>
      <c r="I64" s="17"/>
      <c r="J64" s="201"/>
      <c r="K64" s="200"/>
      <c r="L64" s="199"/>
      <c r="M64" s="22"/>
      <c r="N64" s="22"/>
      <c r="O64" s="148"/>
      <c r="P64" s="198"/>
    </row>
    <row r="65" spans="1:16" ht="12.75" x14ac:dyDescent="0.2">
      <c r="A65" s="155">
        <v>44316</v>
      </c>
      <c r="B65" s="199" t="s">
        <v>9068</v>
      </c>
      <c r="C65" s="201" t="s">
        <v>9069</v>
      </c>
      <c r="D65" s="158"/>
      <c r="E65" s="56" t="s">
        <v>3577</v>
      </c>
      <c r="F65" s="215">
        <v>2.4500000000000002</v>
      </c>
      <c r="G65" s="42"/>
      <c r="H65" s="37"/>
      <c r="I65" s="17"/>
      <c r="J65" s="201"/>
      <c r="K65" s="200"/>
      <c r="L65" s="199"/>
      <c r="M65" s="22"/>
      <c r="N65" s="22"/>
      <c r="O65" s="148"/>
      <c r="P65" s="198"/>
    </row>
    <row r="66" spans="1:16" ht="12.75" x14ac:dyDescent="0.2">
      <c r="A66" s="155">
        <v>44316</v>
      </c>
      <c r="B66" s="199" t="s">
        <v>9066</v>
      </c>
      <c r="C66" s="201" t="s">
        <v>9067</v>
      </c>
      <c r="D66" s="158"/>
      <c r="E66" s="56" t="s">
        <v>3577</v>
      </c>
      <c r="F66" s="215">
        <v>10.45</v>
      </c>
      <c r="G66" s="42"/>
      <c r="H66" s="37"/>
      <c r="I66" s="17"/>
      <c r="J66" s="201"/>
      <c r="K66" s="200"/>
      <c r="L66" s="199"/>
      <c r="M66" s="22"/>
      <c r="N66" s="22"/>
      <c r="O66" s="148"/>
      <c r="P66" s="198"/>
    </row>
    <row r="67" spans="1:16" ht="12.75" x14ac:dyDescent="0.2">
      <c r="A67" s="155">
        <v>44316</v>
      </c>
      <c r="B67" s="199" t="s">
        <v>9064</v>
      </c>
      <c r="C67" s="201" t="s">
        <v>9065</v>
      </c>
      <c r="D67" s="158"/>
      <c r="E67" s="56" t="s">
        <v>3577</v>
      </c>
      <c r="F67" s="215">
        <v>1.83</v>
      </c>
      <c r="G67" s="42"/>
      <c r="H67" s="37"/>
      <c r="I67" s="17"/>
      <c r="J67" s="201"/>
      <c r="K67" s="200"/>
      <c r="L67" s="199"/>
      <c r="M67" s="22"/>
      <c r="N67" s="22"/>
      <c r="O67" s="148"/>
      <c r="P67" s="198"/>
    </row>
    <row r="68" spans="1:16" ht="12.75" x14ac:dyDescent="0.2">
      <c r="A68" s="155">
        <v>44316</v>
      </c>
      <c r="B68" s="199" t="s">
        <v>9062</v>
      </c>
      <c r="C68" s="201" t="s">
        <v>9063</v>
      </c>
      <c r="D68" s="158"/>
      <c r="E68" s="56" t="s">
        <v>3577</v>
      </c>
      <c r="F68" s="215">
        <v>1.19</v>
      </c>
      <c r="G68" s="42"/>
      <c r="H68" s="37"/>
      <c r="I68" s="17"/>
      <c r="J68" s="201"/>
      <c r="K68" s="200"/>
      <c r="L68" s="199"/>
      <c r="M68" s="22"/>
      <c r="N68" s="22"/>
      <c r="O68" s="148"/>
      <c r="P68" s="198"/>
    </row>
    <row r="69" spans="1:16" ht="12.75" x14ac:dyDescent="0.2">
      <c r="A69" s="155">
        <v>44316</v>
      </c>
      <c r="B69" s="199" t="s">
        <v>9060</v>
      </c>
      <c r="C69" s="201" t="s">
        <v>9061</v>
      </c>
      <c r="D69" s="158"/>
      <c r="E69" s="56" t="s">
        <v>3577</v>
      </c>
      <c r="F69" s="215">
        <v>2.5299999999999998</v>
      </c>
      <c r="G69" s="42"/>
      <c r="H69" s="37"/>
      <c r="I69" s="17"/>
      <c r="J69" s="201"/>
      <c r="K69" s="200"/>
      <c r="L69" s="199"/>
      <c r="M69" s="22"/>
      <c r="N69" s="22"/>
      <c r="O69" s="148"/>
      <c r="P69" s="198"/>
    </row>
    <row r="70" spans="1:16" ht="12.75" x14ac:dyDescent="0.2">
      <c r="A70" s="155">
        <v>44316</v>
      </c>
      <c r="B70" s="199" t="s">
        <v>9058</v>
      </c>
      <c r="C70" s="201" t="s">
        <v>9059</v>
      </c>
      <c r="D70" s="158"/>
      <c r="E70" s="56" t="s">
        <v>3577</v>
      </c>
      <c r="F70" s="215">
        <v>2.69</v>
      </c>
      <c r="G70" s="42"/>
      <c r="H70" s="37"/>
      <c r="I70" s="17"/>
      <c r="J70" s="201"/>
      <c r="K70" s="200"/>
      <c r="L70" s="199"/>
      <c r="M70" s="22"/>
      <c r="N70" s="22"/>
      <c r="O70" s="148"/>
      <c r="P70" s="198"/>
    </row>
    <row r="71" spans="1:16" ht="12.75" x14ac:dyDescent="0.2">
      <c r="A71" s="155">
        <v>44316</v>
      </c>
      <c r="B71" s="199" t="s">
        <v>9056</v>
      </c>
      <c r="C71" s="201" t="s">
        <v>9057</v>
      </c>
      <c r="D71" s="158"/>
      <c r="E71" s="56" t="s">
        <v>3577</v>
      </c>
      <c r="F71" s="215">
        <v>18.93</v>
      </c>
      <c r="G71" s="42"/>
      <c r="H71" s="37"/>
      <c r="I71" s="17"/>
      <c r="J71" s="201"/>
      <c r="K71" s="200"/>
      <c r="L71" s="199"/>
      <c r="M71" s="22"/>
      <c r="N71" s="22"/>
      <c r="O71" s="148"/>
      <c r="P71" s="198"/>
    </row>
    <row r="72" spans="1:16" ht="12.75" x14ac:dyDescent="0.2">
      <c r="A72" s="155">
        <v>44316</v>
      </c>
      <c r="B72" s="199" t="s">
        <v>9054</v>
      </c>
      <c r="C72" s="201" t="s">
        <v>9055</v>
      </c>
      <c r="D72" s="158"/>
      <c r="E72" s="56" t="s">
        <v>3577</v>
      </c>
      <c r="F72" s="215">
        <v>5.57</v>
      </c>
      <c r="G72" s="42"/>
      <c r="H72" s="37"/>
      <c r="I72" s="17"/>
      <c r="J72" s="201"/>
      <c r="K72" s="200"/>
      <c r="L72" s="199"/>
      <c r="M72" s="22"/>
      <c r="N72" s="22"/>
      <c r="O72" s="148"/>
      <c r="P72" s="198"/>
    </row>
    <row r="73" spans="1:16" ht="12.75" x14ac:dyDescent="0.2">
      <c r="A73" s="155">
        <v>44316</v>
      </c>
      <c r="B73" s="199" t="s">
        <v>9052</v>
      </c>
      <c r="C73" s="201" t="s">
        <v>9053</v>
      </c>
      <c r="D73" s="158"/>
      <c r="E73" s="56" t="s">
        <v>3577</v>
      </c>
      <c r="F73" s="215">
        <v>2.9</v>
      </c>
      <c r="G73" s="42"/>
      <c r="H73" s="37"/>
      <c r="I73" s="17"/>
      <c r="J73" s="201"/>
      <c r="K73" s="200"/>
      <c r="L73" s="199"/>
      <c r="M73" s="22"/>
      <c r="N73" s="22"/>
      <c r="O73" s="148"/>
      <c r="P73" s="198"/>
    </row>
    <row r="74" spans="1:16" ht="12.75" x14ac:dyDescent="0.2">
      <c r="A74" s="155">
        <v>44316</v>
      </c>
      <c r="B74" s="199" t="s">
        <v>9050</v>
      </c>
      <c r="C74" s="201" t="s">
        <v>9051</v>
      </c>
      <c r="D74" s="158"/>
      <c r="E74" s="56" t="s">
        <v>3577</v>
      </c>
      <c r="F74" s="215">
        <v>2.08</v>
      </c>
      <c r="G74" s="42"/>
      <c r="H74" s="37"/>
      <c r="I74" s="17"/>
      <c r="J74" s="201"/>
      <c r="K74" s="200"/>
      <c r="L74" s="199"/>
      <c r="M74" s="22"/>
      <c r="N74" s="22"/>
      <c r="O74" s="148"/>
      <c r="P74" s="198"/>
    </row>
    <row r="75" spans="1:16" ht="12.75" x14ac:dyDescent="0.2">
      <c r="A75" s="155">
        <v>44316</v>
      </c>
      <c r="B75" s="199" t="s">
        <v>9048</v>
      </c>
      <c r="C75" s="201" t="s">
        <v>9049</v>
      </c>
      <c r="D75" s="158"/>
      <c r="E75" s="56" t="s">
        <v>3577</v>
      </c>
      <c r="F75" s="215">
        <v>2.2999999999999998</v>
      </c>
      <c r="J75" s="201"/>
      <c r="K75" s="200"/>
      <c r="L75" s="199"/>
      <c r="M75" s="22"/>
      <c r="N75" s="22"/>
      <c r="O75" s="148"/>
      <c r="P75" s="198"/>
    </row>
    <row r="76" spans="1:16" ht="12.75" x14ac:dyDescent="0.2">
      <c r="A76" s="155">
        <v>44316</v>
      </c>
      <c r="B76" s="199" t="s">
        <v>9046</v>
      </c>
      <c r="C76" s="201" t="s">
        <v>9047</v>
      </c>
      <c r="D76" s="158"/>
      <c r="E76" s="56" t="s">
        <v>3577</v>
      </c>
      <c r="F76" s="215">
        <v>3.75</v>
      </c>
      <c r="J76" s="201"/>
      <c r="K76" s="200"/>
      <c r="L76" s="199"/>
      <c r="M76" s="22"/>
      <c r="N76" s="22"/>
      <c r="O76" s="148"/>
      <c r="P76" s="198"/>
    </row>
    <row r="77" spans="1:16" ht="12.75" x14ac:dyDescent="0.2">
      <c r="A77" s="155">
        <v>44316</v>
      </c>
      <c r="B77" s="199" t="s">
        <v>9044</v>
      </c>
      <c r="C77" s="201" t="s">
        <v>9045</v>
      </c>
      <c r="D77" s="158"/>
      <c r="E77" s="56" t="s">
        <v>3577</v>
      </c>
      <c r="F77" s="215">
        <v>4.5</v>
      </c>
      <c r="G77" s="42"/>
      <c r="H77" s="37"/>
      <c r="I77" s="17"/>
      <c r="J77" s="201"/>
      <c r="K77" s="200"/>
      <c r="L77" s="199"/>
      <c r="M77" s="22"/>
      <c r="N77" s="22"/>
      <c r="O77" s="148"/>
      <c r="P77" s="198"/>
    </row>
    <row r="78" spans="1:16" ht="12.75" x14ac:dyDescent="0.2">
      <c r="A78" s="155">
        <v>44316</v>
      </c>
      <c r="B78" s="199" t="s">
        <v>9042</v>
      </c>
      <c r="C78" s="201" t="s">
        <v>9043</v>
      </c>
      <c r="D78" s="158"/>
      <c r="E78" s="56" t="s">
        <v>3577</v>
      </c>
      <c r="F78" s="215">
        <v>12.62</v>
      </c>
      <c r="G78" s="42"/>
      <c r="H78" s="37"/>
      <c r="I78" s="17"/>
      <c r="J78" s="201"/>
      <c r="K78" s="200"/>
      <c r="L78" s="199"/>
      <c r="M78" s="22"/>
      <c r="N78" s="22"/>
      <c r="O78" s="148"/>
      <c r="P78" s="198"/>
    </row>
    <row r="79" spans="1:16" ht="12.75" x14ac:dyDescent="0.2">
      <c r="A79" s="155">
        <v>44316</v>
      </c>
      <c r="B79" s="199" t="s">
        <v>9040</v>
      </c>
      <c r="C79" s="201" t="s">
        <v>9041</v>
      </c>
      <c r="D79" s="158"/>
      <c r="E79" s="56" t="s">
        <v>3577</v>
      </c>
      <c r="F79" s="215">
        <v>1.68</v>
      </c>
      <c r="G79" s="42"/>
      <c r="H79" s="37"/>
      <c r="I79" s="17"/>
      <c r="J79" s="201"/>
      <c r="K79" s="200"/>
      <c r="L79" s="199"/>
      <c r="M79" s="22"/>
      <c r="N79" s="22"/>
      <c r="O79" s="148"/>
      <c r="P79" s="198"/>
    </row>
    <row r="80" spans="1:16" ht="12.75" x14ac:dyDescent="0.2">
      <c r="A80" s="155">
        <v>44316</v>
      </c>
      <c r="B80" s="199" t="s">
        <v>9038</v>
      </c>
      <c r="C80" s="201" t="s">
        <v>9039</v>
      </c>
      <c r="D80" s="158"/>
      <c r="E80" s="56" t="s">
        <v>3577</v>
      </c>
      <c r="F80" s="215">
        <v>6.08</v>
      </c>
      <c r="G80" s="42"/>
      <c r="H80" s="37"/>
      <c r="I80" s="17"/>
      <c r="J80" s="201"/>
      <c r="K80" s="200"/>
      <c r="L80" s="199"/>
      <c r="M80" s="22"/>
      <c r="N80" s="22"/>
      <c r="O80" s="148"/>
      <c r="P80" s="198"/>
    </row>
    <row r="81" spans="1:16" ht="12.75" x14ac:dyDescent="0.2">
      <c r="A81" s="155">
        <v>44316</v>
      </c>
      <c r="B81" s="199" t="s">
        <v>9036</v>
      </c>
      <c r="C81" s="201" t="s">
        <v>9037</v>
      </c>
      <c r="D81" s="158"/>
      <c r="E81" s="56" t="s">
        <v>3577</v>
      </c>
      <c r="F81" s="215">
        <v>9.5</v>
      </c>
      <c r="G81" s="42"/>
      <c r="H81" s="37"/>
      <c r="I81" s="17"/>
      <c r="J81" s="201"/>
      <c r="K81" s="200"/>
      <c r="L81" s="199"/>
      <c r="M81" s="22"/>
      <c r="N81" s="22"/>
      <c r="O81" s="148"/>
      <c r="P81" s="198"/>
    </row>
    <row r="82" spans="1:16" ht="12.75" x14ac:dyDescent="0.2">
      <c r="A82" s="155">
        <v>44316</v>
      </c>
      <c r="B82" s="199" t="s">
        <v>9034</v>
      </c>
      <c r="C82" s="201" t="s">
        <v>9035</v>
      </c>
      <c r="D82" s="158"/>
      <c r="E82" s="56" t="s">
        <v>3577</v>
      </c>
      <c r="F82" s="215">
        <v>2.86</v>
      </c>
      <c r="G82" s="42"/>
      <c r="H82" s="37"/>
      <c r="I82" s="17"/>
      <c r="J82" s="201"/>
      <c r="K82" s="200"/>
      <c r="L82" s="199"/>
      <c r="M82" s="22"/>
      <c r="N82" s="22"/>
      <c r="O82" s="148"/>
      <c r="P82" s="198"/>
    </row>
    <row r="83" spans="1:16" ht="12.75" x14ac:dyDescent="0.2">
      <c r="A83" s="155">
        <v>44316</v>
      </c>
      <c r="B83" s="199" t="s">
        <v>9032</v>
      </c>
      <c r="C83" s="201" t="s">
        <v>9033</v>
      </c>
      <c r="D83" s="158"/>
      <c r="E83" s="56" t="s">
        <v>13218</v>
      </c>
      <c r="F83" s="272">
        <v>9.0399999999999991</v>
      </c>
      <c r="G83" s="42"/>
      <c r="H83" s="37"/>
      <c r="I83" s="17"/>
      <c r="J83" s="201"/>
      <c r="K83" s="200"/>
      <c r="L83" s="199"/>
      <c r="M83" s="22"/>
      <c r="N83" s="22"/>
      <c r="O83" s="148"/>
      <c r="P83" s="198"/>
    </row>
    <row r="84" spans="1:16" ht="12.75" x14ac:dyDescent="0.2">
      <c r="A84" s="62"/>
      <c r="B84" s="63"/>
      <c r="C84" s="63"/>
      <c r="D84" s="165"/>
      <c r="E84" s="54"/>
      <c r="F84" s="70"/>
      <c r="G84" s="42"/>
      <c r="H84" s="82">
        <f>SUM(F31:F83)</f>
        <v>365.85999999999996</v>
      </c>
    </row>
    <row r="85" spans="1:16" ht="12.75" x14ac:dyDescent="0.2">
      <c r="A85" s="42"/>
      <c r="B85" s="57"/>
      <c r="C85" s="78"/>
      <c r="D85" s="167"/>
      <c r="E85" s="42"/>
      <c r="F85" s="51"/>
      <c r="G85" s="42"/>
      <c r="H85" s="36"/>
    </row>
    <row r="86" spans="1:16" s="21" customFormat="1" ht="20.25" customHeight="1" thickBot="1" x14ac:dyDescent="0.3">
      <c r="A86" s="64"/>
      <c r="B86" s="65" t="s">
        <v>13215</v>
      </c>
      <c r="C86" s="79"/>
      <c r="D86" s="168"/>
      <c r="E86" s="64"/>
      <c r="F86" s="71"/>
      <c r="G86" s="66" t="s">
        <v>3</v>
      </c>
      <c r="H86" s="81">
        <f>+H9-H16-H22+H27+H84</f>
        <v>66463.490000000005</v>
      </c>
      <c r="I86" s="28"/>
      <c r="J86" s="28"/>
    </row>
    <row r="87" spans="1:16" ht="13.5" thickTop="1" x14ac:dyDescent="0.2">
      <c r="A87" s="42"/>
      <c r="B87" s="57"/>
      <c r="C87" s="78"/>
      <c r="D87" s="167"/>
      <c r="E87" s="42"/>
      <c r="F87" s="51"/>
      <c r="G87" s="42"/>
      <c r="H87" s="36"/>
      <c r="I87" s="30"/>
      <c r="J87" s="31" t="e">
        <f>+#REF!</f>
        <v>#REF!</v>
      </c>
    </row>
    <row r="88" spans="1:16" ht="12.75" x14ac:dyDescent="0.2">
      <c r="A88" s="42"/>
      <c r="B88" s="57"/>
      <c r="C88" s="78"/>
      <c r="D88" s="167"/>
      <c r="E88" s="42"/>
      <c r="F88" s="51"/>
      <c r="G88" s="42"/>
      <c r="H88" s="37"/>
      <c r="I88" s="30"/>
      <c r="J88" s="29"/>
    </row>
    <row r="89" spans="1:16" ht="12.75" x14ac:dyDescent="0.2">
      <c r="A89" s="42"/>
      <c r="B89" s="57"/>
      <c r="C89" s="78"/>
      <c r="D89" s="167"/>
      <c r="E89" s="42"/>
      <c r="F89" s="42"/>
      <c r="G89" s="42"/>
      <c r="H89" s="37"/>
      <c r="I89" s="30"/>
      <c r="J89" s="29"/>
    </row>
    <row r="90" spans="1:16" ht="23.25" customHeight="1" thickBot="1" x14ac:dyDescent="0.25">
      <c r="A90" s="42"/>
      <c r="B90" s="57"/>
      <c r="C90" s="80"/>
      <c r="D90" s="169"/>
      <c r="E90" s="42"/>
      <c r="F90" s="69"/>
      <c r="G90" s="42"/>
      <c r="H90" s="36"/>
      <c r="I90" s="30"/>
      <c r="J90" s="27" t="e">
        <f>+H86-J87</f>
        <v>#REF!</v>
      </c>
      <c r="L90" s="18"/>
    </row>
    <row r="91" spans="1:16" ht="26.25" customHeight="1" thickTop="1" x14ac:dyDescent="0.2">
      <c r="A91" s="42"/>
      <c r="B91" s="57"/>
      <c r="C91" s="293" t="s">
        <v>15</v>
      </c>
      <c r="D91" s="293"/>
      <c r="E91" s="42"/>
      <c r="F91" s="293" t="s">
        <v>16</v>
      </c>
      <c r="G91" s="293"/>
      <c r="H91" s="36"/>
      <c r="I91" s="30"/>
      <c r="J91" s="30"/>
    </row>
    <row r="92" spans="1:16" ht="23.25" customHeight="1" thickBot="1" x14ac:dyDescent="0.25">
      <c r="A92" s="42"/>
      <c r="B92" s="57"/>
      <c r="C92" s="78"/>
      <c r="D92" s="167"/>
      <c r="E92" s="42"/>
      <c r="F92" s="42"/>
      <c r="G92" s="42"/>
      <c r="H92" s="37"/>
      <c r="I92" s="30"/>
      <c r="J92" s="27" t="e">
        <f>+H86-J90</f>
        <v>#REF!</v>
      </c>
    </row>
    <row r="93" spans="1:16" ht="13.5" thickTop="1" x14ac:dyDescent="0.2">
      <c r="B93" s="5"/>
      <c r="E93" s="32"/>
      <c r="F93" s="72"/>
      <c r="G93" s="33"/>
      <c r="I93" s="30"/>
      <c r="J93" s="30"/>
      <c r="L93" s="18"/>
    </row>
    <row r="95" spans="1:16" x14ac:dyDescent="0.2">
      <c r="L95" s="18"/>
    </row>
    <row r="96" spans="1:16" x14ac:dyDescent="0.2">
      <c r="A96" s="5"/>
      <c r="B96" s="5"/>
      <c r="E96" s="5"/>
      <c r="G96" s="5"/>
      <c r="J96" s="18"/>
    </row>
  </sheetData>
  <mergeCells count="2">
    <mergeCell ref="C91:D91"/>
    <mergeCell ref="F91:G91"/>
  </mergeCells>
  <phoneticPr fontId="27" type="noConversion"/>
  <pageMargins left="0.70866141732283472" right="0.70866141732283472" top="0.74803149606299213" bottom="0.74803149606299213" header="0.31496062992125984" footer="0.31496062992125984"/>
  <pageSetup paperSize="9" scale="68" fitToHeight="3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39067-5A11-4550-BBB5-2F1EA256CEA3}">
  <dimension ref="A2:K798"/>
  <sheetViews>
    <sheetView topLeftCell="A776" workbookViewId="0">
      <selection activeCell="D23" sqref="D23"/>
    </sheetView>
  </sheetViews>
  <sheetFormatPr baseColWidth="10" defaultRowHeight="12.75" x14ac:dyDescent="0.2"/>
  <cols>
    <col min="1" max="16384" width="11.42578125" style="22"/>
  </cols>
  <sheetData>
    <row r="2" spans="1:11" ht="19.5" x14ac:dyDescent="0.2">
      <c r="F2" s="95" t="s">
        <v>541</v>
      </c>
      <c r="J2" s="197" t="s">
        <v>540</v>
      </c>
      <c r="K2" s="207">
        <v>1</v>
      </c>
    </row>
    <row r="3" spans="1:11" x14ac:dyDescent="0.2">
      <c r="J3" s="197" t="s">
        <v>539</v>
      </c>
      <c r="K3" s="206">
        <v>44462</v>
      </c>
    </row>
    <row r="5" spans="1:11" x14ac:dyDescent="0.2">
      <c r="E5" s="94" t="s">
        <v>538</v>
      </c>
      <c r="F5" s="92" t="s">
        <v>13181</v>
      </c>
      <c r="G5" s="94" t="s">
        <v>537</v>
      </c>
      <c r="H5" s="92" t="s">
        <v>13181</v>
      </c>
      <c r="J5" s="267">
        <v>0.83292824074074079</v>
      </c>
    </row>
    <row r="7" spans="1:11" x14ac:dyDescent="0.2">
      <c r="J7" s="197" t="s">
        <v>536</v>
      </c>
      <c r="K7" s="201" t="s">
        <v>1579</v>
      </c>
    </row>
    <row r="8" spans="1:11" x14ac:dyDescent="0.2">
      <c r="C8" s="93" t="s">
        <v>535</v>
      </c>
      <c r="D8" s="92" t="s">
        <v>534</v>
      </c>
      <c r="F8" s="93" t="s">
        <v>533</v>
      </c>
      <c r="G8" s="92" t="s">
        <v>531</v>
      </c>
      <c r="I8" s="93" t="s">
        <v>532</v>
      </c>
      <c r="J8" s="92" t="s">
        <v>531</v>
      </c>
    </row>
    <row r="11" spans="1:11" x14ac:dyDescent="0.2">
      <c r="A11" s="205" t="s">
        <v>530</v>
      </c>
      <c r="C11" s="204" t="s">
        <v>529</v>
      </c>
      <c r="D11" s="204" t="s">
        <v>528</v>
      </c>
      <c r="F11" s="203" t="s">
        <v>527</v>
      </c>
      <c r="I11" s="197" t="s">
        <v>21</v>
      </c>
      <c r="J11" s="197" t="s">
        <v>20</v>
      </c>
      <c r="K11" s="197" t="s">
        <v>526</v>
      </c>
    </row>
    <row r="14" spans="1:11" x14ac:dyDescent="0.2">
      <c r="A14" s="205" t="s">
        <v>525</v>
      </c>
      <c r="B14" s="199" t="s">
        <v>524</v>
      </c>
    </row>
    <row r="16" spans="1:11" x14ac:dyDescent="0.2">
      <c r="A16" s="204" t="s">
        <v>523</v>
      </c>
      <c r="B16" s="201" t="s">
        <v>522</v>
      </c>
      <c r="J16" s="197" t="s">
        <v>22</v>
      </c>
      <c r="K16" s="198">
        <v>66463.490000000005</v>
      </c>
    </row>
    <row r="18" spans="3:11" x14ac:dyDescent="0.2">
      <c r="C18" s="201" t="s">
        <v>13180</v>
      </c>
      <c r="D18" s="200">
        <v>44317</v>
      </c>
      <c r="E18" s="199" t="s">
        <v>13179</v>
      </c>
      <c r="I18" s="198">
        <v>3.4</v>
      </c>
      <c r="K18" s="198">
        <v>66466.89</v>
      </c>
    </row>
    <row r="19" spans="3:11" x14ac:dyDescent="0.2">
      <c r="C19" s="201" t="s">
        <v>13178</v>
      </c>
      <c r="D19" s="200">
        <v>44319</v>
      </c>
      <c r="E19" s="199" t="s">
        <v>2032</v>
      </c>
      <c r="I19" s="198">
        <v>4.7300000000000004</v>
      </c>
      <c r="K19" s="198">
        <v>66471.62</v>
      </c>
    </row>
    <row r="20" spans="3:11" x14ac:dyDescent="0.2">
      <c r="C20" s="201" t="s">
        <v>13177</v>
      </c>
      <c r="D20" s="200">
        <v>44319</v>
      </c>
      <c r="E20" s="199" t="s">
        <v>13176</v>
      </c>
      <c r="I20" s="198">
        <v>2.96</v>
      </c>
      <c r="K20" s="198">
        <v>66474.58</v>
      </c>
    </row>
    <row r="21" spans="3:11" x14ac:dyDescent="0.2">
      <c r="C21" s="201" t="s">
        <v>13175</v>
      </c>
      <c r="D21" s="200">
        <v>44319</v>
      </c>
      <c r="E21" s="199" t="s">
        <v>13174</v>
      </c>
      <c r="I21" s="198">
        <v>7.34</v>
      </c>
      <c r="K21" s="198">
        <v>66481.919999999998</v>
      </c>
    </row>
    <row r="22" spans="3:11" x14ac:dyDescent="0.2">
      <c r="C22" s="201" t="s">
        <v>13173</v>
      </c>
      <c r="D22" s="200">
        <v>44319</v>
      </c>
      <c r="E22" s="199" t="s">
        <v>13172</v>
      </c>
      <c r="I22" s="198">
        <v>4.5599999999999996</v>
      </c>
      <c r="K22" s="198">
        <v>66486.48</v>
      </c>
    </row>
    <row r="23" spans="3:11" x14ac:dyDescent="0.2">
      <c r="C23" s="201" t="s">
        <v>13171</v>
      </c>
      <c r="D23" s="200">
        <v>44319</v>
      </c>
      <c r="E23" s="199" t="s">
        <v>13170</v>
      </c>
      <c r="I23" s="198">
        <v>10.51</v>
      </c>
      <c r="K23" s="198">
        <v>66496.990000000005</v>
      </c>
    </row>
    <row r="24" spans="3:11" x14ac:dyDescent="0.2">
      <c r="C24" s="201" t="s">
        <v>13169</v>
      </c>
      <c r="D24" s="200">
        <v>44319</v>
      </c>
      <c r="E24" s="199" t="s">
        <v>13168</v>
      </c>
      <c r="I24" s="198">
        <v>5.04</v>
      </c>
      <c r="K24" s="198">
        <v>66502.03</v>
      </c>
    </row>
    <row r="25" spans="3:11" x14ac:dyDescent="0.2">
      <c r="C25" s="201" t="s">
        <v>13167</v>
      </c>
      <c r="D25" s="200">
        <v>44319</v>
      </c>
      <c r="E25" s="199" t="s">
        <v>13166</v>
      </c>
      <c r="I25" s="198">
        <v>8.3800000000000008</v>
      </c>
      <c r="K25" s="198">
        <v>66510.41</v>
      </c>
    </row>
    <row r="26" spans="3:11" x14ac:dyDescent="0.2">
      <c r="C26" s="201" t="s">
        <v>13165</v>
      </c>
      <c r="D26" s="200">
        <v>44319</v>
      </c>
      <c r="E26" s="199" t="s">
        <v>13164</v>
      </c>
      <c r="I26" s="198">
        <v>1.81</v>
      </c>
      <c r="K26" s="198">
        <v>66512.22</v>
      </c>
    </row>
    <row r="27" spans="3:11" x14ac:dyDescent="0.2">
      <c r="C27" s="201" t="s">
        <v>13163</v>
      </c>
      <c r="D27" s="200">
        <v>44319</v>
      </c>
      <c r="E27" s="199" t="s">
        <v>13162</v>
      </c>
      <c r="I27" s="198">
        <v>1.83</v>
      </c>
      <c r="K27" s="198">
        <v>66514.05</v>
      </c>
    </row>
    <row r="28" spans="3:11" x14ac:dyDescent="0.2">
      <c r="C28" s="201" t="s">
        <v>13161</v>
      </c>
      <c r="D28" s="200">
        <v>44319</v>
      </c>
      <c r="E28" s="199" t="s">
        <v>13160</v>
      </c>
      <c r="I28" s="198">
        <v>5.68</v>
      </c>
      <c r="K28" s="198">
        <v>66519.73</v>
      </c>
    </row>
    <row r="29" spans="3:11" x14ac:dyDescent="0.2">
      <c r="C29" s="201" t="s">
        <v>13159</v>
      </c>
      <c r="D29" s="200">
        <v>44319</v>
      </c>
      <c r="E29" s="199" t="s">
        <v>13158</v>
      </c>
      <c r="I29" s="198">
        <v>1.68</v>
      </c>
      <c r="K29" s="198">
        <v>66521.41</v>
      </c>
    </row>
    <row r="30" spans="3:11" x14ac:dyDescent="0.2">
      <c r="C30" s="201" t="s">
        <v>13157</v>
      </c>
      <c r="D30" s="200">
        <v>44319</v>
      </c>
      <c r="E30" s="199" t="s">
        <v>13156</v>
      </c>
      <c r="I30" s="198">
        <v>2.67</v>
      </c>
      <c r="K30" s="198">
        <v>66524.08</v>
      </c>
    </row>
    <row r="31" spans="3:11" x14ac:dyDescent="0.2">
      <c r="C31" s="201" t="s">
        <v>13155</v>
      </c>
      <c r="D31" s="200">
        <v>44319</v>
      </c>
      <c r="E31" s="199" t="s">
        <v>13154</v>
      </c>
      <c r="I31" s="198">
        <v>2.2999999999999998</v>
      </c>
      <c r="K31" s="198">
        <v>66526.38</v>
      </c>
    </row>
    <row r="32" spans="3:11" x14ac:dyDescent="0.2">
      <c r="C32" s="201" t="s">
        <v>13153</v>
      </c>
      <c r="D32" s="200">
        <v>44319</v>
      </c>
      <c r="E32" s="199" t="s">
        <v>13152</v>
      </c>
      <c r="I32" s="198">
        <v>4.17</v>
      </c>
      <c r="K32" s="198">
        <v>66530.55</v>
      </c>
    </row>
    <row r="33" spans="3:11" x14ac:dyDescent="0.2">
      <c r="C33" s="201" t="s">
        <v>13151</v>
      </c>
      <c r="D33" s="200">
        <v>44319</v>
      </c>
      <c r="E33" s="199" t="s">
        <v>13150</v>
      </c>
      <c r="I33" s="198">
        <v>1.85</v>
      </c>
      <c r="K33" s="198">
        <v>66532.399999999994</v>
      </c>
    </row>
    <row r="34" spans="3:11" x14ac:dyDescent="0.2">
      <c r="C34" s="201" t="s">
        <v>13149</v>
      </c>
      <c r="D34" s="200">
        <v>44319</v>
      </c>
      <c r="E34" s="199" t="s">
        <v>13148</v>
      </c>
      <c r="I34" s="198">
        <v>1.68</v>
      </c>
      <c r="K34" s="198">
        <v>66534.080000000002</v>
      </c>
    </row>
    <row r="35" spans="3:11" x14ac:dyDescent="0.2">
      <c r="C35" s="201" t="s">
        <v>13147</v>
      </c>
      <c r="D35" s="200">
        <v>44319</v>
      </c>
      <c r="E35" s="199" t="s">
        <v>13146</v>
      </c>
      <c r="I35" s="198">
        <v>1.68</v>
      </c>
      <c r="K35" s="198">
        <v>66535.759999999995</v>
      </c>
    </row>
    <row r="36" spans="3:11" x14ac:dyDescent="0.2">
      <c r="C36" s="201" t="s">
        <v>13145</v>
      </c>
      <c r="D36" s="200">
        <v>44319</v>
      </c>
      <c r="E36" s="199" t="s">
        <v>13144</v>
      </c>
      <c r="I36" s="198">
        <v>3.36</v>
      </c>
      <c r="K36" s="198">
        <v>66539.12</v>
      </c>
    </row>
    <row r="37" spans="3:11" x14ac:dyDescent="0.2">
      <c r="C37" s="201" t="s">
        <v>13143</v>
      </c>
      <c r="D37" s="200">
        <v>44319</v>
      </c>
      <c r="E37" s="199" t="s">
        <v>13142</v>
      </c>
      <c r="I37" s="198">
        <v>6.94</v>
      </c>
      <c r="K37" s="198">
        <v>66546.06</v>
      </c>
    </row>
    <row r="38" spans="3:11" x14ac:dyDescent="0.2">
      <c r="C38" s="201" t="s">
        <v>13141</v>
      </c>
      <c r="D38" s="200">
        <v>44319</v>
      </c>
      <c r="E38" s="199" t="s">
        <v>13140</v>
      </c>
      <c r="I38" s="198">
        <v>0.37</v>
      </c>
      <c r="K38" s="198">
        <v>66546.429999999993</v>
      </c>
    </row>
    <row r="39" spans="3:11" x14ac:dyDescent="0.2">
      <c r="C39" s="201" t="s">
        <v>13139</v>
      </c>
      <c r="D39" s="200">
        <v>44319</v>
      </c>
      <c r="E39" s="199" t="s">
        <v>13138</v>
      </c>
      <c r="I39" s="198">
        <v>2.0299999999999998</v>
      </c>
      <c r="K39" s="198">
        <v>66548.460000000006</v>
      </c>
    </row>
    <row r="40" spans="3:11" x14ac:dyDescent="0.2">
      <c r="C40" s="201" t="s">
        <v>13137</v>
      </c>
      <c r="D40" s="200">
        <v>44319</v>
      </c>
      <c r="E40" s="199" t="s">
        <v>13136</v>
      </c>
      <c r="I40" s="198">
        <v>8.3800000000000008</v>
      </c>
      <c r="K40" s="198">
        <v>66556.84</v>
      </c>
    </row>
    <row r="41" spans="3:11" x14ac:dyDescent="0.2">
      <c r="C41" s="201" t="s">
        <v>13135</v>
      </c>
      <c r="D41" s="200">
        <v>44319</v>
      </c>
      <c r="E41" s="199" t="s">
        <v>13134</v>
      </c>
      <c r="I41" s="198">
        <v>13.18</v>
      </c>
      <c r="K41" s="198">
        <v>66570.02</v>
      </c>
    </row>
    <row r="42" spans="3:11" x14ac:dyDescent="0.2">
      <c r="C42" s="201" t="s">
        <v>13133</v>
      </c>
      <c r="D42" s="200">
        <v>44319</v>
      </c>
      <c r="E42" s="199" t="s">
        <v>13132</v>
      </c>
      <c r="I42" s="198">
        <v>1.68</v>
      </c>
      <c r="K42" s="198">
        <v>66571.7</v>
      </c>
    </row>
    <row r="43" spans="3:11" x14ac:dyDescent="0.2">
      <c r="C43" s="201" t="s">
        <v>13131</v>
      </c>
      <c r="D43" s="200">
        <v>44319</v>
      </c>
      <c r="E43" s="199" t="s">
        <v>13130</v>
      </c>
      <c r="I43" s="198">
        <v>3.24</v>
      </c>
      <c r="K43" s="198">
        <v>66574.94</v>
      </c>
    </row>
    <row r="44" spans="3:11" x14ac:dyDescent="0.2">
      <c r="C44" s="201" t="s">
        <v>13129</v>
      </c>
      <c r="D44" s="200">
        <v>44319</v>
      </c>
      <c r="E44" s="199" t="s">
        <v>13128</v>
      </c>
      <c r="I44" s="198">
        <v>22.36</v>
      </c>
      <c r="K44" s="198">
        <v>66597.3</v>
      </c>
    </row>
    <row r="45" spans="3:11" x14ac:dyDescent="0.2">
      <c r="C45" s="201" t="s">
        <v>13127</v>
      </c>
      <c r="D45" s="200">
        <v>44319</v>
      </c>
      <c r="E45" s="199" t="s">
        <v>13126</v>
      </c>
      <c r="I45" s="198">
        <v>1.8</v>
      </c>
      <c r="K45" s="198">
        <v>66599.100000000006</v>
      </c>
    </row>
    <row r="46" spans="3:11" x14ac:dyDescent="0.2">
      <c r="C46" s="201" t="s">
        <v>13125</v>
      </c>
      <c r="D46" s="200">
        <v>44319</v>
      </c>
      <c r="E46" s="199" t="s">
        <v>13124</v>
      </c>
      <c r="I46" s="198">
        <v>3.91</v>
      </c>
      <c r="K46" s="198">
        <v>66603.009999999995</v>
      </c>
    </row>
    <row r="47" spans="3:11" x14ac:dyDescent="0.2">
      <c r="C47" s="201" t="s">
        <v>13123</v>
      </c>
      <c r="D47" s="200">
        <v>44319</v>
      </c>
      <c r="E47" s="199" t="s">
        <v>13122</v>
      </c>
      <c r="I47" s="198">
        <v>1.94</v>
      </c>
      <c r="K47" s="198">
        <v>66604.95</v>
      </c>
    </row>
    <row r="48" spans="3:11" x14ac:dyDescent="0.2">
      <c r="C48" s="201" t="s">
        <v>13121</v>
      </c>
      <c r="D48" s="200">
        <v>44319</v>
      </c>
      <c r="E48" s="199" t="s">
        <v>13120</v>
      </c>
      <c r="I48" s="198">
        <v>1.68</v>
      </c>
      <c r="K48" s="198">
        <v>66606.63</v>
      </c>
    </row>
    <row r="49" spans="3:11" x14ac:dyDescent="0.2">
      <c r="C49" s="201" t="s">
        <v>13119</v>
      </c>
      <c r="D49" s="200">
        <v>44319</v>
      </c>
      <c r="E49" s="199" t="s">
        <v>13118</v>
      </c>
      <c r="I49" s="198">
        <v>2</v>
      </c>
      <c r="K49" s="198">
        <v>66608.63</v>
      </c>
    </row>
    <row r="50" spans="3:11" x14ac:dyDescent="0.2">
      <c r="C50" s="201" t="s">
        <v>13117</v>
      </c>
      <c r="D50" s="200">
        <v>44319</v>
      </c>
      <c r="E50" s="199" t="s">
        <v>13116</v>
      </c>
      <c r="I50" s="198">
        <v>5.61</v>
      </c>
      <c r="K50" s="198">
        <v>66614.240000000005</v>
      </c>
    </row>
    <row r="51" spans="3:11" x14ac:dyDescent="0.2">
      <c r="C51" s="201" t="s">
        <v>13115</v>
      </c>
      <c r="D51" s="200">
        <v>44319</v>
      </c>
      <c r="E51" s="199" t="s">
        <v>13114</v>
      </c>
      <c r="I51" s="198">
        <v>3.66</v>
      </c>
      <c r="K51" s="198">
        <v>66617.899999999994</v>
      </c>
    </row>
    <row r="52" spans="3:11" x14ac:dyDescent="0.2">
      <c r="C52" s="201" t="s">
        <v>13113</v>
      </c>
      <c r="D52" s="200">
        <v>44319</v>
      </c>
      <c r="E52" s="199" t="s">
        <v>13112</v>
      </c>
      <c r="I52" s="198">
        <v>1.86</v>
      </c>
      <c r="K52" s="198">
        <v>66619.759999999995</v>
      </c>
    </row>
    <row r="53" spans="3:11" x14ac:dyDescent="0.2">
      <c r="C53" s="201" t="s">
        <v>13111</v>
      </c>
      <c r="D53" s="200">
        <v>44319</v>
      </c>
      <c r="E53" s="199" t="s">
        <v>13110</v>
      </c>
      <c r="I53" s="198">
        <v>2.31</v>
      </c>
      <c r="K53" s="198">
        <v>66622.070000000007</v>
      </c>
    </row>
    <row r="54" spans="3:11" x14ac:dyDescent="0.2">
      <c r="C54" s="201" t="s">
        <v>13109</v>
      </c>
      <c r="D54" s="200">
        <v>44319</v>
      </c>
      <c r="E54" s="199" t="s">
        <v>13108</v>
      </c>
      <c r="I54" s="198">
        <v>21.58</v>
      </c>
      <c r="K54" s="198">
        <v>66643.649999999994</v>
      </c>
    </row>
    <row r="55" spans="3:11" x14ac:dyDescent="0.2">
      <c r="C55" s="201" t="s">
        <v>13107</v>
      </c>
      <c r="D55" s="200">
        <v>44319</v>
      </c>
      <c r="E55" s="199" t="s">
        <v>13106</v>
      </c>
      <c r="I55" s="198">
        <v>4.66</v>
      </c>
      <c r="K55" s="198">
        <v>66648.31</v>
      </c>
    </row>
    <row r="56" spans="3:11" x14ac:dyDescent="0.2">
      <c r="C56" s="201" t="s">
        <v>13105</v>
      </c>
      <c r="D56" s="200">
        <v>44319</v>
      </c>
      <c r="E56" s="199" t="s">
        <v>13104</v>
      </c>
      <c r="I56" s="198">
        <v>1.67</v>
      </c>
      <c r="K56" s="198">
        <v>66649.98</v>
      </c>
    </row>
    <row r="57" spans="3:11" x14ac:dyDescent="0.2">
      <c r="C57" s="201" t="s">
        <v>13103</v>
      </c>
      <c r="D57" s="200">
        <v>44319</v>
      </c>
      <c r="E57" s="199" t="s">
        <v>13102</v>
      </c>
      <c r="I57" s="198">
        <v>5.97</v>
      </c>
      <c r="K57" s="198">
        <v>66655.95</v>
      </c>
    </row>
    <row r="58" spans="3:11" x14ac:dyDescent="0.2">
      <c r="C58" s="201" t="s">
        <v>13101</v>
      </c>
      <c r="D58" s="200">
        <v>44319</v>
      </c>
      <c r="E58" s="199" t="s">
        <v>13100</v>
      </c>
      <c r="I58" s="198">
        <v>5</v>
      </c>
      <c r="K58" s="198">
        <v>66660.95</v>
      </c>
    </row>
    <row r="59" spans="3:11" x14ac:dyDescent="0.2">
      <c r="C59" s="201" t="s">
        <v>13099</v>
      </c>
      <c r="D59" s="200">
        <v>44320</v>
      </c>
      <c r="E59" s="199" t="s">
        <v>13098</v>
      </c>
      <c r="I59" s="198">
        <v>3.94</v>
      </c>
      <c r="K59" s="198">
        <v>66664.89</v>
      </c>
    </row>
    <row r="60" spans="3:11" x14ac:dyDescent="0.2">
      <c r="C60" s="201" t="s">
        <v>13097</v>
      </c>
      <c r="D60" s="200">
        <v>44320</v>
      </c>
      <c r="E60" s="199" t="s">
        <v>13096</v>
      </c>
      <c r="I60" s="198">
        <v>23.65</v>
      </c>
      <c r="K60" s="198">
        <v>66688.539999999994</v>
      </c>
    </row>
    <row r="61" spans="3:11" x14ac:dyDescent="0.2">
      <c r="C61" s="201" t="s">
        <v>13095</v>
      </c>
      <c r="D61" s="200">
        <v>44320</v>
      </c>
      <c r="E61" s="199" t="s">
        <v>13094</v>
      </c>
      <c r="I61" s="198">
        <v>6.52</v>
      </c>
      <c r="K61" s="198">
        <v>66695.06</v>
      </c>
    </row>
    <row r="62" spans="3:11" x14ac:dyDescent="0.2">
      <c r="C62" s="201" t="s">
        <v>13093</v>
      </c>
      <c r="D62" s="200">
        <v>44320</v>
      </c>
      <c r="E62" s="199" t="s">
        <v>13092</v>
      </c>
      <c r="I62" s="198">
        <v>7.82</v>
      </c>
      <c r="K62" s="198">
        <v>66702.880000000005</v>
      </c>
    </row>
    <row r="63" spans="3:11" x14ac:dyDescent="0.2">
      <c r="C63" s="201" t="s">
        <v>13091</v>
      </c>
      <c r="D63" s="200">
        <v>44320</v>
      </c>
      <c r="E63" s="199" t="s">
        <v>13090</v>
      </c>
      <c r="I63" s="198">
        <v>8.2799999999999994</v>
      </c>
      <c r="K63" s="198">
        <v>66711.16</v>
      </c>
    </row>
    <row r="64" spans="3:11" x14ac:dyDescent="0.2">
      <c r="C64" s="201" t="s">
        <v>13089</v>
      </c>
      <c r="D64" s="200">
        <v>44320</v>
      </c>
      <c r="E64" s="199" t="s">
        <v>13088</v>
      </c>
      <c r="I64" s="198">
        <v>1.68</v>
      </c>
      <c r="K64" s="198">
        <v>66712.84</v>
      </c>
    </row>
    <row r="65" spans="3:11" x14ac:dyDescent="0.2">
      <c r="C65" s="201" t="s">
        <v>13087</v>
      </c>
      <c r="D65" s="200">
        <v>44320</v>
      </c>
      <c r="E65" s="199" t="s">
        <v>13086</v>
      </c>
      <c r="I65" s="198">
        <v>13.92</v>
      </c>
      <c r="K65" s="198">
        <v>66726.759999999995</v>
      </c>
    </row>
    <row r="66" spans="3:11" x14ac:dyDescent="0.2">
      <c r="C66" s="201" t="s">
        <v>13085</v>
      </c>
      <c r="D66" s="200">
        <v>44320</v>
      </c>
      <c r="E66" s="199" t="s">
        <v>13084</v>
      </c>
      <c r="I66" s="198">
        <v>29.94</v>
      </c>
      <c r="K66" s="198">
        <v>66756.7</v>
      </c>
    </row>
    <row r="67" spans="3:11" x14ac:dyDescent="0.2">
      <c r="C67" s="201" t="s">
        <v>13083</v>
      </c>
      <c r="D67" s="200">
        <v>44320</v>
      </c>
      <c r="E67" s="199" t="s">
        <v>13082</v>
      </c>
      <c r="I67" s="198">
        <v>2.31</v>
      </c>
      <c r="K67" s="198">
        <v>66759.009999999995</v>
      </c>
    </row>
    <row r="68" spans="3:11" x14ac:dyDescent="0.2">
      <c r="C68" s="201" t="s">
        <v>13081</v>
      </c>
      <c r="D68" s="200">
        <v>44320</v>
      </c>
      <c r="E68" s="199" t="s">
        <v>13080</v>
      </c>
      <c r="I68" s="198">
        <v>6.38</v>
      </c>
      <c r="K68" s="198">
        <v>66765.39</v>
      </c>
    </row>
    <row r="69" spans="3:11" x14ac:dyDescent="0.2">
      <c r="C69" s="201" t="s">
        <v>13079</v>
      </c>
      <c r="D69" s="200">
        <v>44320</v>
      </c>
      <c r="E69" s="199" t="s">
        <v>13078</v>
      </c>
      <c r="I69" s="198">
        <v>11.52</v>
      </c>
      <c r="K69" s="198">
        <v>66776.91</v>
      </c>
    </row>
    <row r="70" spans="3:11" x14ac:dyDescent="0.2">
      <c r="C70" s="201" t="s">
        <v>13077</v>
      </c>
      <c r="D70" s="200">
        <v>44320</v>
      </c>
      <c r="E70" s="199" t="s">
        <v>13076</v>
      </c>
      <c r="I70" s="198">
        <v>6.02</v>
      </c>
      <c r="K70" s="198">
        <v>66782.929999999993</v>
      </c>
    </row>
    <row r="71" spans="3:11" x14ac:dyDescent="0.2">
      <c r="C71" s="201" t="s">
        <v>13075</v>
      </c>
      <c r="D71" s="200">
        <v>44320</v>
      </c>
      <c r="E71" s="199" t="s">
        <v>13074</v>
      </c>
      <c r="I71" s="198">
        <v>2.14</v>
      </c>
      <c r="K71" s="198">
        <v>66785.070000000007</v>
      </c>
    </row>
    <row r="72" spans="3:11" x14ac:dyDescent="0.2">
      <c r="C72" s="201" t="s">
        <v>13073</v>
      </c>
      <c r="D72" s="200">
        <v>44320</v>
      </c>
      <c r="E72" s="199" t="s">
        <v>13072</v>
      </c>
      <c r="I72" s="198">
        <v>5.16</v>
      </c>
      <c r="K72" s="198">
        <v>66790.23</v>
      </c>
    </row>
    <row r="73" spans="3:11" x14ac:dyDescent="0.2">
      <c r="C73" s="201" t="s">
        <v>13071</v>
      </c>
      <c r="D73" s="200">
        <v>44320</v>
      </c>
      <c r="E73" s="199" t="s">
        <v>13070</v>
      </c>
      <c r="I73" s="198">
        <v>2.25</v>
      </c>
      <c r="K73" s="198">
        <v>66792.479999999996</v>
      </c>
    </row>
    <row r="74" spans="3:11" x14ac:dyDescent="0.2">
      <c r="C74" s="201" t="s">
        <v>13069</v>
      </c>
      <c r="D74" s="200">
        <v>44320</v>
      </c>
      <c r="E74" s="199" t="s">
        <v>13068</v>
      </c>
      <c r="I74" s="198">
        <v>6.78</v>
      </c>
      <c r="K74" s="198">
        <v>66799.259999999995</v>
      </c>
    </row>
    <row r="75" spans="3:11" x14ac:dyDescent="0.2">
      <c r="C75" s="201" t="s">
        <v>13067</v>
      </c>
      <c r="D75" s="200">
        <v>44320</v>
      </c>
      <c r="E75" s="199" t="s">
        <v>13066</v>
      </c>
      <c r="I75" s="198">
        <v>2.81</v>
      </c>
      <c r="K75" s="198">
        <v>66802.070000000007</v>
      </c>
    </row>
    <row r="76" spans="3:11" x14ac:dyDescent="0.2">
      <c r="C76" s="201" t="s">
        <v>13065</v>
      </c>
      <c r="D76" s="200">
        <v>44320</v>
      </c>
      <c r="E76" s="199" t="s">
        <v>13064</v>
      </c>
      <c r="I76" s="198">
        <v>2.39</v>
      </c>
      <c r="K76" s="198">
        <v>66804.460000000006</v>
      </c>
    </row>
    <row r="77" spans="3:11" x14ac:dyDescent="0.2">
      <c r="C77" s="201" t="s">
        <v>13063</v>
      </c>
      <c r="D77" s="200">
        <v>44320</v>
      </c>
      <c r="E77" s="199" t="s">
        <v>13062</v>
      </c>
      <c r="I77" s="198">
        <v>1.98</v>
      </c>
      <c r="K77" s="198">
        <v>66806.44</v>
      </c>
    </row>
    <row r="78" spans="3:11" x14ac:dyDescent="0.2">
      <c r="C78" s="201" t="s">
        <v>13061</v>
      </c>
      <c r="D78" s="200">
        <v>44320</v>
      </c>
      <c r="E78" s="199" t="s">
        <v>13060</v>
      </c>
      <c r="I78" s="198">
        <v>18.489999999999998</v>
      </c>
      <c r="K78" s="198">
        <v>66824.929999999993</v>
      </c>
    </row>
    <row r="79" spans="3:11" x14ac:dyDescent="0.2">
      <c r="C79" s="201" t="s">
        <v>13059</v>
      </c>
      <c r="D79" s="200">
        <v>44320</v>
      </c>
      <c r="E79" s="199" t="s">
        <v>13058</v>
      </c>
      <c r="I79" s="198">
        <v>5.8</v>
      </c>
      <c r="K79" s="198">
        <v>66830.73</v>
      </c>
    </row>
    <row r="80" spans="3:11" x14ac:dyDescent="0.2">
      <c r="C80" s="201" t="s">
        <v>13057</v>
      </c>
      <c r="D80" s="200">
        <v>44320</v>
      </c>
      <c r="E80" s="199" t="s">
        <v>13056</v>
      </c>
      <c r="I80" s="198">
        <v>3.02</v>
      </c>
      <c r="K80" s="198">
        <v>66833.75</v>
      </c>
    </row>
    <row r="81" spans="3:11" x14ac:dyDescent="0.2">
      <c r="C81" s="201" t="s">
        <v>13055</v>
      </c>
      <c r="D81" s="200">
        <v>44320</v>
      </c>
      <c r="E81" s="199" t="s">
        <v>13054</v>
      </c>
      <c r="I81" s="198">
        <v>6.25</v>
      </c>
      <c r="K81" s="198">
        <v>66840</v>
      </c>
    </row>
    <row r="82" spans="3:11" x14ac:dyDescent="0.2">
      <c r="C82" s="201" t="s">
        <v>13053</v>
      </c>
      <c r="D82" s="200">
        <v>44320</v>
      </c>
      <c r="E82" s="199" t="s">
        <v>13052</v>
      </c>
      <c r="I82" s="198">
        <v>1.68</v>
      </c>
      <c r="K82" s="198">
        <v>66841.679999999993</v>
      </c>
    </row>
    <row r="83" spans="3:11" x14ac:dyDescent="0.2">
      <c r="C83" s="201" t="s">
        <v>13051</v>
      </c>
      <c r="D83" s="200">
        <v>44320</v>
      </c>
      <c r="E83" s="199" t="s">
        <v>13050</v>
      </c>
      <c r="I83" s="198">
        <v>9.76</v>
      </c>
      <c r="K83" s="198">
        <v>66851.44</v>
      </c>
    </row>
    <row r="84" spans="3:11" x14ac:dyDescent="0.2">
      <c r="C84" s="201" t="s">
        <v>13049</v>
      </c>
      <c r="D84" s="200">
        <v>44320</v>
      </c>
      <c r="E84" s="199" t="s">
        <v>13048</v>
      </c>
      <c r="I84" s="198">
        <v>8.69</v>
      </c>
      <c r="K84" s="198">
        <v>66860.13</v>
      </c>
    </row>
    <row r="85" spans="3:11" x14ac:dyDescent="0.2">
      <c r="C85" s="201" t="s">
        <v>13047</v>
      </c>
      <c r="D85" s="200">
        <v>44320</v>
      </c>
      <c r="E85" s="199" t="s">
        <v>13046</v>
      </c>
      <c r="I85" s="198">
        <v>2.71</v>
      </c>
      <c r="K85" s="198">
        <v>66862.84</v>
      </c>
    </row>
    <row r="86" spans="3:11" x14ac:dyDescent="0.2">
      <c r="C86" s="201" t="s">
        <v>13045</v>
      </c>
      <c r="D86" s="200">
        <v>44320</v>
      </c>
      <c r="E86" s="199" t="s">
        <v>13044</v>
      </c>
      <c r="I86" s="198">
        <v>2.84</v>
      </c>
      <c r="K86" s="198">
        <v>66865.679999999993</v>
      </c>
    </row>
    <row r="87" spans="3:11" x14ac:dyDescent="0.2">
      <c r="C87" s="201" t="s">
        <v>13043</v>
      </c>
      <c r="D87" s="200">
        <v>44320</v>
      </c>
      <c r="E87" s="199" t="s">
        <v>13042</v>
      </c>
      <c r="I87" s="198">
        <v>28.3</v>
      </c>
      <c r="K87" s="198">
        <v>66893.98</v>
      </c>
    </row>
    <row r="88" spans="3:11" x14ac:dyDescent="0.2">
      <c r="C88" s="201" t="s">
        <v>13041</v>
      </c>
      <c r="D88" s="200">
        <v>44320</v>
      </c>
      <c r="E88" s="199" t="s">
        <v>13040</v>
      </c>
      <c r="I88" s="198">
        <v>3.56</v>
      </c>
      <c r="K88" s="198">
        <v>66897.539999999994</v>
      </c>
    </row>
    <row r="89" spans="3:11" x14ac:dyDescent="0.2">
      <c r="C89" s="201" t="s">
        <v>13039</v>
      </c>
      <c r="D89" s="200">
        <v>44320</v>
      </c>
      <c r="E89" s="199" t="s">
        <v>13038</v>
      </c>
      <c r="I89" s="198">
        <v>0.02</v>
      </c>
      <c r="K89" s="198">
        <v>66897.56</v>
      </c>
    </row>
    <row r="90" spans="3:11" x14ac:dyDescent="0.2">
      <c r="C90" s="201" t="s">
        <v>13037</v>
      </c>
      <c r="D90" s="200">
        <v>44320</v>
      </c>
      <c r="E90" s="199" t="s">
        <v>13036</v>
      </c>
      <c r="I90" s="198">
        <v>9.1300000000000008</v>
      </c>
      <c r="K90" s="198">
        <v>66906.69</v>
      </c>
    </row>
    <row r="91" spans="3:11" x14ac:dyDescent="0.2">
      <c r="C91" s="201" t="s">
        <v>13035</v>
      </c>
      <c r="D91" s="200">
        <v>44320</v>
      </c>
      <c r="E91" s="199" t="s">
        <v>13034</v>
      </c>
      <c r="I91" s="198">
        <v>0.9</v>
      </c>
      <c r="K91" s="198">
        <v>66907.59</v>
      </c>
    </row>
    <row r="92" spans="3:11" x14ac:dyDescent="0.2">
      <c r="C92" s="201" t="s">
        <v>13033</v>
      </c>
      <c r="D92" s="200">
        <v>44320</v>
      </c>
      <c r="E92" s="199" t="s">
        <v>13032</v>
      </c>
      <c r="I92" s="198">
        <v>5.04</v>
      </c>
      <c r="K92" s="198">
        <v>66912.63</v>
      </c>
    </row>
    <row r="93" spans="3:11" x14ac:dyDescent="0.2">
      <c r="C93" s="201" t="s">
        <v>13031</v>
      </c>
      <c r="D93" s="200">
        <v>44320</v>
      </c>
      <c r="E93" s="199" t="s">
        <v>13030</v>
      </c>
      <c r="I93" s="198">
        <v>10.72</v>
      </c>
      <c r="K93" s="198">
        <v>66923.350000000006</v>
      </c>
    </row>
    <row r="94" spans="3:11" x14ac:dyDescent="0.2">
      <c r="C94" s="201" t="s">
        <v>13029</v>
      </c>
      <c r="D94" s="200">
        <v>44320</v>
      </c>
      <c r="E94" s="199" t="s">
        <v>13028</v>
      </c>
      <c r="I94" s="198">
        <v>3.38</v>
      </c>
      <c r="K94" s="198">
        <v>66926.73</v>
      </c>
    </row>
    <row r="95" spans="3:11" x14ac:dyDescent="0.2">
      <c r="C95" s="201" t="s">
        <v>13027</v>
      </c>
      <c r="D95" s="200">
        <v>44320</v>
      </c>
      <c r="E95" s="199" t="s">
        <v>13026</v>
      </c>
      <c r="I95" s="198">
        <v>1.7</v>
      </c>
      <c r="K95" s="198">
        <v>66928.429999999993</v>
      </c>
    </row>
    <row r="96" spans="3:11" x14ac:dyDescent="0.2">
      <c r="C96" s="201" t="s">
        <v>13025</v>
      </c>
      <c r="D96" s="200">
        <v>44320</v>
      </c>
      <c r="E96" s="199" t="s">
        <v>13024</v>
      </c>
      <c r="I96" s="198">
        <v>4.1900000000000004</v>
      </c>
      <c r="K96" s="198">
        <v>66932.62</v>
      </c>
    </row>
    <row r="97" spans="3:11" x14ac:dyDescent="0.2">
      <c r="C97" s="201" t="s">
        <v>13023</v>
      </c>
      <c r="D97" s="200">
        <v>44320</v>
      </c>
      <c r="E97" s="199" t="s">
        <v>13022</v>
      </c>
      <c r="I97" s="198">
        <v>3.61</v>
      </c>
      <c r="K97" s="198">
        <v>66936.23</v>
      </c>
    </row>
    <row r="98" spans="3:11" x14ac:dyDescent="0.2">
      <c r="C98" s="201" t="s">
        <v>13021</v>
      </c>
      <c r="D98" s="200">
        <v>44320</v>
      </c>
      <c r="E98" s="199" t="s">
        <v>13020</v>
      </c>
      <c r="I98" s="198">
        <v>15.01</v>
      </c>
      <c r="K98" s="198">
        <v>66951.240000000005</v>
      </c>
    </row>
    <row r="99" spans="3:11" x14ac:dyDescent="0.2">
      <c r="C99" s="201" t="s">
        <v>13019</v>
      </c>
      <c r="D99" s="200">
        <v>44320</v>
      </c>
      <c r="E99" s="199" t="s">
        <v>13018</v>
      </c>
      <c r="I99" s="198">
        <v>12.59</v>
      </c>
      <c r="K99" s="198">
        <v>66963.83</v>
      </c>
    </row>
    <row r="100" spans="3:11" x14ac:dyDescent="0.2">
      <c r="C100" s="201" t="s">
        <v>13017</v>
      </c>
      <c r="D100" s="200">
        <v>44320</v>
      </c>
      <c r="E100" s="199" t="s">
        <v>13016</v>
      </c>
      <c r="I100" s="198">
        <v>3.38</v>
      </c>
      <c r="K100" s="198">
        <v>66967.210000000006</v>
      </c>
    </row>
    <row r="101" spans="3:11" x14ac:dyDescent="0.2">
      <c r="C101" s="201" t="s">
        <v>13015</v>
      </c>
      <c r="D101" s="200">
        <v>44320</v>
      </c>
      <c r="E101" s="199" t="s">
        <v>13014</v>
      </c>
      <c r="I101" s="198">
        <v>8.35</v>
      </c>
      <c r="K101" s="198">
        <v>66975.56</v>
      </c>
    </row>
    <row r="102" spans="3:11" x14ac:dyDescent="0.2">
      <c r="C102" s="201" t="s">
        <v>13013</v>
      </c>
      <c r="D102" s="200">
        <v>44320</v>
      </c>
      <c r="E102" s="199" t="s">
        <v>13012</v>
      </c>
      <c r="I102" s="198">
        <v>3.27</v>
      </c>
      <c r="K102" s="198">
        <v>66978.83</v>
      </c>
    </row>
    <row r="103" spans="3:11" x14ac:dyDescent="0.2">
      <c r="C103" s="201" t="s">
        <v>13011</v>
      </c>
      <c r="D103" s="200">
        <v>44320</v>
      </c>
      <c r="E103" s="199" t="s">
        <v>13010</v>
      </c>
      <c r="I103" s="198">
        <v>8.02</v>
      </c>
      <c r="K103" s="198">
        <v>66986.850000000006</v>
      </c>
    </row>
    <row r="104" spans="3:11" x14ac:dyDescent="0.2">
      <c r="C104" s="201" t="s">
        <v>13009</v>
      </c>
      <c r="D104" s="200">
        <v>44320</v>
      </c>
      <c r="E104" s="199" t="s">
        <v>13008</v>
      </c>
      <c r="I104" s="198">
        <v>25.14</v>
      </c>
      <c r="K104" s="198">
        <v>67011.990000000005</v>
      </c>
    </row>
    <row r="105" spans="3:11" x14ac:dyDescent="0.2">
      <c r="C105" s="201" t="s">
        <v>13007</v>
      </c>
      <c r="D105" s="200">
        <v>44320</v>
      </c>
      <c r="E105" s="199" t="s">
        <v>13006</v>
      </c>
      <c r="I105" s="198">
        <v>1.68</v>
      </c>
      <c r="K105" s="198">
        <v>67013.67</v>
      </c>
    </row>
    <row r="106" spans="3:11" x14ac:dyDescent="0.2">
      <c r="C106" s="201" t="s">
        <v>13005</v>
      </c>
      <c r="D106" s="200">
        <v>44320</v>
      </c>
      <c r="E106" s="199" t="s">
        <v>13004</v>
      </c>
      <c r="I106" s="198">
        <v>8.3800000000000008</v>
      </c>
      <c r="K106" s="198">
        <v>67022.05</v>
      </c>
    </row>
    <row r="107" spans="3:11" x14ac:dyDescent="0.2">
      <c r="C107" s="201" t="s">
        <v>13003</v>
      </c>
      <c r="D107" s="200">
        <v>44320</v>
      </c>
      <c r="E107" s="199" t="s">
        <v>13002</v>
      </c>
      <c r="I107" s="198">
        <v>2.63</v>
      </c>
      <c r="K107" s="198">
        <v>67024.679999999993</v>
      </c>
    </row>
    <row r="108" spans="3:11" x14ac:dyDescent="0.2">
      <c r="C108" s="201" t="s">
        <v>13001</v>
      </c>
      <c r="D108" s="200">
        <v>44320</v>
      </c>
      <c r="E108" s="199" t="s">
        <v>13000</v>
      </c>
      <c r="I108" s="198">
        <v>8.7899999999999991</v>
      </c>
      <c r="K108" s="198">
        <v>67033.47</v>
      </c>
    </row>
    <row r="109" spans="3:11" x14ac:dyDescent="0.2">
      <c r="C109" s="201" t="s">
        <v>12999</v>
      </c>
      <c r="D109" s="200">
        <v>44320</v>
      </c>
      <c r="E109" s="199" t="s">
        <v>12998</v>
      </c>
      <c r="I109" s="198">
        <v>4.6500000000000004</v>
      </c>
      <c r="K109" s="198">
        <v>67038.12</v>
      </c>
    </row>
    <row r="110" spans="3:11" x14ac:dyDescent="0.2">
      <c r="C110" s="201" t="s">
        <v>12997</v>
      </c>
      <c r="D110" s="200">
        <v>44320</v>
      </c>
      <c r="E110" s="199" t="s">
        <v>12996</v>
      </c>
      <c r="I110" s="198">
        <v>6.94</v>
      </c>
      <c r="K110" s="198">
        <v>67045.06</v>
      </c>
    </row>
    <row r="111" spans="3:11" x14ac:dyDescent="0.2">
      <c r="C111" s="201" t="s">
        <v>12995</v>
      </c>
      <c r="D111" s="200">
        <v>44320</v>
      </c>
      <c r="E111" s="199" t="s">
        <v>12994</v>
      </c>
      <c r="I111" s="198">
        <v>6.94</v>
      </c>
      <c r="K111" s="198">
        <v>67052</v>
      </c>
    </row>
    <row r="112" spans="3:11" x14ac:dyDescent="0.2">
      <c r="C112" s="201" t="s">
        <v>12993</v>
      </c>
      <c r="D112" s="200">
        <v>44320</v>
      </c>
      <c r="E112" s="199" t="s">
        <v>12992</v>
      </c>
      <c r="I112" s="198">
        <v>8.3800000000000008</v>
      </c>
      <c r="K112" s="198">
        <v>67060.38</v>
      </c>
    </row>
    <row r="113" spans="3:11" x14ac:dyDescent="0.2">
      <c r="C113" s="201" t="s">
        <v>12991</v>
      </c>
      <c r="D113" s="200">
        <v>44320</v>
      </c>
      <c r="E113" s="199" t="s">
        <v>12990</v>
      </c>
      <c r="I113" s="198">
        <v>1.68</v>
      </c>
      <c r="K113" s="198">
        <v>67062.06</v>
      </c>
    </row>
    <row r="114" spans="3:11" x14ac:dyDescent="0.2">
      <c r="C114" s="201" t="s">
        <v>12989</v>
      </c>
      <c r="D114" s="200">
        <v>44320</v>
      </c>
      <c r="E114" s="199" t="s">
        <v>12988</v>
      </c>
      <c r="I114" s="198">
        <v>2.0299999999999998</v>
      </c>
      <c r="K114" s="198">
        <v>67064.09</v>
      </c>
    </row>
    <row r="115" spans="3:11" x14ac:dyDescent="0.2">
      <c r="C115" s="201" t="s">
        <v>12987</v>
      </c>
      <c r="D115" s="200">
        <v>44320</v>
      </c>
      <c r="E115" s="199" t="s">
        <v>12986</v>
      </c>
      <c r="I115" s="198">
        <v>8.3800000000000008</v>
      </c>
      <c r="K115" s="198">
        <v>67072.47</v>
      </c>
    </row>
    <row r="116" spans="3:11" x14ac:dyDescent="0.2">
      <c r="C116" s="201" t="s">
        <v>12985</v>
      </c>
      <c r="D116" s="200">
        <v>44320</v>
      </c>
      <c r="E116" s="199" t="s">
        <v>12984</v>
      </c>
      <c r="I116" s="198">
        <v>8.3800000000000008</v>
      </c>
      <c r="K116" s="198">
        <v>67080.850000000006</v>
      </c>
    </row>
    <row r="117" spans="3:11" x14ac:dyDescent="0.2">
      <c r="C117" s="201" t="s">
        <v>12983</v>
      </c>
      <c r="D117" s="200">
        <v>44320</v>
      </c>
      <c r="E117" s="199" t="s">
        <v>12982</v>
      </c>
      <c r="I117" s="198">
        <v>8.3800000000000008</v>
      </c>
      <c r="K117" s="198">
        <v>67089.23</v>
      </c>
    </row>
    <row r="118" spans="3:11" x14ac:dyDescent="0.2">
      <c r="C118" s="201" t="s">
        <v>12981</v>
      </c>
      <c r="D118" s="200">
        <v>44320</v>
      </c>
      <c r="E118" s="199" t="s">
        <v>12980</v>
      </c>
      <c r="I118" s="198">
        <v>8.65</v>
      </c>
      <c r="K118" s="198">
        <v>67097.88</v>
      </c>
    </row>
    <row r="119" spans="3:11" x14ac:dyDescent="0.2">
      <c r="C119" s="201" t="s">
        <v>12979</v>
      </c>
      <c r="D119" s="200">
        <v>44320</v>
      </c>
      <c r="E119" s="199" t="s">
        <v>12978</v>
      </c>
      <c r="I119" s="198">
        <v>4.1900000000000004</v>
      </c>
      <c r="K119" s="198">
        <v>67102.070000000007</v>
      </c>
    </row>
    <row r="120" spans="3:11" x14ac:dyDescent="0.2">
      <c r="C120" s="201" t="s">
        <v>12977</v>
      </c>
      <c r="D120" s="200">
        <v>44320</v>
      </c>
      <c r="E120" s="199" t="s">
        <v>12976</v>
      </c>
      <c r="I120" s="198">
        <v>2.4500000000000002</v>
      </c>
      <c r="K120" s="198">
        <v>67104.52</v>
      </c>
    </row>
    <row r="121" spans="3:11" x14ac:dyDescent="0.2">
      <c r="C121" s="201" t="s">
        <v>12975</v>
      </c>
      <c r="D121" s="200">
        <v>44320</v>
      </c>
      <c r="E121" s="199" t="s">
        <v>12974</v>
      </c>
      <c r="I121" s="198">
        <v>8.3800000000000008</v>
      </c>
      <c r="K121" s="198">
        <v>67112.899999999994</v>
      </c>
    </row>
    <row r="122" spans="3:11" x14ac:dyDescent="0.2">
      <c r="C122" s="201" t="s">
        <v>12973</v>
      </c>
      <c r="D122" s="200">
        <v>44320</v>
      </c>
      <c r="E122" s="199" t="s">
        <v>12972</v>
      </c>
      <c r="I122" s="198">
        <v>1.87</v>
      </c>
      <c r="K122" s="198">
        <v>67114.77</v>
      </c>
    </row>
    <row r="123" spans="3:11" x14ac:dyDescent="0.2">
      <c r="C123" s="201" t="s">
        <v>12971</v>
      </c>
      <c r="D123" s="200">
        <v>44320</v>
      </c>
      <c r="E123" s="199" t="s">
        <v>12970</v>
      </c>
      <c r="I123" s="198">
        <v>12.3</v>
      </c>
      <c r="K123" s="198">
        <v>67127.070000000007</v>
      </c>
    </row>
    <row r="124" spans="3:11" x14ac:dyDescent="0.2">
      <c r="C124" s="201" t="s">
        <v>12969</v>
      </c>
      <c r="D124" s="200">
        <v>44320</v>
      </c>
      <c r="E124" s="199" t="s">
        <v>12968</v>
      </c>
      <c r="I124" s="198">
        <v>1.68</v>
      </c>
      <c r="K124" s="198">
        <v>67128.75</v>
      </c>
    </row>
    <row r="125" spans="3:11" x14ac:dyDescent="0.2">
      <c r="C125" s="201" t="s">
        <v>12967</v>
      </c>
      <c r="D125" s="200">
        <v>44320</v>
      </c>
      <c r="E125" s="199" t="s">
        <v>12966</v>
      </c>
      <c r="I125" s="198">
        <v>3.47</v>
      </c>
      <c r="K125" s="198">
        <v>67132.22</v>
      </c>
    </row>
    <row r="126" spans="3:11" x14ac:dyDescent="0.2">
      <c r="C126" s="201" t="s">
        <v>12965</v>
      </c>
      <c r="D126" s="200">
        <v>44320</v>
      </c>
      <c r="E126" s="199" t="s">
        <v>12964</v>
      </c>
      <c r="I126" s="198">
        <v>4.1900000000000004</v>
      </c>
      <c r="K126" s="198">
        <v>67136.41</v>
      </c>
    </row>
    <row r="127" spans="3:11" x14ac:dyDescent="0.2">
      <c r="C127" s="201" t="s">
        <v>12963</v>
      </c>
      <c r="D127" s="200">
        <v>44320</v>
      </c>
      <c r="E127" s="199" t="s">
        <v>12962</v>
      </c>
      <c r="I127" s="198">
        <v>7.82</v>
      </c>
      <c r="K127" s="198">
        <v>67144.23</v>
      </c>
    </row>
    <row r="128" spans="3:11" x14ac:dyDescent="0.2">
      <c r="C128" s="201" t="s">
        <v>12961</v>
      </c>
      <c r="D128" s="200">
        <v>44320</v>
      </c>
      <c r="E128" s="199" t="s">
        <v>12960</v>
      </c>
      <c r="I128" s="198">
        <v>4.1900000000000004</v>
      </c>
      <c r="K128" s="198">
        <v>67148.42</v>
      </c>
    </row>
    <row r="129" spans="3:11" x14ac:dyDescent="0.2">
      <c r="C129" s="201" t="s">
        <v>12959</v>
      </c>
      <c r="D129" s="200">
        <v>44320</v>
      </c>
      <c r="E129" s="199" t="s">
        <v>12958</v>
      </c>
      <c r="I129" s="198">
        <v>2.2000000000000002</v>
      </c>
      <c r="K129" s="198">
        <v>67150.62</v>
      </c>
    </row>
    <row r="130" spans="3:11" x14ac:dyDescent="0.2">
      <c r="C130" s="201" t="s">
        <v>12957</v>
      </c>
      <c r="D130" s="200">
        <v>44320</v>
      </c>
      <c r="E130" s="199" t="s">
        <v>12956</v>
      </c>
      <c r="I130" s="198">
        <v>8.3800000000000008</v>
      </c>
      <c r="K130" s="198">
        <v>67159</v>
      </c>
    </row>
    <row r="131" spans="3:11" x14ac:dyDescent="0.2">
      <c r="C131" s="201" t="s">
        <v>12955</v>
      </c>
      <c r="D131" s="200">
        <v>44320</v>
      </c>
      <c r="E131" s="199" t="s">
        <v>12954</v>
      </c>
      <c r="I131" s="198">
        <v>2.14</v>
      </c>
      <c r="K131" s="198">
        <v>67161.14</v>
      </c>
    </row>
    <row r="132" spans="3:11" x14ac:dyDescent="0.2">
      <c r="C132" s="201" t="s">
        <v>12953</v>
      </c>
      <c r="D132" s="200">
        <v>44320</v>
      </c>
      <c r="E132" s="199" t="s">
        <v>12952</v>
      </c>
      <c r="I132" s="198">
        <v>3.36</v>
      </c>
      <c r="K132" s="198">
        <v>67164.5</v>
      </c>
    </row>
    <row r="133" spans="3:11" x14ac:dyDescent="0.2">
      <c r="C133" s="201" t="s">
        <v>12951</v>
      </c>
      <c r="D133" s="200">
        <v>44320</v>
      </c>
      <c r="E133" s="199" t="s">
        <v>12950</v>
      </c>
      <c r="I133" s="198">
        <v>7.82</v>
      </c>
      <c r="K133" s="198">
        <v>67172.320000000007</v>
      </c>
    </row>
    <row r="134" spans="3:11" x14ac:dyDescent="0.2">
      <c r="C134" s="201" t="s">
        <v>12949</v>
      </c>
      <c r="D134" s="200">
        <v>44320</v>
      </c>
      <c r="E134" s="199" t="s">
        <v>12948</v>
      </c>
      <c r="I134" s="198">
        <v>1.99</v>
      </c>
      <c r="K134" s="198">
        <v>67174.31</v>
      </c>
    </row>
    <row r="135" spans="3:11" x14ac:dyDescent="0.2">
      <c r="C135" s="201" t="s">
        <v>12947</v>
      </c>
      <c r="D135" s="200">
        <v>44320</v>
      </c>
      <c r="E135" s="199" t="s">
        <v>12946</v>
      </c>
      <c r="I135" s="198">
        <v>1.9</v>
      </c>
      <c r="K135" s="198">
        <v>67176.210000000006</v>
      </c>
    </row>
    <row r="136" spans="3:11" x14ac:dyDescent="0.2">
      <c r="C136" s="201" t="s">
        <v>12945</v>
      </c>
      <c r="D136" s="200">
        <v>44320</v>
      </c>
      <c r="E136" s="199" t="s">
        <v>12944</v>
      </c>
      <c r="I136" s="198">
        <v>17.899999999999999</v>
      </c>
      <c r="K136" s="198">
        <v>67194.11</v>
      </c>
    </row>
    <row r="137" spans="3:11" x14ac:dyDescent="0.2">
      <c r="C137" s="201" t="s">
        <v>12943</v>
      </c>
      <c r="D137" s="200">
        <v>44320</v>
      </c>
      <c r="E137" s="199" t="s">
        <v>12942</v>
      </c>
      <c r="I137" s="198">
        <v>1.95</v>
      </c>
      <c r="K137" s="198">
        <v>67196.06</v>
      </c>
    </row>
    <row r="138" spans="3:11" x14ac:dyDescent="0.2">
      <c r="C138" s="201" t="s">
        <v>12941</v>
      </c>
      <c r="D138" s="200">
        <v>44320</v>
      </c>
      <c r="E138" s="199" t="s">
        <v>12940</v>
      </c>
      <c r="I138" s="198">
        <v>3.43</v>
      </c>
      <c r="K138" s="198">
        <v>67199.490000000005</v>
      </c>
    </row>
    <row r="139" spans="3:11" x14ac:dyDescent="0.2">
      <c r="C139" s="201" t="s">
        <v>12939</v>
      </c>
      <c r="D139" s="200">
        <v>44320</v>
      </c>
      <c r="E139" s="199" t="s">
        <v>12938</v>
      </c>
      <c r="I139" s="198">
        <v>2.0699999999999998</v>
      </c>
      <c r="K139" s="198">
        <v>67201.56</v>
      </c>
    </row>
    <row r="140" spans="3:11" x14ac:dyDescent="0.2">
      <c r="C140" s="201" t="s">
        <v>12937</v>
      </c>
      <c r="D140" s="200">
        <v>44320</v>
      </c>
      <c r="E140" s="199" t="s">
        <v>12936</v>
      </c>
      <c r="I140" s="198">
        <v>3.4</v>
      </c>
      <c r="K140" s="198">
        <v>67204.960000000006</v>
      </c>
    </row>
    <row r="141" spans="3:11" x14ac:dyDescent="0.2">
      <c r="C141" s="201" t="s">
        <v>12935</v>
      </c>
      <c r="D141" s="200">
        <v>44320</v>
      </c>
      <c r="E141" s="199" t="s">
        <v>12934</v>
      </c>
      <c r="I141" s="198">
        <v>15.3</v>
      </c>
      <c r="K141" s="198">
        <v>67220.259999999995</v>
      </c>
    </row>
    <row r="142" spans="3:11" x14ac:dyDescent="0.2">
      <c r="C142" s="201" t="s">
        <v>12933</v>
      </c>
      <c r="D142" s="200">
        <v>44320</v>
      </c>
      <c r="E142" s="199" t="s">
        <v>12932</v>
      </c>
      <c r="I142" s="198">
        <v>15.3</v>
      </c>
      <c r="K142" s="198">
        <v>67235.56</v>
      </c>
    </row>
    <row r="143" spans="3:11" x14ac:dyDescent="0.2">
      <c r="C143" s="201" t="s">
        <v>12931</v>
      </c>
      <c r="D143" s="200">
        <v>44320</v>
      </c>
      <c r="E143" s="199" t="s">
        <v>12930</v>
      </c>
      <c r="I143" s="198">
        <v>15.3</v>
      </c>
      <c r="K143" s="198">
        <v>67250.86</v>
      </c>
    </row>
    <row r="144" spans="3:11" x14ac:dyDescent="0.2">
      <c r="C144" s="201" t="s">
        <v>12929</v>
      </c>
      <c r="D144" s="200">
        <v>44320</v>
      </c>
      <c r="E144" s="199" t="s">
        <v>12928</v>
      </c>
      <c r="I144" s="198">
        <v>3.32</v>
      </c>
      <c r="K144" s="198">
        <v>67254.179999999993</v>
      </c>
    </row>
    <row r="145" spans="3:11" x14ac:dyDescent="0.2">
      <c r="C145" s="201" t="s">
        <v>12927</v>
      </c>
      <c r="D145" s="200">
        <v>44320</v>
      </c>
      <c r="E145" s="199" t="s">
        <v>12926</v>
      </c>
      <c r="I145" s="198">
        <v>1.94</v>
      </c>
      <c r="K145" s="198">
        <v>67256.12</v>
      </c>
    </row>
    <row r="146" spans="3:11" x14ac:dyDescent="0.2">
      <c r="C146" s="201" t="s">
        <v>12925</v>
      </c>
      <c r="D146" s="200">
        <v>44320</v>
      </c>
      <c r="E146" s="199" t="s">
        <v>12924</v>
      </c>
      <c r="I146" s="198">
        <v>15.3</v>
      </c>
      <c r="K146" s="198">
        <v>67271.42</v>
      </c>
    </row>
    <row r="147" spans="3:11" x14ac:dyDescent="0.2">
      <c r="C147" s="201" t="s">
        <v>12923</v>
      </c>
      <c r="D147" s="200">
        <v>44320</v>
      </c>
      <c r="E147" s="199" t="s">
        <v>12922</v>
      </c>
      <c r="I147" s="198">
        <v>30.6</v>
      </c>
      <c r="K147" s="198">
        <v>67302.02</v>
      </c>
    </row>
    <row r="148" spans="3:11" x14ac:dyDescent="0.2">
      <c r="C148" s="201" t="s">
        <v>12921</v>
      </c>
      <c r="D148" s="200">
        <v>44320</v>
      </c>
      <c r="E148" s="199" t="s">
        <v>12920</v>
      </c>
      <c r="I148" s="198">
        <v>10.91</v>
      </c>
      <c r="K148" s="198">
        <v>67312.929999999993</v>
      </c>
    </row>
    <row r="149" spans="3:11" x14ac:dyDescent="0.2">
      <c r="C149" s="201" t="s">
        <v>12919</v>
      </c>
      <c r="D149" s="200">
        <v>44320</v>
      </c>
      <c r="E149" s="199" t="s">
        <v>12918</v>
      </c>
      <c r="I149" s="198">
        <v>13.88</v>
      </c>
      <c r="K149" s="198">
        <v>67326.81</v>
      </c>
    </row>
    <row r="150" spans="3:11" x14ac:dyDescent="0.2">
      <c r="C150" s="201" t="s">
        <v>12917</v>
      </c>
      <c r="D150" s="200">
        <v>44320</v>
      </c>
      <c r="E150" s="199" t="s">
        <v>12916</v>
      </c>
      <c r="I150" s="198">
        <v>39.22</v>
      </c>
      <c r="K150" s="198">
        <v>67366.03</v>
      </c>
    </row>
    <row r="151" spans="3:11" x14ac:dyDescent="0.2">
      <c r="C151" s="201" t="s">
        <v>12915</v>
      </c>
      <c r="D151" s="200">
        <v>44320</v>
      </c>
      <c r="E151" s="199" t="s">
        <v>12914</v>
      </c>
      <c r="I151" s="198">
        <v>7.88</v>
      </c>
      <c r="K151" s="198">
        <v>67373.91</v>
      </c>
    </row>
    <row r="152" spans="3:11" x14ac:dyDescent="0.2">
      <c r="C152" s="201" t="s">
        <v>12913</v>
      </c>
      <c r="D152" s="200">
        <v>44320</v>
      </c>
      <c r="E152" s="199" t="s">
        <v>12912</v>
      </c>
      <c r="I152" s="198">
        <v>0.25</v>
      </c>
      <c r="K152" s="198">
        <v>67374.16</v>
      </c>
    </row>
    <row r="153" spans="3:11" x14ac:dyDescent="0.2">
      <c r="C153" s="201" t="s">
        <v>12911</v>
      </c>
      <c r="D153" s="200">
        <v>44320</v>
      </c>
      <c r="E153" s="199" t="s">
        <v>12910</v>
      </c>
      <c r="I153" s="198">
        <v>6.85</v>
      </c>
      <c r="K153" s="198">
        <v>67381.009999999995</v>
      </c>
    </row>
    <row r="154" spans="3:11" x14ac:dyDescent="0.2">
      <c r="C154" s="201" t="s">
        <v>12909</v>
      </c>
      <c r="D154" s="200">
        <v>44320</v>
      </c>
      <c r="E154" s="199" t="s">
        <v>12908</v>
      </c>
      <c r="I154" s="198">
        <v>6.06</v>
      </c>
      <c r="K154" s="198">
        <v>67387.070000000007</v>
      </c>
    </row>
    <row r="155" spans="3:11" x14ac:dyDescent="0.2">
      <c r="C155" s="201" t="s">
        <v>12907</v>
      </c>
      <c r="D155" s="200">
        <v>44320</v>
      </c>
      <c r="E155" s="199" t="s">
        <v>12906</v>
      </c>
      <c r="I155" s="198">
        <v>1.68</v>
      </c>
      <c r="K155" s="198">
        <v>67388.75</v>
      </c>
    </row>
    <row r="156" spans="3:11" x14ac:dyDescent="0.2">
      <c r="C156" s="201" t="s">
        <v>12905</v>
      </c>
      <c r="D156" s="200">
        <v>44320</v>
      </c>
      <c r="E156" s="199" t="s">
        <v>12904</v>
      </c>
      <c r="I156" s="198">
        <v>0.28999999999999998</v>
      </c>
      <c r="K156" s="198">
        <v>67389.039999999994</v>
      </c>
    </row>
    <row r="157" spans="3:11" x14ac:dyDescent="0.2">
      <c r="C157" s="201" t="s">
        <v>12903</v>
      </c>
      <c r="D157" s="200">
        <v>44320</v>
      </c>
      <c r="E157" s="199" t="s">
        <v>12902</v>
      </c>
      <c r="I157" s="198">
        <v>0.78</v>
      </c>
      <c r="K157" s="198">
        <v>67389.820000000007</v>
      </c>
    </row>
    <row r="158" spans="3:11" x14ac:dyDescent="0.2">
      <c r="C158" s="201" t="s">
        <v>12901</v>
      </c>
      <c r="D158" s="200">
        <v>44320</v>
      </c>
      <c r="E158" s="199" t="s">
        <v>12900</v>
      </c>
      <c r="I158" s="198">
        <v>33.43</v>
      </c>
      <c r="K158" s="198">
        <v>67423.25</v>
      </c>
    </row>
    <row r="159" spans="3:11" x14ac:dyDescent="0.2">
      <c r="C159" s="201" t="s">
        <v>12899</v>
      </c>
      <c r="D159" s="200">
        <v>44320</v>
      </c>
      <c r="E159" s="199" t="s">
        <v>12898</v>
      </c>
      <c r="I159" s="198">
        <v>15.87</v>
      </c>
      <c r="K159" s="198">
        <v>67439.12</v>
      </c>
    </row>
    <row r="160" spans="3:11" x14ac:dyDescent="0.2">
      <c r="C160" s="201" t="s">
        <v>12897</v>
      </c>
      <c r="D160" s="200">
        <v>44320</v>
      </c>
      <c r="E160" s="199" t="s">
        <v>12896</v>
      </c>
      <c r="I160" s="198">
        <v>2.59</v>
      </c>
      <c r="K160" s="198">
        <v>67441.710000000006</v>
      </c>
    </row>
    <row r="161" spans="3:11" x14ac:dyDescent="0.2">
      <c r="C161" s="201" t="s">
        <v>12895</v>
      </c>
      <c r="D161" s="200">
        <v>44320</v>
      </c>
      <c r="E161" s="199" t="s">
        <v>12894</v>
      </c>
      <c r="I161" s="198">
        <v>10.62</v>
      </c>
      <c r="K161" s="198">
        <v>67452.33</v>
      </c>
    </row>
    <row r="162" spans="3:11" x14ac:dyDescent="0.2">
      <c r="C162" s="201" t="s">
        <v>12893</v>
      </c>
      <c r="D162" s="200">
        <v>44320</v>
      </c>
      <c r="E162" s="199" t="s">
        <v>12892</v>
      </c>
      <c r="I162" s="198">
        <v>4.4000000000000004</v>
      </c>
      <c r="K162" s="198">
        <v>67456.73</v>
      </c>
    </row>
    <row r="163" spans="3:11" x14ac:dyDescent="0.2">
      <c r="C163" s="201" t="s">
        <v>1532</v>
      </c>
      <c r="D163" s="200">
        <v>44320</v>
      </c>
      <c r="E163" s="199" t="s">
        <v>12891</v>
      </c>
      <c r="I163" s="198">
        <v>663.08</v>
      </c>
      <c r="K163" s="198">
        <v>68119.81</v>
      </c>
    </row>
    <row r="164" spans="3:11" x14ac:dyDescent="0.2">
      <c r="C164" s="201" t="s">
        <v>7217</v>
      </c>
      <c r="D164" s="200">
        <v>44320</v>
      </c>
      <c r="E164" s="199" t="s">
        <v>12890</v>
      </c>
      <c r="I164" s="198">
        <v>103.48</v>
      </c>
      <c r="K164" s="198">
        <v>68223.289999999994</v>
      </c>
    </row>
    <row r="165" spans="3:11" x14ac:dyDescent="0.2">
      <c r="C165" s="201" t="s">
        <v>12889</v>
      </c>
      <c r="D165" s="200">
        <v>44321</v>
      </c>
      <c r="E165" s="199" t="s">
        <v>12888</v>
      </c>
      <c r="I165" s="198">
        <v>8.3800000000000008</v>
      </c>
      <c r="K165" s="198">
        <v>68231.67</v>
      </c>
    </row>
    <row r="166" spans="3:11" x14ac:dyDescent="0.2">
      <c r="C166" s="201" t="s">
        <v>12887</v>
      </c>
      <c r="D166" s="200">
        <v>44321</v>
      </c>
      <c r="E166" s="199" t="s">
        <v>12886</v>
      </c>
      <c r="I166" s="198">
        <v>3.79</v>
      </c>
      <c r="K166" s="198">
        <v>68235.460000000006</v>
      </c>
    </row>
    <row r="167" spans="3:11" x14ac:dyDescent="0.2">
      <c r="C167" s="201" t="s">
        <v>12885</v>
      </c>
      <c r="D167" s="200">
        <v>44321</v>
      </c>
      <c r="E167" s="199" t="s">
        <v>12884</v>
      </c>
      <c r="I167" s="198">
        <v>5.31</v>
      </c>
      <c r="K167" s="198">
        <v>68240.77</v>
      </c>
    </row>
    <row r="168" spans="3:11" x14ac:dyDescent="0.2">
      <c r="C168" s="201" t="s">
        <v>12883</v>
      </c>
      <c r="D168" s="200">
        <v>44321</v>
      </c>
      <c r="E168" s="199" t="s">
        <v>12882</v>
      </c>
      <c r="I168" s="198">
        <v>18.22</v>
      </c>
      <c r="K168" s="198">
        <v>68258.990000000005</v>
      </c>
    </row>
    <row r="169" spans="3:11" x14ac:dyDescent="0.2">
      <c r="C169" s="201" t="s">
        <v>12881</v>
      </c>
      <c r="D169" s="200">
        <v>44321</v>
      </c>
      <c r="E169" s="199" t="s">
        <v>12880</v>
      </c>
      <c r="I169" s="198">
        <v>25.14</v>
      </c>
      <c r="K169" s="198">
        <v>68284.13</v>
      </c>
    </row>
    <row r="170" spans="3:11" x14ac:dyDescent="0.2">
      <c r="C170" s="201" t="s">
        <v>12879</v>
      </c>
      <c r="D170" s="200">
        <v>44321</v>
      </c>
      <c r="E170" s="199" t="s">
        <v>12878</v>
      </c>
      <c r="I170" s="198">
        <v>1.96</v>
      </c>
      <c r="K170" s="198">
        <v>68286.09</v>
      </c>
    </row>
    <row r="171" spans="3:11" x14ac:dyDescent="0.2">
      <c r="C171" s="201" t="s">
        <v>12877</v>
      </c>
      <c r="D171" s="200">
        <v>44321</v>
      </c>
      <c r="E171" s="199" t="s">
        <v>12876</v>
      </c>
      <c r="I171" s="198">
        <v>1.8</v>
      </c>
      <c r="K171" s="198">
        <v>68287.89</v>
      </c>
    </row>
    <row r="172" spans="3:11" x14ac:dyDescent="0.2">
      <c r="C172" s="201" t="s">
        <v>12875</v>
      </c>
      <c r="D172" s="200">
        <v>44321</v>
      </c>
      <c r="E172" s="199" t="s">
        <v>12874</v>
      </c>
      <c r="I172" s="198">
        <v>1.68</v>
      </c>
      <c r="K172" s="198">
        <v>68289.570000000007</v>
      </c>
    </row>
    <row r="173" spans="3:11" x14ac:dyDescent="0.2">
      <c r="C173" s="201" t="s">
        <v>12873</v>
      </c>
      <c r="D173" s="200">
        <v>44321</v>
      </c>
      <c r="E173" s="199" t="s">
        <v>12872</v>
      </c>
      <c r="I173" s="198">
        <v>13.88</v>
      </c>
      <c r="K173" s="198">
        <v>68303.45</v>
      </c>
    </row>
    <row r="174" spans="3:11" x14ac:dyDescent="0.2">
      <c r="C174" s="201" t="s">
        <v>12871</v>
      </c>
      <c r="D174" s="200">
        <v>44321</v>
      </c>
      <c r="E174" s="199" t="s">
        <v>12870</v>
      </c>
      <c r="I174" s="198">
        <v>13.08</v>
      </c>
      <c r="K174" s="198">
        <v>68316.53</v>
      </c>
    </row>
    <row r="175" spans="3:11" x14ac:dyDescent="0.2">
      <c r="C175" s="201" t="s">
        <v>12869</v>
      </c>
      <c r="D175" s="200">
        <v>44321</v>
      </c>
      <c r="E175" s="199" t="s">
        <v>12868</v>
      </c>
      <c r="I175" s="198">
        <v>3.37</v>
      </c>
      <c r="K175" s="198">
        <v>68319.899999999994</v>
      </c>
    </row>
    <row r="176" spans="3:11" x14ac:dyDescent="0.2">
      <c r="C176" s="201" t="s">
        <v>12867</v>
      </c>
      <c r="D176" s="200">
        <v>44321</v>
      </c>
      <c r="E176" s="199" t="s">
        <v>12866</v>
      </c>
      <c r="I176" s="198">
        <v>3.24</v>
      </c>
      <c r="K176" s="198">
        <v>68323.14</v>
      </c>
    </row>
    <row r="177" spans="3:11" x14ac:dyDescent="0.2">
      <c r="C177" s="201" t="s">
        <v>12865</v>
      </c>
      <c r="D177" s="200">
        <v>44321</v>
      </c>
      <c r="E177" s="199" t="s">
        <v>12864</v>
      </c>
      <c r="I177" s="198">
        <v>6.73</v>
      </c>
      <c r="K177" s="198">
        <v>68329.87</v>
      </c>
    </row>
    <row r="178" spans="3:11" x14ac:dyDescent="0.2">
      <c r="C178" s="201" t="s">
        <v>12863</v>
      </c>
      <c r="D178" s="200">
        <v>44321</v>
      </c>
      <c r="E178" s="199" t="s">
        <v>12862</v>
      </c>
      <c r="I178" s="198">
        <v>3.36</v>
      </c>
      <c r="K178" s="198">
        <v>68333.23</v>
      </c>
    </row>
    <row r="179" spans="3:11" x14ac:dyDescent="0.2">
      <c r="C179" s="201" t="s">
        <v>12861</v>
      </c>
      <c r="D179" s="200">
        <v>44321</v>
      </c>
      <c r="E179" s="199" t="s">
        <v>12860</v>
      </c>
      <c r="I179" s="198">
        <v>6.42</v>
      </c>
      <c r="K179" s="198">
        <v>68339.649999999994</v>
      </c>
    </row>
    <row r="180" spans="3:11" x14ac:dyDescent="0.2">
      <c r="C180" s="201" t="s">
        <v>12859</v>
      </c>
      <c r="D180" s="200">
        <v>44321</v>
      </c>
      <c r="E180" s="199" t="s">
        <v>12858</v>
      </c>
      <c r="I180" s="198">
        <v>2.12</v>
      </c>
      <c r="K180" s="198">
        <v>68341.77</v>
      </c>
    </row>
    <row r="181" spans="3:11" x14ac:dyDescent="0.2">
      <c r="C181" s="201" t="s">
        <v>12857</v>
      </c>
      <c r="D181" s="200">
        <v>44321</v>
      </c>
      <c r="E181" s="199" t="s">
        <v>12856</v>
      </c>
      <c r="I181" s="198">
        <v>4</v>
      </c>
      <c r="K181" s="198">
        <v>68345.77</v>
      </c>
    </row>
    <row r="182" spans="3:11" x14ac:dyDescent="0.2">
      <c r="C182" s="201" t="s">
        <v>12855</v>
      </c>
      <c r="D182" s="200">
        <v>44321</v>
      </c>
      <c r="E182" s="199" t="s">
        <v>12854</v>
      </c>
      <c r="I182" s="198">
        <v>10.84</v>
      </c>
      <c r="K182" s="198">
        <v>68356.61</v>
      </c>
    </row>
    <row r="183" spans="3:11" x14ac:dyDescent="0.2">
      <c r="C183" s="201" t="s">
        <v>12853</v>
      </c>
      <c r="D183" s="200">
        <v>44321</v>
      </c>
      <c r="E183" s="199" t="s">
        <v>12852</v>
      </c>
      <c r="I183" s="198">
        <v>1.68</v>
      </c>
      <c r="K183" s="198">
        <v>68358.289999999994</v>
      </c>
    </row>
    <row r="184" spans="3:11" x14ac:dyDescent="0.2">
      <c r="C184" s="201" t="s">
        <v>12851</v>
      </c>
      <c r="D184" s="200">
        <v>44321</v>
      </c>
      <c r="E184" s="199" t="s">
        <v>12850</v>
      </c>
      <c r="I184" s="198">
        <v>3.56</v>
      </c>
      <c r="K184" s="198">
        <v>68361.850000000006</v>
      </c>
    </row>
    <row r="185" spans="3:11" x14ac:dyDescent="0.2">
      <c r="C185" s="201" t="s">
        <v>12849</v>
      </c>
      <c r="D185" s="200">
        <v>44321</v>
      </c>
      <c r="E185" s="199" t="s">
        <v>12848</v>
      </c>
      <c r="I185" s="198">
        <v>1.08</v>
      </c>
      <c r="K185" s="198">
        <v>68362.929999999993</v>
      </c>
    </row>
    <row r="186" spans="3:11" x14ac:dyDescent="0.2">
      <c r="C186" s="201" t="s">
        <v>12847</v>
      </c>
      <c r="D186" s="200">
        <v>44321</v>
      </c>
      <c r="E186" s="199" t="s">
        <v>12846</v>
      </c>
      <c r="I186" s="198">
        <v>3.66</v>
      </c>
      <c r="K186" s="198">
        <v>68366.59</v>
      </c>
    </row>
    <row r="187" spans="3:11" x14ac:dyDescent="0.2">
      <c r="C187" s="201" t="s">
        <v>12845</v>
      </c>
      <c r="D187" s="200">
        <v>44321</v>
      </c>
      <c r="E187" s="199" t="s">
        <v>12844</v>
      </c>
      <c r="I187" s="198">
        <v>5.89</v>
      </c>
      <c r="K187" s="198">
        <v>68372.479999999996</v>
      </c>
    </row>
    <row r="188" spans="3:11" x14ac:dyDescent="0.2">
      <c r="C188" s="201" t="s">
        <v>12843</v>
      </c>
      <c r="D188" s="200">
        <v>44321</v>
      </c>
      <c r="E188" s="199" t="s">
        <v>12842</v>
      </c>
      <c r="I188" s="198">
        <v>3.71</v>
      </c>
      <c r="K188" s="198">
        <v>68376.19</v>
      </c>
    </row>
    <row r="189" spans="3:11" x14ac:dyDescent="0.2">
      <c r="C189" s="201" t="s">
        <v>12841</v>
      </c>
      <c r="D189" s="200">
        <v>44321</v>
      </c>
      <c r="E189" s="199" t="s">
        <v>12840</v>
      </c>
      <c r="I189" s="198">
        <v>5.28</v>
      </c>
      <c r="K189" s="198">
        <v>68381.47</v>
      </c>
    </row>
    <row r="190" spans="3:11" x14ac:dyDescent="0.2">
      <c r="C190" s="201" t="s">
        <v>12839</v>
      </c>
      <c r="D190" s="200">
        <v>44321</v>
      </c>
      <c r="E190" s="199" t="s">
        <v>12838</v>
      </c>
      <c r="I190" s="198">
        <v>3.96</v>
      </c>
      <c r="K190" s="198">
        <v>68385.429999999993</v>
      </c>
    </row>
    <row r="191" spans="3:11" x14ac:dyDescent="0.2">
      <c r="C191" s="201" t="s">
        <v>12837</v>
      </c>
      <c r="D191" s="200">
        <v>44321</v>
      </c>
      <c r="E191" s="199" t="s">
        <v>12836</v>
      </c>
      <c r="I191" s="198">
        <v>5.0199999999999996</v>
      </c>
      <c r="K191" s="198">
        <v>68390.45</v>
      </c>
    </row>
    <row r="192" spans="3:11" x14ac:dyDescent="0.2">
      <c r="C192" s="201" t="s">
        <v>12835</v>
      </c>
      <c r="D192" s="200">
        <v>44321</v>
      </c>
      <c r="E192" s="199" t="s">
        <v>12834</v>
      </c>
      <c r="I192" s="198">
        <v>5.45</v>
      </c>
      <c r="K192" s="198">
        <v>68395.899999999994</v>
      </c>
    </row>
    <row r="193" spans="3:11" x14ac:dyDescent="0.2">
      <c r="C193" s="201" t="s">
        <v>12833</v>
      </c>
      <c r="D193" s="200">
        <v>44321</v>
      </c>
      <c r="E193" s="199" t="s">
        <v>12832</v>
      </c>
      <c r="I193" s="198">
        <v>4.62</v>
      </c>
      <c r="K193" s="198">
        <v>68400.52</v>
      </c>
    </row>
    <row r="194" spans="3:11" x14ac:dyDescent="0.2">
      <c r="C194" s="201" t="s">
        <v>12831</v>
      </c>
      <c r="D194" s="200">
        <v>44321</v>
      </c>
      <c r="E194" s="199" t="s">
        <v>12830</v>
      </c>
      <c r="I194" s="198">
        <v>0.63</v>
      </c>
      <c r="K194" s="198">
        <v>68401.149999999994</v>
      </c>
    </row>
    <row r="195" spans="3:11" x14ac:dyDescent="0.2">
      <c r="C195" s="201" t="s">
        <v>12829</v>
      </c>
      <c r="D195" s="200">
        <v>44321</v>
      </c>
      <c r="E195" s="199" t="s">
        <v>12828</v>
      </c>
      <c r="I195" s="198">
        <v>5.04</v>
      </c>
      <c r="K195" s="198">
        <v>68406.19</v>
      </c>
    </row>
    <row r="196" spans="3:11" x14ac:dyDescent="0.2">
      <c r="C196" s="201" t="s">
        <v>12827</v>
      </c>
      <c r="D196" s="200">
        <v>44321</v>
      </c>
      <c r="E196" s="199" t="s">
        <v>12826</v>
      </c>
      <c r="I196" s="198">
        <v>5.04</v>
      </c>
      <c r="K196" s="198">
        <v>68411.23</v>
      </c>
    </row>
    <row r="197" spans="3:11" x14ac:dyDescent="0.2">
      <c r="C197" s="201" t="s">
        <v>12825</v>
      </c>
      <c r="D197" s="200">
        <v>44321</v>
      </c>
      <c r="E197" s="199" t="s">
        <v>12824</v>
      </c>
      <c r="I197" s="198">
        <v>19.14</v>
      </c>
      <c r="K197" s="198">
        <v>68430.37</v>
      </c>
    </row>
    <row r="198" spans="3:11" x14ac:dyDescent="0.2">
      <c r="C198" s="201" t="s">
        <v>12823</v>
      </c>
      <c r="D198" s="200">
        <v>44321</v>
      </c>
      <c r="E198" s="199" t="s">
        <v>12822</v>
      </c>
      <c r="I198" s="198">
        <v>6.14</v>
      </c>
      <c r="K198" s="198">
        <v>68436.509999999995</v>
      </c>
    </row>
    <row r="199" spans="3:11" x14ac:dyDescent="0.2">
      <c r="C199" s="201" t="s">
        <v>12821</v>
      </c>
      <c r="D199" s="200">
        <v>44321</v>
      </c>
      <c r="E199" s="199" t="s">
        <v>12820</v>
      </c>
      <c r="I199" s="198">
        <v>2.31</v>
      </c>
      <c r="K199" s="198">
        <v>68438.820000000007</v>
      </c>
    </row>
    <row r="200" spans="3:11" x14ac:dyDescent="0.2">
      <c r="C200" s="201" t="s">
        <v>12819</v>
      </c>
      <c r="D200" s="200">
        <v>44321</v>
      </c>
      <c r="E200" s="199" t="s">
        <v>12818</v>
      </c>
      <c r="I200" s="198">
        <v>2.63</v>
      </c>
      <c r="K200" s="198">
        <v>68441.45</v>
      </c>
    </row>
    <row r="201" spans="3:11" x14ac:dyDescent="0.2">
      <c r="C201" s="201" t="s">
        <v>12817</v>
      </c>
      <c r="D201" s="200">
        <v>44321</v>
      </c>
      <c r="E201" s="199" t="s">
        <v>12816</v>
      </c>
      <c r="I201" s="198">
        <v>3.36</v>
      </c>
      <c r="K201" s="198">
        <v>68444.81</v>
      </c>
    </row>
    <row r="202" spans="3:11" x14ac:dyDescent="0.2">
      <c r="C202" s="201" t="s">
        <v>12815</v>
      </c>
      <c r="D202" s="200">
        <v>44321</v>
      </c>
      <c r="E202" s="199" t="s">
        <v>12814</v>
      </c>
      <c r="I202" s="198">
        <v>11.6</v>
      </c>
      <c r="K202" s="198">
        <v>68456.41</v>
      </c>
    </row>
    <row r="203" spans="3:11" x14ac:dyDescent="0.2">
      <c r="C203" s="201" t="s">
        <v>12813</v>
      </c>
      <c r="D203" s="200">
        <v>44321</v>
      </c>
      <c r="E203" s="199" t="s">
        <v>12812</v>
      </c>
      <c r="I203" s="198">
        <v>23.45</v>
      </c>
      <c r="K203" s="198">
        <v>68479.86</v>
      </c>
    </row>
    <row r="204" spans="3:11" x14ac:dyDescent="0.2">
      <c r="C204" s="201" t="s">
        <v>12811</v>
      </c>
      <c r="D204" s="200">
        <v>44321</v>
      </c>
      <c r="E204" s="199" t="s">
        <v>12810</v>
      </c>
      <c r="I204" s="198">
        <v>4.4000000000000004</v>
      </c>
      <c r="K204" s="198">
        <v>68484.259999999995</v>
      </c>
    </row>
    <row r="205" spans="3:11" x14ac:dyDescent="0.2">
      <c r="C205" s="201" t="s">
        <v>12809</v>
      </c>
      <c r="D205" s="200">
        <v>44321</v>
      </c>
      <c r="E205" s="199" t="s">
        <v>12808</v>
      </c>
      <c r="I205" s="198">
        <v>8.3800000000000008</v>
      </c>
      <c r="K205" s="198">
        <v>68492.639999999999</v>
      </c>
    </row>
    <row r="206" spans="3:11" x14ac:dyDescent="0.2">
      <c r="C206" s="201" t="s">
        <v>12807</v>
      </c>
      <c r="D206" s="200">
        <v>44321</v>
      </c>
      <c r="E206" s="199" t="s">
        <v>12806</v>
      </c>
      <c r="I206" s="198">
        <v>2.09</v>
      </c>
      <c r="K206" s="198">
        <v>68494.73</v>
      </c>
    </row>
    <row r="207" spans="3:11" x14ac:dyDescent="0.2">
      <c r="C207" s="201" t="s">
        <v>12805</v>
      </c>
      <c r="D207" s="200">
        <v>44321</v>
      </c>
      <c r="E207" s="199" t="s">
        <v>12804</v>
      </c>
      <c r="I207" s="198">
        <v>4.79</v>
      </c>
      <c r="K207" s="198">
        <v>68499.520000000004</v>
      </c>
    </row>
    <row r="208" spans="3:11" x14ac:dyDescent="0.2">
      <c r="C208" s="201" t="s">
        <v>12803</v>
      </c>
      <c r="D208" s="200">
        <v>44321</v>
      </c>
      <c r="E208" s="199" t="s">
        <v>12802</v>
      </c>
      <c r="I208" s="198">
        <v>3.88</v>
      </c>
      <c r="K208" s="198">
        <v>68503.399999999994</v>
      </c>
    </row>
    <row r="209" spans="3:11" x14ac:dyDescent="0.2">
      <c r="C209" s="201" t="s">
        <v>12801</v>
      </c>
      <c r="D209" s="200">
        <v>44321</v>
      </c>
      <c r="E209" s="199" t="s">
        <v>12800</v>
      </c>
      <c r="I209" s="198">
        <v>1.95</v>
      </c>
      <c r="K209" s="198">
        <v>68505.350000000006</v>
      </c>
    </row>
    <row r="210" spans="3:11" x14ac:dyDescent="0.2">
      <c r="C210" s="201" t="s">
        <v>12799</v>
      </c>
      <c r="D210" s="200">
        <v>44321</v>
      </c>
      <c r="E210" s="199" t="s">
        <v>12798</v>
      </c>
      <c r="I210" s="198">
        <v>2.4300000000000002</v>
      </c>
      <c r="K210" s="198">
        <v>68507.78</v>
      </c>
    </row>
    <row r="211" spans="3:11" x14ac:dyDescent="0.2">
      <c r="C211" s="201" t="s">
        <v>12797</v>
      </c>
      <c r="D211" s="200">
        <v>44321</v>
      </c>
      <c r="E211" s="199" t="s">
        <v>12796</v>
      </c>
      <c r="I211" s="198">
        <v>4.5199999999999996</v>
      </c>
      <c r="K211" s="198">
        <v>68512.3</v>
      </c>
    </row>
    <row r="212" spans="3:11" x14ac:dyDescent="0.2">
      <c r="C212" s="201" t="s">
        <v>12795</v>
      </c>
      <c r="D212" s="200">
        <v>44321</v>
      </c>
      <c r="E212" s="199" t="s">
        <v>12794</v>
      </c>
      <c r="I212" s="198">
        <v>13.88</v>
      </c>
      <c r="K212" s="198">
        <v>68526.179999999993</v>
      </c>
    </row>
    <row r="213" spans="3:11" x14ac:dyDescent="0.2">
      <c r="C213" s="201" t="s">
        <v>12793</v>
      </c>
      <c r="D213" s="200">
        <v>44321</v>
      </c>
      <c r="E213" s="199" t="s">
        <v>12792</v>
      </c>
      <c r="I213" s="198">
        <v>12.9</v>
      </c>
      <c r="K213" s="198">
        <v>68539.08</v>
      </c>
    </row>
    <row r="214" spans="3:11" x14ac:dyDescent="0.2">
      <c r="C214" s="201" t="s">
        <v>12791</v>
      </c>
      <c r="D214" s="200">
        <v>44321</v>
      </c>
      <c r="E214" s="199" t="s">
        <v>12790</v>
      </c>
      <c r="I214" s="198">
        <v>20.29</v>
      </c>
      <c r="K214" s="198">
        <v>68559.37</v>
      </c>
    </row>
    <row r="215" spans="3:11" x14ac:dyDescent="0.2">
      <c r="C215" s="201" t="s">
        <v>12789</v>
      </c>
      <c r="D215" s="200">
        <v>44321</v>
      </c>
      <c r="E215" s="199" t="s">
        <v>12788</v>
      </c>
      <c r="I215" s="198">
        <v>7.93</v>
      </c>
      <c r="K215" s="198">
        <v>68567.3</v>
      </c>
    </row>
    <row r="216" spans="3:11" x14ac:dyDescent="0.2">
      <c r="C216" s="201" t="s">
        <v>12787</v>
      </c>
      <c r="D216" s="200">
        <v>44321</v>
      </c>
      <c r="E216" s="199" t="s">
        <v>12786</v>
      </c>
      <c r="I216" s="198">
        <v>1.68</v>
      </c>
      <c r="K216" s="198">
        <v>68568.98</v>
      </c>
    </row>
    <row r="217" spans="3:11" x14ac:dyDescent="0.2">
      <c r="C217" s="201" t="s">
        <v>12785</v>
      </c>
      <c r="D217" s="200">
        <v>44321</v>
      </c>
      <c r="E217" s="199" t="s">
        <v>12784</v>
      </c>
      <c r="I217" s="198">
        <v>2310.59</v>
      </c>
      <c r="K217" s="198">
        <v>70879.570000000007</v>
      </c>
    </row>
    <row r="218" spans="3:11" x14ac:dyDescent="0.2">
      <c r="C218" s="201" t="s">
        <v>12783</v>
      </c>
      <c r="D218" s="200">
        <v>44321</v>
      </c>
      <c r="E218" s="199" t="s">
        <v>12782</v>
      </c>
      <c r="I218" s="198">
        <v>30.6</v>
      </c>
      <c r="K218" s="198">
        <v>70910.17</v>
      </c>
    </row>
    <row r="219" spans="3:11" x14ac:dyDescent="0.2">
      <c r="C219" s="201" t="s">
        <v>20194</v>
      </c>
      <c r="D219" s="200">
        <v>44321</v>
      </c>
      <c r="E219" s="199" t="s">
        <v>20193</v>
      </c>
      <c r="J219" s="222">
        <v>5.32</v>
      </c>
      <c r="K219" s="198">
        <v>70904.850000000006</v>
      </c>
    </row>
    <row r="220" spans="3:11" x14ac:dyDescent="0.2">
      <c r="C220" s="201" t="s">
        <v>12781</v>
      </c>
      <c r="D220" s="200">
        <v>44322</v>
      </c>
      <c r="E220" s="199" t="s">
        <v>12780</v>
      </c>
      <c r="I220" s="198">
        <v>4.1900000000000004</v>
      </c>
      <c r="K220" s="198">
        <v>70909.039999999994</v>
      </c>
    </row>
    <row r="221" spans="3:11" x14ac:dyDescent="0.2">
      <c r="C221" s="201" t="s">
        <v>12779</v>
      </c>
      <c r="D221" s="200">
        <v>44322</v>
      </c>
      <c r="E221" s="199" t="s">
        <v>12778</v>
      </c>
      <c r="I221" s="198">
        <v>8.3800000000000008</v>
      </c>
      <c r="K221" s="198">
        <v>70917.42</v>
      </c>
    </row>
    <row r="222" spans="3:11" x14ac:dyDescent="0.2">
      <c r="C222" s="201" t="s">
        <v>12777</v>
      </c>
      <c r="D222" s="200">
        <v>44322</v>
      </c>
      <c r="E222" s="199" t="s">
        <v>12776</v>
      </c>
      <c r="I222" s="198">
        <v>3.21</v>
      </c>
      <c r="K222" s="198">
        <v>70920.63</v>
      </c>
    </row>
    <row r="223" spans="3:11" x14ac:dyDescent="0.2">
      <c r="C223" s="201" t="s">
        <v>12775</v>
      </c>
      <c r="D223" s="200">
        <v>44322</v>
      </c>
      <c r="E223" s="199" t="s">
        <v>12774</v>
      </c>
      <c r="I223" s="198">
        <v>8.3800000000000008</v>
      </c>
      <c r="K223" s="198">
        <v>70929.009999999995</v>
      </c>
    </row>
    <row r="224" spans="3:11" x14ac:dyDescent="0.2">
      <c r="C224" s="201" t="s">
        <v>12773</v>
      </c>
      <c r="D224" s="200">
        <v>44322</v>
      </c>
      <c r="E224" s="199" t="s">
        <v>12772</v>
      </c>
      <c r="I224" s="198">
        <v>8.0399999999999991</v>
      </c>
      <c r="K224" s="198">
        <v>70937.05</v>
      </c>
    </row>
    <row r="225" spans="3:11" x14ac:dyDescent="0.2">
      <c r="C225" s="201" t="s">
        <v>12771</v>
      </c>
      <c r="D225" s="200">
        <v>44322</v>
      </c>
      <c r="E225" s="199" t="s">
        <v>12770</v>
      </c>
      <c r="I225" s="198">
        <v>15.3</v>
      </c>
      <c r="K225" s="198">
        <v>70952.350000000006</v>
      </c>
    </row>
    <row r="226" spans="3:11" x14ac:dyDescent="0.2">
      <c r="C226" s="201" t="s">
        <v>12769</v>
      </c>
      <c r="D226" s="200">
        <v>44322</v>
      </c>
      <c r="E226" s="199" t="s">
        <v>12768</v>
      </c>
      <c r="I226" s="198">
        <v>10.74</v>
      </c>
      <c r="K226" s="198">
        <v>70963.09</v>
      </c>
    </row>
    <row r="227" spans="3:11" x14ac:dyDescent="0.2">
      <c r="C227" s="201" t="s">
        <v>12767</v>
      </c>
      <c r="D227" s="200">
        <v>44322</v>
      </c>
      <c r="E227" s="199" t="s">
        <v>12766</v>
      </c>
      <c r="I227" s="198">
        <v>15.3</v>
      </c>
      <c r="K227" s="198">
        <v>70978.39</v>
      </c>
    </row>
    <row r="228" spans="3:11" x14ac:dyDescent="0.2">
      <c r="C228" s="201" t="s">
        <v>12765</v>
      </c>
      <c r="D228" s="200">
        <v>44322</v>
      </c>
      <c r="E228" s="199" t="s">
        <v>12764</v>
      </c>
      <c r="I228" s="198">
        <v>15.3</v>
      </c>
      <c r="K228" s="198">
        <v>70993.69</v>
      </c>
    </row>
    <row r="229" spans="3:11" x14ac:dyDescent="0.2">
      <c r="C229" s="201" t="s">
        <v>12763</v>
      </c>
      <c r="D229" s="200">
        <v>44322</v>
      </c>
      <c r="E229" s="199" t="s">
        <v>12762</v>
      </c>
      <c r="I229" s="198">
        <v>21.65</v>
      </c>
      <c r="K229" s="198">
        <v>71015.34</v>
      </c>
    </row>
    <row r="230" spans="3:11" x14ac:dyDescent="0.2">
      <c r="C230" s="201" t="s">
        <v>12761</v>
      </c>
      <c r="D230" s="200">
        <v>44322</v>
      </c>
      <c r="E230" s="199" t="s">
        <v>12760</v>
      </c>
      <c r="I230" s="198">
        <v>7.4</v>
      </c>
      <c r="K230" s="198">
        <v>71022.740000000005</v>
      </c>
    </row>
    <row r="231" spans="3:11" x14ac:dyDescent="0.2">
      <c r="C231" s="201" t="s">
        <v>12759</v>
      </c>
      <c r="D231" s="200">
        <v>44322</v>
      </c>
      <c r="E231" s="199" t="s">
        <v>12758</v>
      </c>
      <c r="I231" s="198">
        <v>8.3800000000000008</v>
      </c>
      <c r="K231" s="198">
        <v>71031.12</v>
      </c>
    </row>
    <row r="232" spans="3:11" x14ac:dyDescent="0.2">
      <c r="C232" s="201" t="s">
        <v>12757</v>
      </c>
      <c r="D232" s="200">
        <v>44322</v>
      </c>
      <c r="E232" s="199" t="s">
        <v>12756</v>
      </c>
      <c r="I232" s="198">
        <v>3.4</v>
      </c>
      <c r="K232" s="198">
        <v>71034.52</v>
      </c>
    </row>
    <row r="233" spans="3:11" x14ac:dyDescent="0.2">
      <c r="C233" s="201" t="s">
        <v>12755</v>
      </c>
      <c r="D233" s="200">
        <v>44322</v>
      </c>
      <c r="E233" s="199" t="s">
        <v>12754</v>
      </c>
      <c r="I233" s="198">
        <v>7.91</v>
      </c>
      <c r="K233" s="198">
        <v>71042.429999999993</v>
      </c>
    </row>
    <row r="234" spans="3:11" x14ac:dyDescent="0.2">
      <c r="C234" s="201" t="s">
        <v>12753</v>
      </c>
      <c r="D234" s="200">
        <v>44322</v>
      </c>
      <c r="E234" s="199" t="s">
        <v>12752</v>
      </c>
      <c r="I234" s="198">
        <v>1.85</v>
      </c>
      <c r="K234" s="198">
        <v>71044.28</v>
      </c>
    </row>
    <row r="235" spans="3:11" x14ac:dyDescent="0.2">
      <c r="C235" s="201" t="s">
        <v>12751</v>
      </c>
      <c r="D235" s="200">
        <v>44322</v>
      </c>
      <c r="E235" s="199" t="s">
        <v>12750</v>
      </c>
      <c r="I235" s="198">
        <v>2.46</v>
      </c>
      <c r="K235" s="198">
        <v>71046.740000000005</v>
      </c>
    </row>
    <row r="236" spans="3:11" x14ac:dyDescent="0.2">
      <c r="C236" s="201" t="s">
        <v>12749</v>
      </c>
      <c r="D236" s="200">
        <v>44322</v>
      </c>
      <c r="E236" s="199" t="s">
        <v>12748</v>
      </c>
      <c r="I236" s="198">
        <v>4.75</v>
      </c>
      <c r="K236" s="198">
        <v>71051.490000000005</v>
      </c>
    </row>
    <row r="237" spans="3:11" x14ac:dyDescent="0.2">
      <c r="C237" s="201" t="s">
        <v>12747</v>
      </c>
      <c r="D237" s="200">
        <v>44322</v>
      </c>
      <c r="E237" s="199" t="s">
        <v>12746</v>
      </c>
      <c r="I237" s="198">
        <v>7.02</v>
      </c>
      <c r="K237" s="198">
        <v>71058.509999999995</v>
      </c>
    </row>
    <row r="238" spans="3:11" x14ac:dyDescent="0.2">
      <c r="C238" s="201" t="s">
        <v>12745</v>
      </c>
      <c r="D238" s="200">
        <v>44322</v>
      </c>
      <c r="E238" s="199" t="s">
        <v>12744</v>
      </c>
      <c r="I238" s="198">
        <v>6.31</v>
      </c>
      <c r="K238" s="198">
        <v>71064.820000000007</v>
      </c>
    </row>
    <row r="239" spans="3:11" x14ac:dyDescent="0.2">
      <c r="C239" s="201" t="s">
        <v>12743</v>
      </c>
      <c r="D239" s="200">
        <v>44322</v>
      </c>
      <c r="E239" s="199" t="s">
        <v>12742</v>
      </c>
      <c r="I239" s="198">
        <v>15.12</v>
      </c>
      <c r="K239" s="198">
        <v>71079.94</v>
      </c>
    </row>
    <row r="240" spans="3:11" x14ac:dyDescent="0.2">
      <c r="C240" s="201" t="s">
        <v>12741</v>
      </c>
      <c r="D240" s="200">
        <v>44322</v>
      </c>
      <c r="E240" s="199" t="s">
        <v>12740</v>
      </c>
      <c r="I240" s="198">
        <v>2.31</v>
      </c>
      <c r="K240" s="198">
        <v>71082.25</v>
      </c>
    </row>
    <row r="241" spans="3:11" x14ac:dyDescent="0.2">
      <c r="C241" s="201" t="s">
        <v>12739</v>
      </c>
      <c r="D241" s="200">
        <v>44322</v>
      </c>
      <c r="E241" s="199" t="s">
        <v>12738</v>
      </c>
      <c r="I241" s="198">
        <v>8.83</v>
      </c>
      <c r="K241" s="198">
        <v>71091.08</v>
      </c>
    </row>
    <row r="242" spans="3:11" x14ac:dyDescent="0.2">
      <c r="C242" s="201" t="s">
        <v>12737</v>
      </c>
      <c r="D242" s="200">
        <v>44322</v>
      </c>
      <c r="E242" s="199" t="s">
        <v>12736</v>
      </c>
      <c r="I242" s="198">
        <v>4.88</v>
      </c>
      <c r="K242" s="198">
        <v>71095.960000000006</v>
      </c>
    </row>
    <row r="243" spans="3:11" x14ac:dyDescent="0.2">
      <c r="C243" s="201" t="s">
        <v>12735</v>
      </c>
      <c r="D243" s="200">
        <v>44322</v>
      </c>
      <c r="E243" s="199" t="s">
        <v>12734</v>
      </c>
      <c r="I243" s="198">
        <v>2.21</v>
      </c>
      <c r="K243" s="198">
        <v>71098.17</v>
      </c>
    </row>
    <row r="244" spans="3:11" x14ac:dyDescent="0.2">
      <c r="C244" s="201" t="s">
        <v>12733</v>
      </c>
      <c r="D244" s="200">
        <v>44322</v>
      </c>
      <c r="E244" s="199" t="s">
        <v>12732</v>
      </c>
      <c r="I244" s="198">
        <v>3.4</v>
      </c>
      <c r="K244" s="198">
        <v>71101.570000000007</v>
      </c>
    </row>
    <row r="245" spans="3:11" x14ac:dyDescent="0.2">
      <c r="C245" s="201" t="s">
        <v>12731</v>
      </c>
      <c r="D245" s="200">
        <v>44322</v>
      </c>
      <c r="E245" s="199" t="s">
        <v>12730</v>
      </c>
      <c r="I245" s="198">
        <v>12.78</v>
      </c>
      <c r="K245" s="198">
        <v>71114.350000000006</v>
      </c>
    </row>
    <row r="246" spans="3:11" x14ac:dyDescent="0.2">
      <c r="C246" s="201" t="s">
        <v>12729</v>
      </c>
      <c r="D246" s="200">
        <v>44322</v>
      </c>
      <c r="E246" s="199" t="s">
        <v>12728</v>
      </c>
      <c r="I246" s="198">
        <v>4.05</v>
      </c>
      <c r="K246" s="198">
        <v>71118.399999999994</v>
      </c>
    </row>
    <row r="247" spans="3:11" x14ac:dyDescent="0.2">
      <c r="C247" s="201" t="s">
        <v>12727</v>
      </c>
      <c r="D247" s="200">
        <v>44322</v>
      </c>
      <c r="E247" s="199" t="s">
        <v>12726</v>
      </c>
      <c r="I247" s="198">
        <v>4.5599999999999996</v>
      </c>
      <c r="K247" s="198">
        <v>71122.960000000006</v>
      </c>
    </row>
    <row r="248" spans="3:11" x14ac:dyDescent="0.2">
      <c r="C248" s="201" t="s">
        <v>12725</v>
      </c>
      <c r="D248" s="200">
        <v>44322</v>
      </c>
      <c r="E248" s="199" t="s">
        <v>12724</v>
      </c>
      <c r="I248" s="198">
        <v>14.37</v>
      </c>
      <c r="K248" s="198">
        <v>71137.33</v>
      </c>
    </row>
    <row r="249" spans="3:11" x14ac:dyDescent="0.2">
      <c r="C249" s="201" t="s">
        <v>12723</v>
      </c>
      <c r="D249" s="200">
        <v>44322</v>
      </c>
      <c r="E249" s="199" t="s">
        <v>12722</v>
      </c>
      <c r="I249" s="198">
        <v>7.83</v>
      </c>
      <c r="K249" s="198">
        <v>71145.16</v>
      </c>
    </row>
    <row r="250" spans="3:11" x14ac:dyDescent="0.2">
      <c r="C250" s="201" t="s">
        <v>12721</v>
      </c>
      <c r="D250" s="200">
        <v>44322</v>
      </c>
      <c r="E250" s="199" t="s">
        <v>12720</v>
      </c>
      <c r="I250" s="198">
        <v>5.44</v>
      </c>
      <c r="K250" s="198">
        <v>71150.600000000006</v>
      </c>
    </row>
    <row r="251" spans="3:11" x14ac:dyDescent="0.2">
      <c r="C251" s="201" t="s">
        <v>12719</v>
      </c>
      <c r="D251" s="200">
        <v>44322</v>
      </c>
      <c r="E251" s="199" t="s">
        <v>12718</v>
      </c>
      <c r="I251" s="198">
        <v>3.91</v>
      </c>
      <c r="K251" s="198">
        <v>71154.509999999995</v>
      </c>
    </row>
    <row r="252" spans="3:11" x14ac:dyDescent="0.2">
      <c r="C252" s="201" t="s">
        <v>12717</v>
      </c>
      <c r="D252" s="200">
        <v>44322</v>
      </c>
      <c r="E252" s="199" t="s">
        <v>12716</v>
      </c>
      <c r="I252" s="198">
        <v>10.94</v>
      </c>
      <c r="K252" s="198">
        <v>71165.45</v>
      </c>
    </row>
    <row r="253" spans="3:11" x14ac:dyDescent="0.2">
      <c r="C253" s="201" t="s">
        <v>12715</v>
      </c>
      <c r="D253" s="200">
        <v>44322</v>
      </c>
      <c r="E253" s="199" t="s">
        <v>12714</v>
      </c>
      <c r="I253" s="198">
        <v>1.68</v>
      </c>
      <c r="K253" s="198">
        <v>71167.13</v>
      </c>
    </row>
    <row r="254" spans="3:11" x14ac:dyDescent="0.2">
      <c r="C254" s="201" t="s">
        <v>12713</v>
      </c>
      <c r="D254" s="200">
        <v>44322</v>
      </c>
      <c r="E254" s="199" t="s">
        <v>12712</v>
      </c>
      <c r="I254" s="198">
        <v>4.4000000000000004</v>
      </c>
      <c r="K254" s="198">
        <v>71171.53</v>
      </c>
    </row>
    <row r="255" spans="3:11" x14ac:dyDescent="0.2">
      <c r="C255" s="201" t="s">
        <v>12711</v>
      </c>
      <c r="D255" s="200">
        <v>44322</v>
      </c>
      <c r="E255" s="199" t="s">
        <v>12710</v>
      </c>
      <c r="I255" s="198">
        <v>5.75</v>
      </c>
      <c r="K255" s="198">
        <v>71177.279999999999</v>
      </c>
    </row>
    <row r="256" spans="3:11" x14ac:dyDescent="0.2">
      <c r="C256" s="201" t="s">
        <v>12709</v>
      </c>
      <c r="D256" s="200">
        <v>44322</v>
      </c>
      <c r="E256" s="199" t="s">
        <v>12708</v>
      </c>
      <c r="I256" s="198">
        <v>25.5</v>
      </c>
      <c r="K256" s="198">
        <v>71202.78</v>
      </c>
    </row>
    <row r="257" spans="3:11" x14ac:dyDescent="0.2">
      <c r="C257" s="201" t="s">
        <v>12707</v>
      </c>
      <c r="D257" s="200">
        <v>44322</v>
      </c>
      <c r="E257" s="199" t="s">
        <v>12706</v>
      </c>
      <c r="I257" s="198">
        <v>3.42</v>
      </c>
      <c r="K257" s="198">
        <v>71206.2</v>
      </c>
    </row>
    <row r="258" spans="3:11" x14ac:dyDescent="0.2">
      <c r="C258" s="201" t="s">
        <v>12705</v>
      </c>
      <c r="D258" s="200">
        <v>44322</v>
      </c>
      <c r="E258" s="199" t="s">
        <v>12704</v>
      </c>
      <c r="I258" s="198">
        <v>9.3000000000000007</v>
      </c>
      <c r="K258" s="198">
        <v>71215.5</v>
      </c>
    </row>
    <row r="259" spans="3:11" x14ac:dyDescent="0.2">
      <c r="C259" s="201" t="s">
        <v>12703</v>
      </c>
      <c r="D259" s="200">
        <v>44322</v>
      </c>
      <c r="E259" s="199" t="s">
        <v>12702</v>
      </c>
      <c r="I259" s="198">
        <v>1.68</v>
      </c>
      <c r="K259" s="198">
        <v>71217.179999999993</v>
      </c>
    </row>
    <row r="260" spans="3:11" x14ac:dyDescent="0.2">
      <c r="C260" s="201" t="s">
        <v>12701</v>
      </c>
      <c r="D260" s="200">
        <v>44323</v>
      </c>
      <c r="E260" s="199" t="s">
        <v>12700</v>
      </c>
      <c r="I260" s="198">
        <v>5.43</v>
      </c>
      <c r="K260" s="198">
        <v>71222.61</v>
      </c>
    </row>
    <row r="261" spans="3:11" x14ac:dyDescent="0.2">
      <c r="C261" s="201" t="s">
        <v>12699</v>
      </c>
      <c r="D261" s="200">
        <v>44323</v>
      </c>
      <c r="E261" s="199" t="s">
        <v>12698</v>
      </c>
      <c r="I261" s="198">
        <v>1.68</v>
      </c>
      <c r="K261" s="198">
        <v>71224.289999999994</v>
      </c>
    </row>
    <row r="262" spans="3:11" x14ac:dyDescent="0.2">
      <c r="C262" s="201" t="s">
        <v>12697</v>
      </c>
      <c r="D262" s="200">
        <v>44323</v>
      </c>
      <c r="E262" s="199" t="s">
        <v>12696</v>
      </c>
      <c r="I262" s="198">
        <v>1.87</v>
      </c>
      <c r="K262" s="198">
        <v>71226.16</v>
      </c>
    </row>
    <row r="263" spans="3:11" x14ac:dyDescent="0.2">
      <c r="C263" s="201" t="s">
        <v>12695</v>
      </c>
      <c r="D263" s="200">
        <v>44323</v>
      </c>
      <c r="E263" s="199" t="s">
        <v>12694</v>
      </c>
      <c r="I263" s="198">
        <v>1.72</v>
      </c>
      <c r="K263" s="198">
        <v>71227.88</v>
      </c>
    </row>
    <row r="264" spans="3:11" x14ac:dyDescent="0.2">
      <c r="C264" s="201" t="s">
        <v>12693</v>
      </c>
      <c r="D264" s="200">
        <v>44323</v>
      </c>
      <c r="E264" s="199" t="s">
        <v>12692</v>
      </c>
      <c r="I264" s="198">
        <v>2.57</v>
      </c>
      <c r="K264" s="198">
        <v>71230.45</v>
      </c>
    </row>
    <row r="265" spans="3:11" x14ac:dyDescent="0.2">
      <c r="C265" s="201" t="s">
        <v>12691</v>
      </c>
      <c r="D265" s="200">
        <v>44323</v>
      </c>
      <c r="E265" s="199" t="s">
        <v>12690</v>
      </c>
      <c r="I265" s="198">
        <v>3.53</v>
      </c>
      <c r="K265" s="198">
        <v>71233.98</v>
      </c>
    </row>
    <row r="266" spans="3:11" x14ac:dyDescent="0.2">
      <c r="C266" s="201" t="s">
        <v>12689</v>
      </c>
      <c r="D266" s="200">
        <v>44323</v>
      </c>
      <c r="E266" s="199" t="s">
        <v>12688</v>
      </c>
      <c r="I266" s="198">
        <v>41.47</v>
      </c>
      <c r="K266" s="198">
        <v>71275.45</v>
      </c>
    </row>
    <row r="267" spans="3:11" x14ac:dyDescent="0.2">
      <c r="C267" s="201" t="s">
        <v>12687</v>
      </c>
      <c r="D267" s="200">
        <v>44323</v>
      </c>
      <c r="E267" s="199" t="s">
        <v>12686</v>
      </c>
      <c r="I267" s="198">
        <v>8.81</v>
      </c>
      <c r="K267" s="198">
        <v>71284.259999999995</v>
      </c>
    </row>
    <row r="268" spans="3:11" x14ac:dyDescent="0.2">
      <c r="C268" s="201" t="s">
        <v>12685</v>
      </c>
      <c r="D268" s="200">
        <v>44323</v>
      </c>
      <c r="E268" s="199" t="s">
        <v>12684</v>
      </c>
      <c r="I268" s="198">
        <v>1.72</v>
      </c>
      <c r="K268" s="198">
        <v>71285.98</v>
      </c>
    </row>
    <row r="269" spans="3:11" x14ac:dyDescent="0.2">
      <c r="C269" s="201" t="s">
        <v>12683</v>
      </c>
      <c r="D269" s="200">
        <v>44323</v>
      </c>
      <c r="E269" s="199" t="s">
        <v>12682</v>
      </c>
      <c r="I269" s="198">
        <v>3.41</v>
      </c>
      <c r="K269" s="198">
        <v>71289.39</v>
      </c>
    </row>
    <row r="270" spans="3:11" x14ac:dyDescent="0.2">
      <c r="C270" s="201" t="s">
        <v>12681</v>
      </c>
      <c r="D270" s="200">
        <v>44323</v>
      </c>
      <c r="E270" s="199" t="s">
        <v>12680</v>
      </c>
      <c r="I270" s="198">
        <v>5.17</v>
      </c>
      <c r="K270" s="198">
        <v>71294.559999999998</v>
      </c>
    </row>
    <row r="271" spans="3:11" x14ac:dyDescent="0.2">
      <c r="C271" s="201" t="s">
        <v>12679</v>
      </c>
      <c r="D271" s="200">
        <v>44323</v>
      </c>
      <c r="E271" s="199" t="s">
        <v>12678</v>
      </c>
      <c r="I271" s="198">
        <v>2.81</v>
      </c>
      <c r="K271" s="198">
        <v>71297.37</v>
      </c>
    </row>
    <row r="272" spans="3:11" x14ac:dyDescent="0.2">
      <c r="C272" s="201" t="s">
        <v>12677</v>
      </c>
      <c r="D272" s="200">
        <v>44323</v>
      </c>
      <c r="E272" s="199" t="s">
        <v>12676</v>
      </c>
      <c r="I272" s="198">
        <v>3.77</v>
      </c>
      <c r="K272" s="198">
        <v>71301.14</v>
      </c>
    </row>
    <row r="273" spans="3:11" x14ac:dyDescent="0.2">
      <c r="C273" s="201" t="s">
        <v>12675</v>
      </c>
      <c r="D273" s="200">
        <v>44323</v>
      </c>
      <c r="E273" s="199" t="s">
        <v>12674</v>
      </c>
      <c r="I273" s="198">
        <v>13.88</v>
      </c>
      <c r="K273" s="198">
        <v>71315.02</v>
      </c>
    </row>
    <row r="274" spans="3:11" x14ac:dyDescent="0.2">
      <c r="C274" s="201" t="s">
        <v>12673</v>
      </c>
      <c r="D274" s="200">
        <v>44323</v>
      </c>
      <c r="E274" s="199" t="s">
        <v>12672</v>
      </c>
      <c r="I274" s="198">
        <v>8.69</v>
      </c>
      <c r="K274" s="198">
        <v>71323.710000000006</v>
      </c>
    </row>
    <row r="275" spans="3:11" x14ac:dyDescent="0.2">
      <c r="C275" s="201" t="s">
        <v>12671</v>
      </c>
      <c r="D275" s="200">
        <v>44323</v>
      </c>
      <c r="E275" s="199" t="s">
        <v>12670</v>
      </c>
      <c r="I275" s="198">
        <v>5.8</v>
      </c>
      <c r="K275" s="198">
        <v>71329.509999999995</v>
      </c>
    </row>
    <row r="276" spans="3:11" x14ac:dyDescent="0.2">
      <c r="C276" s="201" t="s">
        <v>12669</v>
      </c>
      <c r="D276" s="200">
        <v>44323</v>
      </c>
      <c r="E276" s="199" t="s">
        <v>12668</v>
      </c>
      <c r="I276" s="198">
        <v>2.35</v>
      </c>
      <c r="K276" s="198">
        <v>71331.86</v>
      </c>
    </row>
    <row r="277" spans="3:11" x14ac:dyDescent="0.2">
      <c r="C277" s="201" t="s">
        <v>12667</v>
      </c>
      <c r="D277" s="200">
        <v>44323</v>
      </c>
      <c r="E277" s="199" t="s">
        <v>12666</v>
      </c>
      <c r="I277" s="198">
        <v>8.3800000000000008</v>
      </c>
      <c r="K277" s="198">
        <v>71340.240000000005</v>
      </c>
    </row>
    <row r="278" spans="3:11" x14ac:dyDescent="0.2">
      <c r="C278" s="201" t="s">
        <v>12665</v>
      </c>
      <c r="D278" s="200">
        <v>44323</v>
      </c>
      <c r="E278" s="199" t="s">
        <v>12664</v>
      </c>
      <c r="I278" s="198">
        <v>3.96</v>
      </c>
      <c r="K278" s="198">
        <v>71344.2</v>
      </c>
    </row>
    <row r="279" spans="3:11" x14ac:dyDescent="0.2">
      <c r="C279" s="201" t="s">
        <v>12663</v>
      </c>
      <c r="D279" s="200">
        <v>44323</v>
      </c>
      <c r="E279" s="199" t="s">
        <v>12662</v>
      </c>
      <c r="I279" s="198">
        <v>8.3800000000000008</v>
      </c>
      <c r="K279" s="198">
        <v>71352.58</v>
      </c>
    </row>
    <row r="280" spans="3:11" x14ac:dyDescent="0.2">
      <c r="C280" s="201" t="s">
        <v>12661</v>
      </c>
      <c r="D280" s="200">
        <v>44323</v>
      </c>
      <c r="E280" s="199" t="s">
        <v>12660</v>
      </c>
      <c r="I280" s="198">
        <v>12.15</v>
      </c>
      <c r="K280" s="198">
        <v>71364.73</v>
      </c>
    </row>
    <row r="281" spans="3:11" x14ac:dyDescent="0.2">
      <c r="C281" s="201" t="s">
        <v>12659</v>
      </c>
      <c r="D281" s="200">
        <v>44323</v>
      </c>
      <c r="E281" s="199" t="s">
        <v>12658</v>
      </c>
      <c r="I281" s="198">
        <v>2.61</v>
      </c>
      <c r="K281" s="198">
        <v>71367.34</v>
      </c>
    </row>
    <row r="282" spans="3:11" x14ac:dyDescent="0.2">
      <c r="C282" s="201" t="s">
        <v>12657</v>
      </c>
      <c r="D282" s="200">
        <v>44323</v>
      </c>
      <c r="E282" s="199" t="s">
        <v>12656</v>
      </c>
      <c r="I282" s="198">
        <v>2.06</v>
      </c>
      <c r="K282" s="198">
        <v>71369.399999999994</v>
      </c>
    </row>
    <row r="283" spans="3:11" x14ac:dyDescent="0.2">
      <c r="C283" s="201" t="s">
        <v>12655</v>
      </c>
      <c r="D283" s="200">
        <v>44323</v>
      </c>
      <c r="E283" s="199" t="s">
        <v>12654</v>
      </c>
      <c r="I283" s="198">
        <v>4.1900000000000004</v>
      </c>
      <c r="K283" s="198">
        <v>71373.59</v>
      </c>
    </row>
    <row r="284" spans="3:11" x14ac:dyDescent="0.2">
      <c r="C284" s="201" t="s">
        <v>300</v>
      </c>
      <c r="D284" s="200">
        <v>44323</v>
      </c>
      <c r="E284" s="199" t="s">
        <v>12653</v>
      </c>
      <c r="J284" s="222">
        <v>83.73</v>
      </c>
      <c r="K284" s="198">
        <v>71289.86</v>
      </c>
    </row>
    <row r="285" spans="3:11" x14ac:dyDescent="0.2">
      <c r="C285" s="201" t="s">
        <v>12652</v>
      </c>
      <c r="D285" s="200">
        <v>44324.673692129632</v>
      </c>
      <c r="E285" s="199" t="s">
        <v>12651</v>
      </c>
      <c r="I285" s="198">
        <v>3.39</v>
      </c>
      <c r="K285" s="198">
        <v>71293.25</v>
      </c>
    </row>
    <row r="286" spans="3:11" x14ac:dyDescent="0.2">
      <c r="C286" s="201" t="s">
        <v>12650</v>
      </c>
      <c r="D286" s="200">
        <v>44324.677175925928</v>
      </c>
      <c r="E286" s="199" t="s">
        <v>12649</v>
      </c>
      <c r="I286" s="198">
        <v>2.2000000000000002</v>
      </c>
      <c r="K286" s="198">
        <v>71295.45</v>
      </c>
    </row>
    <row r="287" spans="3:11" x14ac:dyDescent="0.2">
      <c r="C287" s="201" t="s">
        <v>12648</v>
      </c>
      <c r="D287" s="200">
        <v>44324.679699074077</v>
      </c>
      <c r="E287" s="199" t="s">
        <v>12647</v>
      </c>
      <c r="I287" s="198">
        <v>1.95</v>
      </c>
      <c r="K287" s="198">
        <v>71297.399999999994</v>
      </c>
    </row>
    <row r="288" spans="3:11" x14ac:dyDescent="0.2">
      <c r="C288" s="201" t="s">
        <v>12646</v>
      </c>
      <c r="D288" s="200">
        <v>44326</v>
      </c>
      <c r="E288" s="199" t="s">
        <v>12645</v>
      </c>
      <c r="I288" s="198">
        <v>0.9</v>
      </c>
      <c r="K288" s="198">
        <v>71298.3</v>
      </c>
    </row>
    <row r="289" spans="3:11" x14ac:dyDescent="0.2">
      <c r="C289" s="201" t="s">
        <v>12644</v>
      </c>
      <c r="D289" s="200">
        <v>44326</v>
      </c>
      <c r="E289" s="199" t="s">
        <v>12643</v>
      </c>
      <c r="I289" s="198">
        <v>5.68</v>
      </c>
      <c r="K289" s="198">
        <v>71303.98</v>
      </c>
    </row>
    <row r="290" spans="3:11" x14ac:dyDescent="0.2">
      <c r="C290" s="201" t="s">
        <v>12642</v>
      </c>
      <c r="D290" s="200">
        <v>44326</v>
      </c>
      <c r="E290" s="199" t="s">
        <v>12641</v>
      </c>
      <c r="I290" s="198">
        <v>7.28</v>
      </c>
      <c r="K290" s="198">
        <v>71311.259999999995</v>
      </c>
    </row>
    <row r="291" spans="3:11" x14ac:dyDescent="0.2">
      <c r="C291" s="201" t="s">
        <v>12640</v>
      </c>
      <c r="D291" s="200">
        <v>44326</v>
      </c>
      <c r="E291" s="199" t="s">
        <v>12639</v>
      </c>
      <c r="I291" s="198">
        <v>10</v>
      </c>
      <c r="K291" s="198">
        <v>71321.259999999995</v>
      </c>
    </row>
    <row r="292" spans="3:11" x14ac:dyDescent="0.2">
      <c r="C292" s="201" t="s">
        <v>12638</v>
      </c>
      <c r="D292" s="200">
        <v>44326</v>
      </c>
      <c r="E292" s="199" t="s">
        <v>12637</v>
      </c>
      <c r="I292" s="198">
        <v>1.86</v>
      </c>
      <c r="K292" s="198">
        <v>71323.12</v>
      </c>
    </row>
    <row r="293" spans="3:11" x14ac:dyDescent="0.2">
      <c r="C293" s="201" t="s">
        <v>12636</v>
      </c>
      <c r="D293" s="200">
        <v>44326</v>
      </c>
      <c r="E293" s="199" t="s">
        <v>12635</v>
      </c>
      <c r="I293" s="198">
        <v>8.85</v>
      </c>
      <c r="K293" s="198">
        <v>71331.97</v>
      </c>
    </row>
    <row r="294" spans="3:11" x14ac:dyDescent="0.2">
      <c r="C294" s="201" t="s">
        <v>12634</v>
      </c>
      <c r="D294" s="200">
        <v>44326</v>
      </c>
      <c r="E294" s="199" t="s">
        <v>12633</v>
      </c>
      <c r="I294" s="198">
        <v>1.71</v>
      </c>
      <c r="K294" s="198">
        <v>71333.679999999993</v>
      </c>
    </row>
    <row r="295" spans="3:11" x14ac:dyDescent="0.2">
      <c r="C295" s="201" t="s">
        <v>12632</v>
      </c>
      <c r="D295" s="200">
        <v>44326</v>
      </c>
      <c r="E295" s="199" t="s">
        <v>12631</v>
      </c>
      <c r="I295" s="198">
        <v>1.23</v>
      </c>
      <c r="K295" s="198">
        <v>71334.91</v>
      </c>
    </row>
    <row r="296" spans="3:11" x14ac:dyDescent="0.2">
      <c r="C296" s="201" t="s">
        <v>12630</v>
      </c>
      <c r="D296" s="200">
        <v>44326</v>
      </c>
      <c r="E296" s="199" t="s">
        <v>12629</v>
      </c>
      <c r="I296" s="198">
        <v>0.4</v>
      </c>
      <c r="K296" s="198">
        <v>71335.31</v>
      </c>
    </row>
    <row r="297" spans="3:11" x14ac:dyDescent="0.2">
      <c r="C297" s="201" t="s">
        <v>12628</v>
      </c>
      <c r="D297" s="200">
        <v>44326</v>
      </c>
      <c r="E297" s="199" t="s">
        <v>12627</v>
      </c>
      <c r="I297" s="198">
        <v>2.25</v>
      </c>
      <c r="K297" s="198">
        <v>71337.56</v>
      </c>
    </row>
    <row r="298" spans="3:11" x14ac:dyDescent="0.2">
      <c r="C298" s="201" t="s">
        <v>12626</v>
      </c>
      <c r="D298" s="200">
        <v>44326</v>
      </c>
      <c r="E298" s="199" t="s">
        <v>12625</v>
      </c>
      <c r="I298" s="198">
        <v>5.38</v>
      </c>
      <c r="K298" s="198">
        <v>71342.94</v>
      </c>
    </row>
    <row r="299" spans="3:11" x14ac:dyDescent="0.2">
      <c r="C299" s="201" t="s">
        <v>12624</v>
      </c>
      <c r="D299" s="200">
        <v>44326</v>
      </c>
      <c r="E299" s="199" t="s">
        <v>12623</v>
      </c>
      <c r="I299" s="198">
        <v>5.89</v>
      </c>
      <c r="K299" s="198">
        <v>71348.83</v>
      </c>
    </row>
    <row r="300" spans="3:11" x14ac:dyDescent="0.2">
      <c r="C300" s="201" t="s">
        <v>12622</v>
      </c>
      <c r="D300" s="200">
        <v>44326</v>
      </c>
      <c r="E300" s="199" t="s">
        <v>12621</v>
      </c>
      <c r="I300" s="198">
        <v>5.1100000000000003</v>
      </c>
      <c r="K300" s="198">
        <v>71353.94</v>
      </c>
    </row>
    <row r="301" spans="3:11" x14ac:dyDescent="0.2">
      <c r="C301" s="201" t="s">
        <v>12620</v>
      </c>
      <c r="D301" s="200">
        <v>44326</v>
      </c>
      <c r="E301" s="199" t="s">
        <v>12619</v>
      </c>
      <c r="I301" s="198">
        <v>6.4</v>
      </c>
      <c r="K301" s="198">
        <v>71360.34</v>
      </c>
    </row>
    <row r="302" spans="3:11" x14ac:dyDescent="0.2">
      <c r="C302" s="201" t="s">
        <v>12618</v>
      </c>
      <c r="D302" s="200">
        <v>44326</v>
      </c>
      <c r="E302" s="199" t="s">
        <v>12617</v>
      </c>
      <c r="I302" s="198">
        <v>7.82</v>
      </c>
      <c r="K302" s="198">
        <v>71368.160000000003</v>
      </c>
    </row>
    <row r="303" spans="3:11" x14ac:dyDescent="0.2">
      <c r="C303" s="201" t="s">
        <v>12616</v>
      </c>
      <c r="D303" s="200">
        <v>44326</v>
      </c>
      <c r="E303" s="199" t="s">
        <v>12615</v>
      </c>
      <c r="I303" s="198">
        <v>1.68</v>
      </c>
      <c r="K303" s="198">
        <v>71369.84</v>
      </c>
    </row>
    <row r="304" spans="3:11" x14ac:dyDescent="0.2">
      <c r="C304" s="201" t="s">
        <v>12614</v>
      </c>
      <c r="D304" s="200">
        <v>44326</v>
      </c>
      <c r="E304" s="199" t="s">
        <v>12613</v>
      </c>
      <c r="I304" s="198">
        <v>3.74</v>
      </c>
      <c r="K304" s="198">
        <v>71373.58</v>
      </c>
    </row>
    <row r="305" spans="3:11" x14ac:dyDescent="0.2">
      <c r="C305" s="201" t="s">
        <v>12612</v>
      </c>
      <c r="D305" s="200">
        <v>44326</v>
      </c>
      <c r="E305" s="199" t="s">
        <v>12611</v>
      </c>
      <c r="I305" s="198">
        <v>5.04</v>
      </c>
      <c r="K305" s="198">
        <v>71378.62</v>
      </c>
    </row>
    <row r="306" spans="3:11" x14ac:dyDescent="0.2">
      <c r="C306" s="201" t="s">
        <v>12610</v>
      </c>
      <c r="D306" s="200">
        <v>44326</v>
      </c>
      <c r="E306" s="199" t="s">
        <v>12609</v>
      </c>
      <c r="I306" s="198">
        <v>5.04</v>
      </c>
      <c r="K306" s="198">
        <v>71383.66</v>
      </c>
    </row>
    <row r="307" spans="3:11" x14ac:dyDescent="0.2">
      <c r="C307" s="201" t="s">
        <v>12608</v>
      </c>
      <c r="D307" s="200">
        <v>44326</v>
      </c>
      <c r="E307" s="199" t="s">
        <v>12607</v>
      </c>
      <c r="I307" s="198">
        <v>12.71</v>
      </c>
      <c r="K307" s="198">
        <v>71396.37</v>
      </c>
    </row>
    <row r="308" spans="3:11" x14ac:dyDescent="0.2">
      <c r="C308" s="201" t="s">
        <v>12606</v>
      </c>
      <c r="D308" s="200">
        <v>44326</v>
      </c>
      <c r="E308" s="199" t="s">
        <v>12605</v>
      </c>
      <c r="I308" s="198">
        <v>15.79</v>
      </c>
      <c r="K308" s="198">
        <v>71412.160000000003</v>
      </c>
    </row>
    <row r="309" spans="3:11" x14ac:dyDescent="0.2">
      <c r="C309" s="201" t="s">
        <v>12604</v>
      </c>
      <c r="D309" s="200">
        <v>44326</v>
      </c>
      <c r="E309" s="199" t="s">
        <v>12603</v>
      </c>
      <c r="I309" s="198">
        <v>0.66</v>
      </c>
      <c r="K309" s="198">
        <v>71412.820000000007</v>
      </c>
    </row>
    <row r="310" spans="3:11" x14ac:dyDescent="0.2">
      <c r="C310" s="201" t="s">
        <v>12602</v>
      </c>
      <c r="D310" s="200">
        <v>44326</v>
      </c>
      <c r="E310" s="199" t="s">
        <v>12601</v>
      </c>
      <c r="I310" s="198">
        <v>5.79</v>
      </c>
      <c r="K310" s="198">
        <v>71418.61</v>
      </c>
    </row>
    <row r="311" spans="3:11" x14ac:dyDescent="0.2">
      <c r="C311" s="201" t="s">
        <v>12600</v>
      </c>
      <c r="D311" s="200">
        <v>44326</v>
      </c>
      <c r="E311" s="199" t="s">
        <v>12599</v>
      </c>
      <c r="I311" s="198">
        <v>1.89</v>
      </c>
      <c r="K311" s="198">
        <v>71420.5</v>
      </c>
    </row>
    <row r="312" spans="3:11" x14ac:dyDescent="0.2">
      <c r="C312" s="201" t="s">
        <v>12598</v>
      </c>
      <c r="D312" s="200">
        <v>44326</v>
      </c>
      <c r="E312" s="199" t="s">
        <v>12597</v>
      </c>
      <c r="I312" s="198">
        <v>23.11</v>
      </c>
      <c r="K312" s="198">
        <v>71443.61</v>
      </c>
    </row>
    <row r="313" spans="3:11" x14ac:dyDescent="0.2">
      <c r="C313" s="201" t="s">
        <v>12596</v>
      </c>
      <c r="D313" s="200">
        <v>44326</v>
      </c>
      <c r="E313" s="199" t="s">
        <v>12595</v>
      </c>
      <c r="I313" s="198">
        <v>25.84</v>
      </c>
      <c r="K313" s="198">
        <v>71469.45</v>
      </c>
    </row>
    <row r="314" spans="3:11" x14ac:dyDescent="0.2">
      <c r="C314" s="201" t="s">
        <v>12594</v>
      </c>
      <c r="D314" s="200">
        <v>44326</v>
      </c>
      <c r="E314" s="199" t="s">
        <v>12593</v>
      </c>
      <c r="I314" s="198">
        <v>15.63</v>
      </c>
      <c r="K314" s="198">
        <v>71485.08</v>
      </c>
    </row>
    <row r="315" spans="3:11" x14ac:dyDescent="0.2">
      <c r="C315" s="201" t="s">
        <v>12592</v>
      </c>
      <c r="D315" s="200">
        <v>44326</v>
      </c>
      <c r="E315" s="199" t="s">
        <v>12591</v>
      </c>
      <c r="I315" s="198">
        <v>34.25</v>
      </c>
      <c r="K315" s="198">
        <v>71519.33</v>
      </c>
    </row>
    <row r="316" spans="3:11" x14ac:dyDescent="0.2">
      <c r="C316" s="201" t="s">
        <v>12590</v>
      </c>
      <c r="D316" s="200">
        <v>44326</v>
      </c>
      <c r="E316" s="199" t="s">
        <v>12589</v>
      </c>
      <c r="I316" s="198">
        <v>2.02</v>
      </c>
      <c r="K316" s="198">
        <v>71521.350000000006</v>
      </c>
    </row>
    <row r="317" spans="3:11" x14ac:dyDescent="0.2">
      <c r="C317" s="201" t="s">
        <v>12588</v>
      </c>
      <c r="D317" s="200">
        <v>44326</v>
      </c>
      <c r="E317" s="199" t="s">
        <v>12587</v>
      </c>
      <c r="I317" s="198">
        <v>3.37</v>
      </c>
      <c r="K317" s="198">
        <v>71524.72</v>
      </c>
    </row>
    <row r="318" spans="3:11" x14ac:dyDescent="0.2">
      <c r="C318" s="201" t="s">
        <v>12586</v>
      </c>
      <c r="D318" s="200">
        <v>44326</v>
      </c>
      <c r="E318" s="199" t="s">
        <v>12585</v>
      </c>
      <c r="I318" s="198">
        <v>3.36</v>
      </c>
      <c r="K318" s="198">
        <v>71528.08</v>
      </c>
    </row>
    <row r="319" spans="3:11" x14ac:dyDescent="0.2">
      <c r="C319" s="201" t="s">
        <v>12584</v>
      </c>
      <c r="D319" s="200">
        <v>44326</v>
      </c>
      <c r="E319" s="199" t="s">
        <v>12583</v>
      </c>
      <c r="I319" s="198">
        <v>8.3800000000000008</v>
      </c>
      <c r="K319" s="198">
        <v>71536.460000000006</v>
      </c>
    </row>
    <row r="320" spans="3:11" x14ac:dyDescent="0.2">
      <c r="C320" s="201" t="s">
        <v>12582</v>
      </c>
      <c r="D320" s="200">
        <v>44326</v>
      </c>
      <c r="E320" s="199" t="s">
        <v>12581</v>
      </c>
      <c r="I320" s="198">
        <v>13.43</v>
      </c>
      <c r="K320" s="198">
        <v>71549.89</v>
      </c>
    </row>
    <row r="321" spans="3:11" x14ac:dyDescent="0.2">
      <c r="C321" s="201" t="s">
        <v>12580</v>
      </c>
      <c r="D321" s="200">
        <v>44326</v>
      </c>
      <c r="E321" s="199" t="s">
        <v>12579</v>
      </c>
      <c r="I321" s="198">
        <v>14.04</v>
      </c>
      <c r="K321" s="198">
        <v>71563.929999999993</v>
      </c>
    </row>
    <row r="322" spans="3:11" x14ac:dyDescent="0.2">
      <c r="C322" s="201" t="s">
        <v>12578</v>
      </c>
      <c r="D322" s="200">
        <v>44326</v>
      </c>
      <c r="E322" s="199" t="s">
        <v>12577</v>
      </c>
      <c r="I322" s="198">
        <v>2.86</v>
      </c>
      <c r="K322" s="198">
        <v>71566.789999999994</v>
      </c>
    </row>
    <row r="323" spans="3:11" x14ac:dyDescent="0.2">
      <c r="C323" s="201" t="s">
        <v>12576</v>
      </c>
      <c r="D323" s="200">
        <v>44327</v>
      </c>
      <c r="E323" s="199" t="s">
        <v>12575</v>
      </c>
      <c r="I323" s="198">
        <v>2.2999999999999998</v>
      </c>
      <c r="K323" s="198">
        <v>71569.09</v>
      </c>
    </row>
    <row r="324" spans="3:11" x14ac:dyDescent="0.2">
      <c r="C324" s="201" t="s">
        <v>12574</v>
      </c>
      <c r="D324" s="200">
        <v>44327</v>
      </c>
      <c r="E324" s="199" t="s">
        <v>12573</v>
      </c>
      <c r="I324" s="198">
        <v>4.78</v>
      </c>
      <c r="K324" s="198">
        <v>71573.87</v>
      </c>
    </row>
    <row r="325" spans="3:11" x14ac:dyDescent="0.2">
      <c r="C325" s="201" t="s">
        <v>12572</v>
      </c>
      <c r="D325" s="200">
        <v>44327</v>
      </c>
      <c r="E325" s="199" t="s">
        <v>12571</v>
      </c>
      <c r="I325" s="198">
        <v>2895.35</v>
      </c>
      <c r="K325" s="198">
        <v>74469.22</v>
      </c>
    </row>
    <row r="326" spans="3:11" x14ac:dyDescent="0.2">
      <c r="C326" s="201" t="s">
        <v>12570</v>
      </c>
      <c r="D326" s="200">
        <v>44327</v>
      </c>
      <c r="E326" s="199" t="s">
        <v>12569</v>
      </c>
      <c r="I326" s="198">
        <v>249.63</v>
      </c>
      <c r="K326" s="198">
        <v>74718.850000000006</v>
      </c>
    </row>
    <row r="327" spans="3:11" x14ac:dyDescent="0.2">
      <c r="C327" s="201" t="s">
        <v>12568</v>
      </c>
      <c r="D327" s="200">
        <v>44327.768530092595</v>
      </c>
      <c r="E327" s="199" t="s">
        <v>12567</v>
      </c>
      <c r="I327" s="198">
        <v>5.61</v>
      </c>
      <c r="K327" s="198">
        <v>74724.460000000006</v>
      </c>
    </row>
    <row r="328" spans="3:11" x14ac:dyDescent="0.2">
      <c r="C328" s="201" t="s">
        <v>12566</v>
      </c>
      <c r="D328" s="200">
        <v>44327.770127314812</v>
      </c>
      <c r="E328" s="199" t="s">
        <v>12565</v>
      </c>
      <c r="I328" s="198">
        <v>72.45</v>
      </c>
      <c r="K328" s="198">
        <v>74796.91</v>
      </c>
    </row>
    <row r="329" spans="3:11" x14ac:dyDescent="0.2">
      <c r="C329" s="201" t="s">
        <v>12564</v>
      </c>
      <c r="D329" s="200">
        <v>44327</v>
      </c>
      <c r="E329" s="199" t="s">
        <v>12563</v>
      </c>
      <c r="I329" s="198">
        <v>1.78</v>
      </c>
      <c r="K329" s="198">
        <v>74798.69</v>
      </c>
    </row>
    <row r="330" spans="3:11" x14ac:dyDescent="0.2">
      <c r="C330" s="201" t="s">
        <v>12562</v>
      </c>
      <c r="D330" s="200">
        <v>44327</v>
      </c>
      <c r="E330" s="199" t="s">
        <v>12561</v>
      </c>
      <c r="I330" s="198">
        <v>5.3</v>
      </c>
      <c r="K330" s="198">
        <v>74803.990000000005</v>
      </c>
    </row>
    <row r="331" spans="3:11" x14ac:dyDescent="0.2">
      <c r="C331" s="201" t="s">
        <v>12560</v>
      </c>
      <c r="D331" s="200">
        <v>44327</v>
      </c>
      <c r="E331" s="199" t="s">
        <v>12559</v>
      </c>
      <c r="I331" s="198">
        <v>5.09</v>
      </c>
      <c r="K331" s="198">
        <v>74809.08</v>
      </c>
    </row>
    <row r="332" spans="3:11" x14ac:dyDescent="0.2">
      <c r="C332" s="201" t="s">
        <v>12558</v>
      </c>
      <c r="D332" s="200">
        <v>44327</v>
      </c>
      <c r="E332" s="199" t="s">
        <v>12557</v>
      </c>
      <c r="I332" s="198">
        <v>3.81</v>
      </c>
      <c r="K332" s="198">
        <v>74812.89</v>
      </c>
    </row>
    <row r="333" spans="3:11" x14ac:dyDescent="0.2">
      <c r="C333" s="201" t="s">
        <v>12556</v>
      </c>
      <c r="D333" s="200">
        <v>44327</v>
      </c>
      <c r="E333" s="199" t="s">
        <v>12555</v>
      </c>
      <c r="I333" s="198">
        <v>5.68</v>
      </c>
      <c r="K333" s="198">
        <v>74818.570000000007</v>
      </c>
    </row>
    <row r="334" spans="3:11" x14ac:dyDescent="0.2">
      <c r="C334" s="201" t="s">
        <v>12554</v>
      </c>
      <c r="D334" s="200">
        <v>44327</v>
      </c>
      <c r="E334" s="199" t="s">
        <v>12553</v>
      </c>
      <c r="I334" s="198">
        <v>4.96</v>
      </c>
      <c r="K334" s="198">
        <v>74823.53</v>
      </c>
    </row>
    <row r="335" spans="3:11" x14ac:dyDescent="0.2">
      <c r="C335" s="201" t="s">
        <v>12552</v>
      </c>
      <c r="D335" s="200">
        <v>44327</v>
      </c>
      <c r="E335" s="199" t="s">
        <v>12551</v>
      </c>
      <c r="I335" s="198">
        <v>3.42</v>
      </c>
      <c r="K335" s="198">
        <v>74826.95</v>
      </c>
    </row>
    <row r="336" spans="3:11" x14ac:dyDescent="0.2">
      <c r="C336" s="201" t="s">
        <v>12550</v>
      </c>
      <c r="D336" s="200">
        <v>44327</v>
      </c>
      <c r="E336" s="199" t="s">
        <v>12549</v>
      </c>
      <c r="I336" s="198">
        <v>8.32</v>
      </c>
      <c r="K336" s="198">
        <v>74835.27</v>
      </c>
    </row>
    <row r="337" spans="3:11" x14ac:dyDescent="0.2">
      <c r="C337" s="201" t="s">
        <v>12548</v>
      </c>
      <c r="D337" s="200">
        <v>44327</v>
      </c>
      <c r="E337" s="199" t="s">
        <v>12547</v>
      </c>
      <c r="I337" s="198">
        <v>33.06</v>
      </c>
      <c r="K337" s="198">
        <v>74868.33</v>
      </c>
    </row>
    <row r="338" spans="3:11" x14ac:dyDescent="0.2">
      <c r="C338" s="201" t="s">
        <v>12546</v>
      </c>
      <c r="D338" s="200">
        <v>44327</v>
      </c>
      <c r="E338" s="199" t="s">
        <v>12545</v>
      </c>
      <c r="I338" s="198">
        <v>4.8099999999999996</v>
      </c>
      <c r="K338" s="198">
        <v>74873.14</v>
      </c>
    </row>
    <row r="339" spans="3:11" x14ac:dyDescent="0.2">
      <c r="C339" s="201" t="s">
        <v>12544</v>
      </c>
      <c r="D339" s="200">
        <v>44327</v>
      </c>
      <c r="E339" s="199" t="s">
        <v>12543</v>
      </c>
      <c r="I339" s="198">
        <v>10.01</v>
      </c>
      <c r="K339" s="198">
        <v>74883.149999999994</v>
      </c>
    </row>
    <row r="340" spans="3:11" x14ac:dyDescent="0.2">
      <c r="C340" s="201" t="s">
        <v>12542</v>
      </c>
      <c r="D340" s="200">
        <v>44327</v>
      </c>
      <c r="E340" s="199" t="s">
        <v>12541</v>
      </c>
      <c r="I340" s="198">
        <v>23.54</v>
      </c>
      <c r="K340" s="198">
        <v>74906.69</v>
      </c>
    </row>
    <row r="341" spans="3:11" x14ac:dyDescent="0.2">
      <c r="C341" s="201" t="s">
        <v>12540</v>
      </c>
      <c r="D341" s="200">
        <v>44327</v>
      </c>
      <c r="E341" s="199" t="s">
        <v>12539</v>
      </c>
      <c r="I341" s="198">
        <v>0.16</v>
      </c>
      <c r="K341" s="198">
        <v>74906.850000000006</v>
      </c>
    </row>
    <row r="342" spans="3:11" x14ac:dyDescent="0.2">
      <c r="C342" s="201" t="s">
        <v>12538</v>
      </c>
      <c r="D342" s="200">
        <v>44327</v>
      </c>
      <c r="E342" s="199" t="s">
        <v>12537</v>
      </c>
      <c r="I342" s="198">
        <v>17.96</v>
      </c>
      <c r="K342" s="198">
        <v>74924.81</v>
      </c>
    </row>
    <row r="343" spans="3:11" x14ac:dyDescent="0.2">
      <c r="C343" s="201" t="s">
        <v>12536</v>
      </c>
      <c r="D343" s="200">
        <v>44327</v>
      </c>
      <c r="E343" s="199" t="s">
        <v>12535</v>
      </c>
      <c r="I343" s="198">
        <v>4.0199999999999996</v>
      </c>
      <c r="K343" s="198">
        <v>74928.83</v>
      </c>
    </row>
    <row r="344" spans="3:11" x14ac:dyDescent="0.2">
      <c r="C344" s="201" t="s">
        <v>12534</v>
      </c>
      <c r="D344" s="200">
        <v>44327</v>
      </c>
      <c r="E344" s="199" t="s">
        <v>12533</v>
      </c>
      <c r="I344" s="198">
        <v>18.54</v>
      </c>
      <c r="K344" s="198">
        <v>74947.37</v>
      </c>
    </row>
    <row r="345" spans="3:11" x14ac:dyDescent="0.2">
      <c r="C345" s="201" t="s">
        <v>12532</v>
      </c>
      <c r="D345" s="200">
        <v>44327</v>
      </c>
      <c r="E345" s="199" t="s">
        <v>12531</v>
      </c>
      <c r="I345" s="198">
        <v>8.4700000000000006</v>
      </c>
      <c r="K345" s="198">
        <v>74955.839999999997</v>
      </c>
    </row>
    <row r="346" spans="3:11" x14ac:dyDescent="0.2">
      <c r="C346" s="201" t="s">
        <v>12530</v>
      </c>
      <c r="D346" s="200">
        <v>44327</v>
      </c>
      <c r="E346" s="199" t="s">
        <v>12529</v>
      </c>
      <c r="I346" s="198">
        <v>23.73</v>
      </c>
      <c r="K346" s="198">
        <v>74979.570000000007</v>
      </c>
    </row>
    <row r="347" spans="3:11" x14ac:dyDescent="0.2">
      <c r="C347" s="201" t="s">
        <v>12528</v>
      </c>
      <c r="D347" s="200">
        <v>44327</v>
      </c>
      <c r="E347" s="199" t="s">
        <v>12527</v>
      </c>
      <c r="I347" s="198">
        <v>1.93</v>
      </c>
      <c r="K347" s="198">
        <v>74981.5</v>
      </c>
    </row>
    <row r="348" spans="3:11" x14ac:dyDescent="0.2">
      <c r="C348" s="201" t="s">
        <v>12526</v>
      </c>
      <c r="D348" s="200">
        <v>44327</v>
      </c>
      <c r="E348" s="199" t="s">
        <v>12525</v>
      </c>
      <c r="I348" s="198">
        <v>1.84</v>
      </c>
      <c r="K348" s="198">
        <v>74983.34</v>
      </c>
    </row>
    <row r="349" spans="3:11" x14ac:dyDescent="0.2">
      <c r="C349" s="201" t="s">
        <v>12524</v>
      </c>
      <c r="D349" s="200">
        <v>44327</v>
      </c>
      <c r="E349" s="199" t="s">
        <v>12523</v>
      </c>
      <c r="I349" s="198">
        <v>3.36</v>
      </c>
      <c r="K349" s="198">
        <v>74986.7</v>
      </c>
    </row>
    <row r="350" spans="3:11" x14ac:dyDescent="0.2">
      <c r="C350" s="201" t="s">
        <v>12522</v>
      </c>
      <c r="D350" s="200">
        <v>44327</v>
      </c>
      <c r="E350" s="199" t="s">
        <v>12521</v>
      </c>
      <c r="I350" s="198">
        <v>5.39</v>
      </c>
      <c r="K350" s="198">
        <v>74992.09</v>
      </c>
    </row>
    <row r="351" spans="3:11" x14ac:dyDescent="0.2">
      <c r="C351" s="201" t="s">
        <v>12520</v>
      </c>
      <c r="D351" s="200">
        <v>44327</v>
      </c>
      <c r="E351" s="199" t="s">
        <v>12519</v>
      </c>
      <c r="I351" s="198">
        <v>3.34</v>
      </c>
      <c r="K351" s="198">
        <v>74995.429999999993</v>
      </c>
    </row>
    <row r="352" spans="3:11" x14ac:dyDescent="0.2">
      <c r="C352" s="201" t="s">
        <v>12518</v>
      </c>
      <c r="D352" s="200">
        <v>44327</v>
      </c>
      <c r="E352" s="199" t="s">
        <v>12517</v>
      </c>
      <c r="I352" s="198">
        <v>1.94</v>
      </c>
      <c r="K352" s="198">
        <v>74997.37</v>
      </c>
    </row>
    <row r="353" spans="3:11" x14ac:dyDescent="0.2">
      <c r="C353" s="201" t="s">
        <v>12516</v>
      </c>
      <c r="D353" s="200">
        <v>44327</v>
      </c>
      <c r="E353" s="199" t="s">
        <v>12515</v>
      </c>
      <c r="I353" s="198">
        <v>12.34</v>
      </c>
      <c r="K353" s="198">
        <v>75009.710000000006</v>
      </c>
    </row>
    <row r="354" spans="3:11" x14ac:dyDescent="0.2">
      <c r="C354" s="201" t="s">
        <v>12514</v>
      </c>
      <c r="D354" s="200">
        <v>44327</v>
      </c>
      <c r="E354" s="199" t="s">
        <v>12513</v>
      </c>
      <c r="I354" s="198">
        <v>2.56</v>
      </c>
      <c r="K354" s="198">
        <v>75012.27</v>
      </c>
    </row>
    <row r="355" spans="3:11" x14ac:dyDescent="0.2">
      <c r="C355" s="201" t="s">
        <v>12512</v>
      </c>
      <c r="D355" s="200">
        <v>44327</v>
      </c>
      <c r="E355" s="199" t="s">
        <v>12511</v>
      </c>
      <c r="I355" s="198">
        <v>4.1900000000000004</v>
      </c>
      <c r="K355" s="198">
        <v>75016.460000000006</v>
      </c>
    </row>
    <row r="356" spans="3:11" x14ac:dyDescent="0.2">
      <c r="C356" s="201" t="s">
        <v>12510</v>
      </c>
      <c r="D356" s="200">
        <v>44327</v>
      </c>
      <c r="E356" s="199" t="s">
        <v>12509</v>
      </c>
      <c r="I356" s="198">
        <v>3.36</v>
      </c>
      <c r="K356" s="198">
        <v>75019.820000000007</v>
      </c>
    </row>
    <row r="357" spans="3:11" x14ac:dyDescent="0.2">
      <c r="C357" s="201" t="s">
        <v>12508</v>
      </c>
      <c r="D357" s="200">
        <v>44327</v>
      </c>
      <c r="E357" s="199" t="s">
        <v>12507</v>
      </c>
      <c r="I357" s="198">
        <v>2.54</v>
      </c>
      <c r="K357" s="198">
        <v>75022.36</v>
      </c>
    </row>
    <row r="358" spans="3:11" x14ac:dyDescent="0.2">
      <c r="C358" s="201" t="s">
        <v>12506</v>
      </c>
      <c r="D358" s="200">
        <v>44327</v>
      </c>
      <c r="E358" s="199" t="s">
        <v>12505</v>
      </c>
      <c r="I358" s="198">
        <v>3.46</v>
      </c>
      <c r="K358" s="198">
        <v>75025.820000000007</v>
      </c>
    </row>
    <row r="359" spans="3:11" x14ac:dyDescent="0.2">
      <c r="C359" s="201" t="s">
        <v>12504</v>
      </c>
      <c r="D359" s="200">
        <v>44327</v>
      </c>
      <c r="E359" s="199" t="s">
        <v>12503</v>
      </c>
      <c r="I359" s="198">
        <v>3.56</v>
      </c>
      <c r="K359" s="198">
        <v>75029.38</v>
      </c>
    </row>
    <row r="360" spans="3:11" x14ac:dyDescent="0.2">
      <c r="C360" s="201" t="s">
        <v>12502</v>
      </c>
      <c r="D360" s="200">
        <v>44327</v>
      </c>
      <c r="E360" s="199" t="s">
        <v>12501</v>
      </c>
      <c r="I360" s="198">
        <v>53.57</v>
      </c>
      <c r="K360" s="198">
        <v>75082.95</v>
      </c>
    </row>
    <row r="361" spans="3:11" x14ac:dyDescent="0.2">
      <c r="C361" s="201" t="s">
        <v>12500</v>
      </c>
      <c r="D361" s="200">
        <v>44327</v>
      </c>
      <c r="E361" s="199" t="s">
        <v>12499</v>
      </c>
      <c r="I361" s="198">
        <v>7.15</v>
      </c>
      <c r="K361" s="198">
        <v>75090.100000000006</v>
      </c>
    </row>
    <row r="362" spans="3:11" x14ac:dyDescent="0.2">
      <c r="C362" s="201" t="s">
        <v>12498</v>
      </c>
      <c r="D362" s="200">
        <v>44327</v>
      </c>
      <c r="E362" s="199" t="s">
        <v>12497</v>
      </c>
      <c r="I362" s="198">
        <v>11.38</v>
      </c>
      <c r="K362" s="198">
        <v>75101.48</v>
      </c>
    </row>
    <row r="363" spans="3:11" x14ac:dyDescent="0.2">
      <c r="C363" s="201" t="s">
        <v>12496</v>
      </c>
      <c r="D363" s="200">
        <v>44327</v>
      </c>
      <c r="E363" s="199" t="s">
        <v>12495</v>
      </c>
      <c r="I363" s="198">
        <v>4.26</v>
      </c>
      <c r="K363" s="198">
        <v>75105.740000000005</v>
      </c>
    </row>
    <row r="364" spans="3:11" x14ac:dyDescent="0.2">
      <c r="C364" s="201" t="s">
        <v>12494</v>
      </c>
      <c r="D364" s="200">
        <v>44327</v>
      </c>
      <c r="E364" s="199" t="s">
        <v>12493</v>
      </c>
      <c r="I364" s="198">
        <v>12.46</v>
      </c>
      <c r="K364" s="198">
        <v>75118.2</v>
      </c>
    </row>
    <row r="365" spans="3:11" x14ac:dyDescent="0.2">
      <c r="C365" s="201" t="s">
        <v>12492</v>
      </c>
      <c r="D365" s="200">
        <v>44327</v>
      </c>
      <c r="E365" s="199" t="s">
        <v>12491</v>
      </c>
      <c r="I365" s="198">
        <v>3</v>
      </c>
      <c r="K365" s="198">
        <v>75121.2</v>
      </c>
    </row>
    <row r="366" spans="3:11" x14ac:dyDescent="0.2">
      <c r="C366" s="201" t="s">
        <v>12490</v>
      </c>
      <c r="D366" s="200">
        <v>44327</v>
      </c>
      <c r="E366" s="199" t="s">
        <v>12489</v>
      </c>
      <c r="I366" s="198">
        <v>4.05</v>
      </c>
      <c r="K366" s="198">
        <v>75125.25</v>
      </c>
    </row>
    <row r="367" spans="3:11" x14ac:dyDescent="0.2">
      <c r="C367" s="201" t="s">
        <v>12488</v>
      </c>
      <c r="D367" s="200">
        <v>44327</v>
      </c>
      <c r="E367" s="199" t="s">
        <v>12487</v>
      </c>
      <c r="I367" s="198">
        <v>5.04</v>
      </c>
      <c r="K367" s="198">
        <v>75130.289999999994</v>
      </c>
    </row>
    <row r="368" spans="3:11" x14ac:dyDescent="0.2">
      <c r="C368" s="201" t="s">
        <v>12486</v>
      </c>
      <c r="D368" s="200">
        <v>44327</v>
      </c>
      <c r="E368" s="199" t="s">
        <v>12485</v>
      </c>
      <c r="I368" s="198">
        <v>6.08</v>
      </c>
      <c r="K368" s="198">
        <v>75136.37</v>
      </c>
    </row>
    <row r="369" spans="3:11" x14ac:dyDescent="0.2">
      <c r="C369" s="201" t="s">
        <v>12484</v>
      </c>
      <c r="D369" s="200">
        <v>44327</v>
      </c>
      <c r="E369" s="199" t="s">
        <v>12483</v>
      </c>
      <c r="I369" s="198">
        <v>39.5</v>
      </c>
      <c r="K369" s="198">
        <v>75175.87</v>
      </c>
    </row>
    <row r="370" spans="3:11" x14ac:dyDescent="0.2">
      <c r="C370" s="201" t="s">
        <v>12482</v>
      </c>
      <c r="D370" s="200">
        <v>44327</v>
      </c>
      <c r="E370" s="199" t="s">
        <v>12481</v>
      </c>
      <c r="I370" s="198">
        <v>5.04</v>
      </c>
      <c r="K370" s="198">
        <v>75180.91</v>
      </c>
    </row>
    <row r="371" spans="3:11" x14ac:dyDescent="0.2">
      <c r="C371" s="201" t="s">
        <v>12480</v>
      </c>
      <c r="D371" s="200">
        <v>44327</v>
      </c>
      <c r="E371" s="199" t="s">
        <v>12479</v>
      </c>
      <c r="I371" s="198">
        <v>3.88</v>
      </c>
      <c r="K371" s="198">
        <v>75184.789999999994</v>
      </c>
    </row>
    <row r="372" spans="3:11" x14ac:dyDescent="0.2">
      <c r="C372" s="201" t="s">
        <v>9635</v>
      </c>
      <c r="D372" s="200">
        <v>44327</v>
      </c>
      <c r="E372" s="199" t="s">
        <v>12478</v>
      </c>
      <c r="J372" s="222">
        <v>15.46</v>
      </c>
      <c r="K372" s="198">
        <v>75169.33</v>
      </c>
    </row>
    <row r="373" spans="3:11" x14ac:dyDescent="0.2">
      <c r="C373" s="201" t="s">
        <v>9528</v>
      </c>
      <c r="D373" s="200">
        <v>44327</v>
      </c>
      <c r="E373" s="199" t="s">
        <v>12477</v>
      </c>
      <c r="J373" s="222">
        <v>1174.8800000000001</v>
      </c>
      <c r="K373" s="198">
        <v>73994.45</v>
      </c>
    </row>
    <row r="374" spans="3:11" x14ac:dyDescent="0.2">
      <c r="C374" s="201" t="s">
        <v>6751</v>
      </c>
      <c r="D374" s="200">
        <v>44327</v>
      </c>
      <c r="E374" s="199" t="s">
        <v>12476</v>
      </c>
      <c r="J374" s="222">
        <v>12.27</v>
      </c>
      <c r="K374" s="198">
        <v>73982.179999999993</v>
      </c>
    </row>
    <row r="375" spans="3:11" x14ac:dyDescent="0.2">
      <c r="C375" s="201" t="s">
        <v>6749</v>
      </c>
      <c r="D375" s="200">
        <v>44327</v>
      </c>
      <c r="E375" s="199" t="s">
        <v>12475</v>
      </c>
      <c r="J375" s="222">
        <v>13.52</v>
      </c>
      <c r="K375" s="198">
        <v>73968.66</v>
      </c>
    </row>
    <row r="376" spans="3:11" x14ac:dyDescent="0.2">
      <c r="C376" s="201" t="s">
        <v>6600</v>
      </c>
      <c r="D376" s="200">
        <v>44327</v>
      </c>
      <c r="E376" s="199" t="s">
        <v>12474</v>
      </c>
      <c r="J376" s="222">
        <v>1704.78</v>
      </c>
      <c r="K376" s="198">
        <v>72263.88</v>
      </c>
    </row>
    <row r="377" spans="3:11" x14ac:dyDescent="0.2">
      <c r="C377" s="201" t="s">
        <v>6598</v>
      </c>
      <c r="D377" s="200">
        <v>44327</v>
      </c>
      <c r="E377" s="199" t="s">
        <v>12473</v>
      </c>
      <c r="J377" s="222">
        <v>21.9</v>
      </c>
      <c r="K377" s="198">
        <v>72241.98</v>
      </c>
    </row>
    <row r="378" spans="3:11" x14ac:dyDescent="0.2">
      <c r="C378" s="201" t="s">
        <v>1536</v>
      </c>
      <c r="D378" s="200">
        <v>44327</v>
      </c>
      <c r="E378" s="199" t="s">
        <v>12472</v>
      </c>
      <c r="J378" s="222">
        <v>571.01</v>
      </c>
      <c r="K378" s="198">
        <v>71670.97</v>
      </c>
    </row>
    <row r="379" spans="3:11" x14ac:dyDescent="0.2">
      <c r="C379" s="201" t="s">
        <v>1535</v>
      </c>
      <c r="D379" s="200">
        <v>44327</v>
      </c>
      <c r="E379" s="199" t="s">
        <v>12471</v>
      </c>
      <c r="J379" s="222">
        <v>307.98</v>
      </c>
      <c r="K379" s="198">
        <v>71362.990000000005</v>
      </c>
    </row>
    <row r="380" spans="3:11" x14ac:dyDescent="0.2">
      <c r="C380" s="201" t="s">
        <v>1534</v>
      </c>
      <c r="D380" s="200">
        <v>44327</v>
      </c>
      <c r="E380" s="199" t="s">
        <v>12470</v>
      </c>
      <c r="J380" s="222">
        <v>116.99</v>
      </c>
      <c r="K380" s="198">
        <v>71246</v>
      </c>
    </row>
    <row r="381" spans="3:11" x14ac:dyDescent="0.2">
      <c r="C381" s="201" t="s">
        <v>6819</v>
      </c>
      <c r="D381" s="200">
        <v>44327</v>
      </c>
      <c r="E381" s="199" t="s">
        <v>12469</v>
      </c>
      <c r="J381" s="222">
        <v>88</v>
      </c>
      <c r="K381" s="198">
        <v>71158</v>
      </c>
    </row>
    <row r="382" spans="3:11" x14ac:dyDescent="0.2">
      <c r="C382" s="201" t="s">
        <v>12468</v>
      </c>
      <c r="D382" s="200">
        <v>44328</v>
      </c>
      <c r="E382" s="199" t="s">
        <v>12467</v>
      </c>
      <c r="I382" s="198">
        <v>7.4</v>
      </c>
      <c r="K382" s="198">
        <v>71165.399999999994</v>
      </c>
    </row>
    <row r="383" spans="3:11" x14ac:dyDescent="0.2">
      <c r="C383" s="201" t="s">
        <v>12466</v>
      </c>
      <c r="D383" s="200">
        <v>44328</v>
      </c>
      <c r="E383" s="199" t="s">
        <v>12465</v>
      </c>
      <c r="I383" s="198">
        <v>5.04</v>
      </c>
      <c r="K383" s="198">
        <v>71170.44</v>
      </c>
    </row>
    <row r="384" spans="3:11" x14ac:dyDescent="0.2">
      <c r="C384" s="201" t="s">
        <v>12464</v>
      </c>
      <c r="D384" s="200">
        <v>44328</v>
      </c>
      <c r="E384" s="199" t="s">
        <v>12463</v>
      </c>
      <c r="I384" s="198">
        <v>3.43</v>
      </c>
      <c r="K384" s="198">
        <v>71173.87</v>
      </c>
    </row>
    <row r="385" spans="3:11" x14ac:dyDescent="0.2">
      <c r="C385" s="201" t="s">
        <v>12462</v>
      </c>
      <c r="D385" s="200">
        <v>44328</v>
      </c>
      <c r="E385" s="199" t="s">
        <v>12461</v>
      </c>
      <c r="I385" s="198">
        <v>3.1</v>
      </c>
      <c r="K385" s="198">
        <v>71176.97</v>
      </c>
    </row>
    <row r="386" spans="3:11" x14ac:dyDescent="0.2">
      <c r="C386" s="201" t="s">
        <v>12460</v>
      </c>
      <c r="D386" s="200">
        <v>44328</v>
      </c>
      <c r="E386" s="199" t="s">
        <v>12459</v>
      </c>
      <c r="I386" s="198">
        <v>2.16</v>
      </c>
      <c r="K386" s="198">
        <v>71179.13</v>
      </c>
    </row>
    <row r="387" spans="3:11" x14ac:dyDescent="0.2">
      <c r="C387" s="201" t="s">
        <v>12458</v>
      </c>
      <c r="D387" s="200">
        <v>44328</v>
      </c>
      <c r="E387" s="199" t="s">
        <v>12457</v>
      </c>
      <c r="I387" s="198">
        <v>3.95</v>
      </c>
      <c r="K387" s="198">
        <v>71183.08</v>
      </c>
    </row>
    <row r="388" spans="3:11" x14ac:dyDescent="0.2">
      <c r="C388" s="201" t="s">
        <v>12456</v>
      </c>
      <c r="D388" s="200">
        <v>44328</v>
      </c>
      <c r="E388" s="199" t="s">
        <v>12455</v>
      </c>
      <c r="I388" s="198">
        <v>7.41</v>
      </c>
      <c r="K388" s="198">
        <v>71190.490000000005</v>
      </c>
    </row>
    <row r="389" spans="3:11" x14ac:dyDescent="0.2">
      <c r="C389" s="201" t="s">
        <v>12454</v>
      </c>
      <c r="D389" s="200">
        <v>44328</v>
      </c>
      <c r="E389" s="199" t="s">
        <v>12453</v>
      </c>
      <c r="I389" s="198">
        <v>7</v>
      </c>
      <c r="K389" s="198">
        <v>71197.490000000005</v>
      </c>
    </row>
    <row r="390" spans="3:11" x14ac:dyDescent="0.2">
      <c r="C390" s="201" t="s">
        <v>12452</v>
      </c>
      <c r="D390" s="200">
        <v>44328</v>
      </c>
      <c r="E390" s="199" t="s">
        <v>12451</v>
      </c>
      <c r="I390" s="198">
        <v>7.77</v>
      </c>
      <c r="K390" s="198">
        <v>71205.259999999995</v>
      </c>
    </row>
    <row r="391" spans="3:11" x14ac:dyDescent="0.2">
      <c r="C391" s="201" t="s">
        <v>12450</v>
      </c>
      <c r="D391" s="200">
        <v>44328</v>
      </c>
      <c r="E391" s="199" t="s">
        <v>12449</v>
      </c>
      <c r="I391" s="198">
        <v>5.77</v>
      </c>
      <c r="K391" s="198">
        <v>71211.03</v>
      </c>
    </row>
    <row r="392" spans="3:11" x14ac:dyDescent="0.2">
      <c r="C392" s="201" t="s">
        <v>12448</v>
      </c>
      <c r="D392" s="200">
        <v>44328</v>
      </c>
      <c r="E392" s="199" t="s">
        <v>12447</v>
      </c>
      <c r="I392" s="198">
        <v>2.64</v>
      </c>
      <c r="K392" s="198">
        <v>71213.67</v>
      </c>
    </row>
    <row r="393" spans="3:11" x14ac:dyDescent="0.2">
      <c r="C393" s="201" t="s">
        <v>12446</v>
      </c>
      <c r="D393" s="200">
        <v>44328</v>
      </c>
      <c r="E393" s="199" t="s">
        <v>12445</v>
      </c>
      <c r="I393" s="198">
        <v>4.33</v>
      </c>
      <c r="K393" s="198">
        <v>71218</v>
      </c>
    </row>
    <row r="394" spans="3:11" x14ac:dyDescent="0.2">
      <c r="C394" s="201" t="s">
        <v>12444</v>
      </c>
      <c r="D394" s="200">
        <v>44328</v>
      </c>
      <c r="E394" s="199" t="s">
        <v>12443</v>
      </c>
      <c r="I394" s="198">
        <v>6.94</v>
      </c>
      <c r="K394" s="198">
        <v>71224.94</v>
      </c>
    </row>
    <row r="395" spans="3:11" x14ac:dyDescent="0.2">
      <c r="C395" s="201" t="s">
        <v>12442</v>
      </c>
      <c r="D395" s="200">
        <v>44328</v>
      </c>
      <c r="E395" s="199" t="s">
        <v>12441</v>
      </c>
      <c r="I395" s="198">
        <v>8.59</v>
      </c>
      <c r="K395" s="198">
        <v>71233.53</v>
      </c>
    </row>
    <row r="396" spans="3:11" x14ac:dyDescent="0.2">
      <c r="C396" s="201" t="s">
        <v>12440</v>
      </c>
      <c r="D396" s="200">
        <v>44328</v>
      </c>
      <c r="E396" s="199" t="s">
        <v>12439</v>
      </c>
      <c r="I396" s="198">
        <v>5.04</v>
      </c>
      <c r="K396" s="198">
        <v>71238.570000000007</v>
      </c>
    </row>
    <row r="397" spans="3:11" x14ac:dyDescent="0.2">
      <c r="C397" s="201" t="s">
        <v>12438</v>
      </c>
      <c r="D397" s="200">
        <v>44328</v>
      </c>
      <c r="E397" s="199" t="s">
        <v>12437</v>
      </c>
      <c r="I397" s="198">
        <v>5.84</v>
      </c>
      <c r="K397" s="198">
        <v>71244.41</v>
      </c>
    </row>
    <row r="398" spans="3:11" x14ac:dyDescent="0.2">
      <c r="C398" s="201" t="s">
        <v>12436</v>
      </c>
      <c r="D398" s="200">
        <v>44328</v>
      </c>
      <c r="E398" s="199" t="s">
        <v>12435</v>
      </c>
      <c r="I398" s="198">
        <v>12.26</v>
      </c>
      <c r="K398" s="198">
        <v>71256.67</v>
      </c>
    </row>
    <row r="399" spans="3:11" x14ac:dyDescent="0.2">
      <c r="C399" s="201" t="s">
        <v>12434</v>
      </c>
      <c r="D399" s="200">
        <v>44328</v>
      </c>
      <c r="E399" s="199" t="s">
        <v>12433</v>
      </c>
      <c r="I399" s="198">
        <v>4.38</v>
      </c>
      <c r="K399" s="198">
        <v>71261.05</v>
      </c>
    </row>
    <row r="400" spans="3:11" x14ac:dyDescent="0.2">
      <c r="C400" s="201" t="s">
        <v>12432</v>
      </c>
      <c r="D400" s="200">
        <v>44328</v>
      </c>
      <c r="E400" s="199" t="s">
        <v>12431</v>
      </c>
      <c r="I400" s="198">
        <v>6.33</v>
      </c>
      <c r="K400" s="198">
        <v>71267.38</v>
      </c>
    </row>
    <row r="401" spans="3:11" x14ac:dyDescent="0.2">
      <c r="C401" s="201" t="s">
        <v>12430</v>
      </c>
      <c r="D401" s="200">
        <v>44328</v>
      </c>
      <c r="E401" s="199" t="s">
        <v>12429</v>
      </c>
      <c r="I401" s="198">
        <v>23.51</v>
      </c>
      <c r="K401" s="198">
        <v>71290.89</v>
      </c>
    </row>
    <row r="402" spans="3:11" x14ac:dyDescent="0.2">
      <c r="C402" s="201" t="s">
        <v>12428</v>
      </c>
      <c r="D402" s="200">
        <v>44328</v>
      </c>
      <c r="E402" s="199" t="s">
        <v>12427</v>
      </c>
      <c r="I402" s="198">
        <v>6.34</v>
      </c>
      <c r="K402" s="198">
        <v>71297.23</v>
      </c>
    </row>
    <row r="403" spans="3:11" x14ac:dyDescent="0.2">
      <c r="C403" s="201" t="s">
        <v>12426</v>
      </c>
      <c r="D403" s="200">
        <v>44328</v>
      </c>
      <c r="E403" s="199" t="s">
        <v>12425</v>
      </c>
      <c r="I403" s="198">
        <v>2.08</v>
      </c>
      <c r="K403" s="198">
        <v>71299.31</v>
      </c>
    </row>
    <row r="404" spans="3:11" x14ac:dyDescent="0.2">
      <c r="C404" s="201" t="s">
        <v>12424</v>
      </c>
      <c r="D404" s="200">
        <v>44328</v>
      </c>
      <c r="E404" s="199" t="s">
        <v>12423</v>
      </c>
      <c r="I404" s="198">
        <v>15.3</v>
      </c>
      <c r="K404" s="198">
        <v>71314.61</v>
      </c>
    </row>
    <row r="405" spans="3:11" x14ac:dyDescent="0.2">
      <c r="C405" s="201" t="s">
        <v>12422</v>
      </c>
      <c r="D405" s="200">
        <v>44328</v>
      </c>
      <c r="E405" s="199" t="s">
        <v>12421</v>
      </c>
      <c r="I405" s="198">
        <v>95.43</v>
      </c>
      <c r="K405" s="198">
        <v>71410.039999999994</v>
      </c>
    </row>
    <row r="406" spans="3:11" x14ac:dyDescent="0.2">
      <c r="C406" s="201" t="s">
        <v>12420</v>
      </c>
      <c r="D406" s="200">
        <v>44328</v>
      </c>
      <c r="E406" s="199" t="s">
        <v>12419</v>
      </c>
      <c r="I406" s="198">
        <v>4.1900000000000004</v>
      </c>
      <c r="K406" s="198">
        <v>71414.23</v>
      </c>
    </row>
    <row r="407" spans="3:11" x14ac:dyDescent="0.2">
      <c r="C407" s="201" t="s">
        <v>12418</v>
      </c>
      <c r="D407" s="200">
        <v>44328</v>
      </c>
      <c r="E407" s="199" t="s">
        <v>12417</v>
      </c>
      <c r="I407" s="198">
        <v>1.68</v>
      </c>
      <c r="K407" s="198">
        <v>71415.91</v>
      </c>
    </row>
    <row r="408" spans="3:11" x14ac:dyDescent="0.2">
      <c r="C408" s="201" t="s">
        <v>12416</v>
      </c>
      <c r="D408" s="200">
        <v>44328</v>
      </c>
      <c r="E408" s="199" t="s">
        <v>12415</v>
      </c>
      <c r="I408" s="198">
        <v>5.48</v>
      </c>
      <c r="K408" s="198">
        <v>71421.39</v>
      </c>
    </row>
    <row r="409" spans="3:11" x14ac:dyDescent="0.2">
      <c r="C409" s="201" t="s">
        <v>12414</v>
      </c>
      <c r="D409" s="200">
        <v>44328</v>
      </c>
      <c r="E409" s="199" t="s">
        <v>12413</v>
      </c>
      <c r="I409" s="198">
        <v>4.3</v>
      </c>
      <c r="K409" s="198">
        <v>71425.69</v>
      </c>
    </row>
    <row r="410" spans="3:11" x14ac:dyDescent="0.2">
      <c r="C410" s="201" t="s">
        <v>12412</v>
      </c>
      <c r="D410" s="200">
        <v>44328</v>
      </c>
      <c r="E410" s="199" t="s">
        <v>12411</v>
      </c>
      <c r="I410" s="198">
        <v>0.75</v>
      </c>
      <c r="K410" s="198">
        <v>71426.44</v>
      </c>
    </row>
    <row r="411" spans="3:11" x14ac:dyDescent="0.2">
      <c r="C411" s="201" t="s">
        <v>12410</v>
      </c>
      <c r="D411" s="200">
        <v>44328</v>
      </c>
      <c r="E411" s="199" t="s">
        <v>12409</v>
      </c>
      <c r="I411" s="198">
        <v>0.65</v>
      </c>
      <c r="K411" s="198">
        <v>71427.09</v>
      </c>
    </row>
    <row r="412" spans="3:11" x14ac:dyDescent="0.2">
      <c r="C412" s="201" t="s">
        <v>1531</v>
      </c>
      <c r="D412" s="200">
        <v>44328</v>
      </c>
      <c r="E412" s="199" t="s">
        <v>12408</v>
      </c>
      <c r="J412" s="222">
        <v>665.76</v>
      </c>
      <c r="K412" s="198">
        <v>70761.33</v>
      </c>
    </row>
    <row r="413" spans="3:11" x14ac:dyDescent="0.2">
      <c r="C413" s="201" t="s">
        <v>12407</v>
      </c>
      <c r="D413" s="200">
        <v>44329</v>
      </c>
      <c r="E413" s="199" t="s">
        <v>12406</v>
      </c>
      <c r="I413" s="198">
        <v>4.5599999999999996</v>
      </c>
      <c r="K413" s="198">
        <v>70765.89</v>
      </c>
    </row>
    <row r="414" spans="3:11" x14ac:dyDescent="0.2">
      <c r="C414" s="201" t="s">
        <v>12405</v>
      </c>
      <c r="D414" s="200">
        <v>44329.581377314818</v>
      </c>
      <c r="E414" s="199" t="s">
        <v>12404</v>
      </c>
      <c r="I414" s="198">
        <v>1.08</v>
      </c>
      <c r="K414" s="198">
        <v>70766.97</v>
      </c>
    </row>
    <row r="415" spans="3:11" x14ac:dyDescent="0.2">
      <c r="C415" s="201" t="s">
        <v>12403</v>
      </c>
      <c r="D415" s="200">
        <v>44329</v>
      </c>
      <c r="E415" s="199" t="s">
        <v>12402</v>
      </c>
      <c r="I415" s="198">
        <v>16.760000000000002</v>
      </c>
      <c r="K415" s="198">
        <v>70783.73</v>
      </c>
    </row>
    <row r="416" spans="3:11" x14ac:dyDescent="0.2">
      <c r="C416" s="201" t="s">
        <v>12401</v>
      </c>
      <c r="D416" s="200">
        <v>44329</v>
      </c>
      <c r="E416" s="199" t="s">
        <v>12400</v>
      </c>
      <c r="I416" s="198">
        <v>5.0999999999999996</v>
      </c>
      <c r="K416" s="198">
        <v>70788.83</v>
      </c>
    </row>
    <row r="417" spans="3:11" x14ac:dyDescent="0.2">
      <c r="C417" s="201" t="s">
        <v>12399</v>
      </c>
      <c r="D417" s="200">
        <v>44329</v>
      </c>
      <c r="E417" s="199" t="s">
        <v>12398</v>
      </c>
      <c r="I417" s="198">
        <v>8.3800000000000008</v>
      </c>
      <c r="K417" s="198">
        <v>70797.210000000006</v>
      </c>
    </row>
    <row r="418" spans="3:11" x14ac:dyDescent="0.2">
      <c r="C418" s="201" t="s">
        <v>12397</v>
      </c>
      <c r="D418" s="200">
        <v>44329</v>
      </c>
      <c r="E418" s="199" t="s">
        <v>12396</v>
      </c>
      <c r="I418" s="198">
        <v>1.68</v>
      </c>
      <c r="K418" s="198">
        <v>70798.89</v>
      </c>
    </row>
    <row r="419" spans="3:11" x14ac:dyDescent="0.2">
      <c r="C419" s="201" t="s">
        <v>12395</v>
      </c>
      <c r="D419" s="200">
        <v>44329</v>
      </c>
      <c r="E419" s="199" t="s">
        <v>12394</v>
      </c>
      <c r="I419" s="198">
        <v>2.5099999999999998</v>
      </c>
      <c r="K419" s="198">
        <v>70801.399999999994</v>
      </c>
    </row>
    <row r="420" spans="3:11" x14ac:dyDescent="0.2">
      <c r="C420" s="201" t="s">
        <v>12393</v>
      </c>
      <c r="D420" s="200">
        <v>44329</v>
      </c>
      <c r="E420" s="199" t="s">
        <v>12392</v>
      </c>
      <c r="I420" s="198">
        <v>2.48</v>
      </c>
      <c r="K420" s="198">
        <v>70803.88</v>
      </c>
    </row>
    <row r="421" spans="3:11" x14ac:dyDescent="0.2">
      <c r="C421" s="201" t="s">
        <v>12391</v>
      </c>
      <c r="D421" s="200">
        <v>44329</v>
      </c>
      <c r="E421" s="199" t="s">
        <v>12390</v>
      </c>
      <c r="I421" s="198">
        <v>3.57</v>
      </c>
      <c r="K421" s="198">
        <v>70807.45</v>
      </c>
    </row>
    <row r="422" spans="3:11" x14ac:dyDescent="0.2">
      <c r="C422" s="201" t="s">
        <v>12389</v>
      </c>
      <c r="D422" s="200">
        <v>44329</v>
      </c>
      <c r="E422" s="199" t="s">
        <v>12388</v>
      </c>
      <c r="I422" s="198">
        <v>9.89</v>
      </c>
      <c r="K422" s="198">
        <v>70817.34</v>
      </c>
    </row>
    <row r="423" spans="3:11" x14ac:dyDescent="0.2">
      <c r="C423" s="201" t="s">
        <v>12387</v>
      </c>
      <c r="D423" s="200">
        <v>44329</v>
      </c>
      <c r="E423" s="199" t="s">
        <v>12386</v>
      </c>
      <c r="I423" s="198">
        <v>16.11</v>
      </c>
      <c r="K423" s="198">
        <v>70833.45</v>
      </c>
    </row>
    <row r="424" spans="3:11" x14ac:dyDescent="0.2">
      <c r="C424" s="201" t="s">
        <v>12385</v>
      </c>
      <c r="D424" s="200">
        <v>44329</v>
      </c>
      <c r="E424" s="199" t="s">
        <v>12384</v>
      </c>
      <c r="I424" s="198">
        <v>0.6</v>
      </c>
      <c r="K424" s="198">
        <v>70834.05</v>
      </c>
    </row>
    <row r="425" spans="3:11" x14ac:dyDescent="0.2">
      <c r="C425" s="201" t="s">
        <v>12383</v>
      </c>
      <c r="D425" s="200">
        <v>44329</v>
      </c>
      <c r="E425" s="199" t="s">
        <v>12382</v>
      </c>
      <c r="I425" s="198">
        <v>3.59</v>
      </c>
      <c r="K425" s="198">
        <v>70837.64</v>
      </c>
    </row>
    <row r="426" spans="3:11" x14ac:dyDescent="0.2">
      <c r="C426" s="201" t="s">
        <v>12381</v>
      </c>
      <c r="D426" s="200">
        <v>44329</v>
      </c>
      <c r="E426" s="199" t="s">
        <v>12380</v>
      </c>
      <c r="I426" s="198">
        <v>8.44</v>
      </c>
      <c r="K426" s="198">
        <v>70846.080000000002</v>
      </c>
    </row>
    <row r="427" spans="3:11" x14ac:dyDescent="0.2">
      <c r="C427" s="201" t="s">
        <v>12379</v>
      </c>
      <c r="D427" s="200">
        <v>44329</v>
      </c>
      <c r="E427" s="199" t="s">
        <v>12378</v>
      </c>
      <c r="I427" s="198">
        <v>6.1</v>
      </c>
      <c r="K427" s="198">
        <v>70852.179999999993</v>
      </c>
    </row>
    <row r="428" spans="3:11" x14ac:dyDescent="0.2">
      <c r="C428" s="201" t="s">
        <v>12377</v>
      </c>
      <c r="D428" s="200">
        <v>44329</v>
      </c>
      <c r="E428" s="199" t="s">
        <v>12376</v>
      </c>
      <c r="I428" s="198">
        <v>1.68</v>
      </c>
      <c r="K428" s="198">
        <v>70853.86</v>
      </c>
    </row>
    <row r="429" spans="3:11" x14ac:dyDescent="0.2">
      <c r="C429" s="201" t="s">
        <v>12375</v>
      </c>
      <c r="D429" s="200">
        <v>44329</v>
      </c>
      <c r="E429" s="199" t="s">
        <v>12374</v>
      </c>
      <c r="I429" s="198">
        <v>8.3800000000000008</v>
      </c>
      <c r="K429" s="198">
        <v>70862.240000000005</v>
      </c>
    </row>
    <row r="430" spans="3:11" x14ac:dyDescent="0.2">
      <c r="C430" s="201" t="s">
        <v>12373</v>
      </c>
      <c r="D430" s="200">
        <v>44329</v>
      </c>
      <c r="E430" s="199" t="s">
        <v>12372</v>
      </c>
      <c r="I430" s="198">
        <v>2.54</v>
      </c>
      <c r="K430" s="198">
        <v>70864.78</v>
      </c>
    </row>
    <row r="431" spans="3:11" x14ac:dyDescent="0.2">
      <c r="C431" s="201" t="s">
        <v>12371</v>
      </c>
      <c r="D431" s="200">
        <v>44329</v>
      </c>
      <c r="E431" s="199" t="s">
        <v>12370</v>
      </c>
      <c r="I431" s="198">
        <v>3.6</v>
      </c>
      <c r="K431" s="198">
        <v>70868.38</v>
      </c>
    </row>
    <row r="432" spans="3:11" x14ac:dyDescent="0.2">
      <c r="C432" s="201" t="s">
        <v>12369</v>
      </c>
      <c r="D432" s="200">
        <v>44329</v>
      </c>
      <c r="E432" s="199" t="s">
        <v>12368</v>
      </c>
      <c r="I432" s="198">
        <v>6.53</v>
      </c>
      <c r="K432" s="198">
        <v>70874.91</v>
      </c>
    </row>
    <row r="433" spans="3:11" x14ac:dyDescent="0.2">
      <c r="C433" s="201" t="s">
        <v>12367</v>
      </c>
      <c r="D433" s="200">
        <v>44330</v>
      </c>
      <c r="E433" s="199" t="s">
        <v>12366</v>
      </c>
      <c r="I433" s="198">
        <v>6.78</v>
      </c>
      <c r="K433" s="198">
        <v>70881.69</v>
      </c>
    </row>
    <row r="434" spans="3:11" x14ac:dyDescent="0.2">
      <c r="C434" s="201" t="s">
        <v>12365</v>
      </c>
      <c r="D434" s="200">
        <v>44330</v>
      </c>
      <c r="E434" s="199" t="s">
        <v>12364</v>
      </c>
      <c r="I434" s="198">
        <v>15.3</v>
      </c>
      <c r="K434" s="198">
        <v>70896.990000000005</v>
      </c>
    </row>
    <row r="435" spans="3:11" x14ac:dyDescent="0.2">
      <c r="C435" s="201" t="s">
        <v>12363</v>
      </c>
      <c r="D435" s="200">
        <v>44330</v>
      </c>
      <c r="E435" s="199" t="s">
        <v>12362</v>
      </c>
      <c r="I435" s="198">
        <v>0.25</v>
      </c>
      <c r="K435" s="198">
        <v>70897.240000000005</v>
      </c>
    </row>
    <row r="436" spans="3:11" x14ac:dyDescent="0.2">
      <c r="C436" s="201" t="s">
        <v>12361</v>
      </c>
      <c r="D436" s="200">
        <v>44330</v>
      </c>
      <c r="E436" s="199" t="s">
        <v>12360</v>
      </c>
      <c r="I436" s="198">
        <v>3.37</v>
      </c>
      <c r="K436" s="198">
        <v>70900.61</v>
      </c>
    </row>
    <row r="437" spans="3:11" x14ac:dyDescent="0.2">
      <c r="C437" s="201" t="s">
        <v>12359</v>
      </c>
      <c r="D437" s="200">
        <v>44330</v>
      </c>
      <c r="E437" s="199" t="s">
        <v>12358</v>
      </c>
      <c r="I437" s="198">
        <v>4.51</v>
      </c>
      <c r="K437" s="198">
        <v>70905.119999999995</v>
      </c>
    </row>
    <row r="438" spans="3:11" x14ac:dyDescent="0.2">
      <c r="C438" s="201" t="s">
        <v>12357</v>
      </c>
      <c r="D438" s="200">
        <v>44330</v>
      </c>
      <c r="E438" s="199" t="s">
        <v>12356</v>
      </c>
      <c r="I438" s="198">
        <v>20.37</v>
      </c>
      <c r="K438" s="198">
        <v>70925.490000000005</v>
      </c>
    </row>
    <row r="439" spans="3:11" x14ac:dyDescent="0.2">
      <c r="C439" s="201" t="s">
        <v>12355</v>
      </c>
      <c r="D439" s="200">
        <v>44330</v>
      </c>
      <c r="E439" s="199" t="s">
        <v>12354</v>
      </c>
      <c r="I439" s="198">
        <v>2.78</v>
      </c>
      <c r="K439" s="198">
        <v>70928.27</v>
      </c>
    </row>
    <row r="440" spans="3:11" x14ac:dyDescent="0.2">
      <c r="C440" s="201" t="s">
        <v>12353</v>
      </c>
      <c r="D440" s="200">
        <v>44330</v>
      </c>
      <c r="E440" s="199" t="s">
        <v>12352</v>
      </c>
      <c r="I440" s="198">
        <v>6.36</v>
      </c>
      <c r="K440" s="198">
        <v>70934.63</v>
      </c>
    </row>
    <row r="441" spans="3:11" x14ac:dyDescent="0.2">
      <c r="C441" s="201" t="s">
        <v>12351</v>
      </c>
      <c r="D441" s="200">
        <v>44330</v>
      </c>
      <c r="E441" s="199" t="s">
        <v>12350</v>
      </c>
      <c r="I441" s="198">
        <v>16.97</v>
      </c>
      <c r="K441" s="198">
        <v>70951.600000000006</v>
      </c>
    </row>
    <row r="442" spans="3:11" x14ac:dyDescent="0.2">
      <c r="C442" s="201" t="s">
        <v>12349</v>
      </c>
      <c r="D442" s="200">
        <v>44330</v>
      </c>
      <c r="E442" s="199" t="s">
        <v>12348</v>
      </c>
      <c r="I442" s="198">
        <v>5.21</v>
      </c>
      <c r="K442" s="198">
        <v>70956.81</v>
      </c>
    </row>
    <row r="443" spans="3:11" x14ac:dyDescent="0.2">
      <c r="C443" s="201" t="s">
        <v>12347</v>
      </c>
      <c r="D443" s="200">
        <v>44330</v>
      </c>
      <c r="E443" s="199" t="s">
        <v>12346</v>
      </c>
      <c r="I443" s="198">
        <v>1.75</v>
      </c>
      <c r="K443" s="198">
        <v>70958.559999999998</v>
      </c>
    </row>
    <row r="444" spans="3:11" x14ac:dyDescent="0.2">
      <c r="C444" s="201" t="s">
        <v>12345</v>
      </c>
      <c r="D444" s="200">
        <v>44330</v>
      </c>
      <c r="E444" s="199" t="s">
        <v>12344</v>
      </c>
      <c r="I444" s="198">
        <v>6.69</v>
      </c>
      <c r="K444" s="198">
        <v>70965.25</v>
      </c>
    </row>
    <row r="445" spans="3:11" x14ac:dyDescent="0.2">
      <c r="C445" s="201" t="s">
        <v>12343</v>
      </c>
      <c r="D445" s="200">
        <v>44330</v>
      </c>
      <c r="E445" s="199" t="s">
        <v>12342</v>
      </c>
      <c r="I445" s="198">
        <v>14.87</v>
      </c>
      <c r="K445" s="198">
        <v>70980.12</v>
      </c>
    </row>
    <row r="446" spans="3:11" x14ac:dyDescent="0.2">
      <c r="C446" s="201" t="s">
        <v>12341</v>
      </c>
      <c r="D446" s="200">
        <v>44330</v>
      </c>
      <c r="E446" s="199" t="s">
        <v>12340</v>
      </c>
      <c r="I446" s="198">
        <v>6.42</v>
      </c>
      <c r="K446" s="198">
        <v>70986.539999999994</v>
      </c>
    </row>
    <row r="447" spans="3:11" x14ac:dyDescent="0.2">
      <c r="C447" s="201" t="s">
        <v>12339</v>
      </c>
      <c r="D447" s="200">
        <v>44330</v>
      </c>
      <c r="E447" s="199" t="s">
        <v>12338</v>
      </c>
      <c r="I447" s="198">
        <v>2.2200000000000002</v>
      </c>
      <c r="K447" s="198">
        <v>70988.759999999995</v>
      </c>
    </row>
    <row r="448" spans="3:11" x14ac:dyDescent="0.2">
      <c r="C448" s="201" t="s">
        <v>12337</v>
      </c>
      <c r="D448" s="200">
        <v>44330</v>
      </c>
      <c r="E448" s="199" t="s">
        <v>12336</v>
      </c>
      <c r="I448" s="198">
        <v>7.52</v>
      </c>
      <c r="K448" s="198">
        <v>70996.28</v>
      </c>
    </row>
    <row r="449" spans="3:11" x14ac:dyDescent="0.2">
      <c r="C449" s="201" t="s">
        <v>12335</v>
      </c>
      <c r="D449" s="200">
        <v>44330</v>
      </c>
      <c r="E449" s="199" t="s">
        <v>12334</v>
      </c>
      <c r="I449" s="198">
        <v>65.23</v>
      </c>
      <c r="K449" s="198">
        <v>71061.509999999995</v>
      </c>
    </row>
    <row r="450" spans="3:11" x14ac:dyDescent="0.2">
      <c r="C450" s="201" t="s">
        <v>1544</v>
      </c>
      <c r="D450" s="200">
        <v>44330</v>
      </c>
      <c r="E450" s="199" t="s">
        <v>12333</v>
      </c>
      <c r="J450" s="222">
        <v>16.23</v>
      </c>
      <c r="K450" s="198">
        <v>71045.279999999999</v>
      </c>
    </row>
    <row r="451" spans="3:11" x14ac:dyDescent="0.2">
      <c r="C451" s="201" t="s">
        <v>6746</v>
      </c>
      <c r="D451" s="200">
        <v>44330</v>
      </c>
      <c r="E451" s="199" t="s">
        <v>12332</v>
      </c>
      <c r="J451" s="222">
        <v>11.7</v>
      </c>
      <c r="K451" s="198">
        <v>71033.58</v>
      </c>
    </row>
    <row r="452" spans="3:11" x14ac:dyDescent="0.2">
      <c r="C452" s="201" t="s">
        <v>6744</v>
      </c>
      <c r="D452" s="200">
        <v>44330</v>
      </c>
      <c r="E452" s="199" t="s">
        <v>12331</v>
      </c>
      <c r="J452" s="222">
        <v>10.76</v>
      </c>
      <c r="K452" s="198">
        <v>71022.820000000007</v>
      </c>
    </row>
    <row r="453" spans="3:11" x14ac:dyDescent="0.2">
      <c r="C453" s="201" t="s">
        <v>12330</v>
      </c>
      <c r="D453" s="200">
        <v>44330</v>
      </c>
      <c r="E453" s="199" t="s">
        <v>12329</v>
      </c>
      <c r="J453" s="222">
        <v>16.07</v>
      </c>
      <c r="K453" s="198">
        <v>71006.75</v>
      </c>
    </row>
    <row r="454" spans="3:11" x14ac:dyDescent="0.2">
      <c r="C454" s="201" t="s">
        <v>8127</v>
      </c>
      <c r="D454" s="200">
        <v>44330</v>
      </c>
      <c r="E454" s="199" t="s">
        <v>12328</v>
      </c>
      <c r="J454" s="222">
        <v>9.6199999999999992</v>
      </c>
      <c r="K454" s="198">
        <v>70997.13</v>
      </c>
    </row>
    <row r="455" spans="3:11" x14ac:dyDescent="0.2">
      <c r="C455" s="201" t="s">
        <v>8362</v>
      </c>
      <c r="D455" s="200">
        <v>44330</v>
      </c>
      <c r="E455" s="199" t="s">
        <v>12327</v>
      </c>
      <c r="J455" s="222">
        <v>119.19</v>
      </c>
      <c r="K455" s="198">
        <v>70877.94</v>
      </c>
    </row>
    <row r="456" spans="3:11" x14ac:dyDescent="0.2">
      <c r="C456" s="201" t="s">
        <v>1549</v>
      </c>
      <c r="D456" s="200">
        <v>44330</v>
      </c>
      <c r="E456" s="199" t="s">
        <v>12326</v>
      </c>
      <c r="J456" s="222">
        <v>2800</v>
      </c>
      <c r="K456" s="198">
        <v>68077.94</v>
      </c>
    </row>
    <row r="457" spans="3:11" x14ac:dyDescent="0.2">
      <c r="C457" s="201" t="s">
        <v>1551</v>
      </c>
      <c r="D457" s="200">
        <v>44330</v>
      </c>
      <c r="E457" s="199" t="s">
        <v>12325</v>
      </c>
      <c r="J457" s="222">
        <v>1800</v>
      </c>
      <c r="K457" s="198">
        <v>66277.94</v>
      </c>
    </row>
    <row r="458" spans="3:11" x14ac:dyDescent="0.2">
      <c r="C458" s="201" t="s">
        <v>12324</v>
      </c>
      <c r="D458" s="200">
        <v>44331</v>
      </c>
      <c r="E458" s="199" t="s">
        <v>12323</v>
      </c>
      <c r="I458" s="198">
        <v>2.2999999999999998</v>
      </c>
      <c r="K458" s="198">
        <v>66280.240000000005</v>
      </c>
    </row>
    <row r="459" spans="3:11" x14ac:dyDescent="0.2">
      <c r="C459" s="201" t="s">
        <v>12322</v>
      </c>
      <c r="D459" s="200">
        <v>44332.664618055554</v>
      </c>
      <c r="E459" s="199" t="s">
        <v>12321</v>
      </c>
      <c r="I459" s="198">
        <v>2.21</v>
      </c>
      <c r="K459" s="198">
        <v>66282.45</v>
      </c>
    </row>
    <row r="460" spans="3:11" x14ac:dyDescent="0.2">
      <c r="C460" s="201" t="s">
        <v>12320</v>
      </c>
      <c r="D460" s="200">
        <v>44332.665659722225</v>
      </c>
      <c r="E460" s="199" t="s">
        <v>12319</v>
      </c>
      <c r="I460" s="198">
        <v>6.91</v>
      </c>
      <c r="K460" s="198">
        <v>66289.36</v>
      </c>
    </row>
    <row r="461" spans="3:11" x14ac:dyDescent="0.2">
      <c r="C461" s="201" t="s">
        <v>12318</v>
      </c>
      <c r="D461" s="200">
        <v>44332.666273148148</v>
      </c>
      <c r="E461" s="199" t="s">
        <v>12317</v>
      </c>
      <c r="I461" s="198">
        <v>4.45</v>
      </c>
      <c r="K461" s="198">
        <v>66293.81</v>
      </c>
    </row>
    <row r="462" spans="3:11" x14ac:dyDescent="0.2">
      <c r="C462" s="201" t="s">
        <v>12316</v>
      </c>
      <c r="D462" s="200">
        <v>44332.668935185182</v>
      </c>
      <c r="E462" s="199" t="s">
        <v>12315</v>
      </c>
      <c r="I462" s="198">
        <v>32.130000000000003</v>
      </c>
      <c r="K462" s="198">
        <v>66325.94</v>
      </c>
    </row>
    <row r="463" spans="3:11" x14ac:dyDescent="0.2">
      <c r="C463" s="201" t="s">
        <v>12314</v>
      </c>
      <c r="D463" s="200">
        <v>44332.669652777775</v>
      </c>
      <c r="E463" s="199" t="s">
        <v>12313</v>
      </c>
      <c r="I463" s="198">
        <v>1.8</v>
      </c>
      <c r="K463" s="198">
        <v>66327.740000000005</v>
      </c>
    </row>
    <row r="464" spans="3:11" x14ac:dyDescent="0.2">
      <c r="C464" s="201" t="s">
        <v>12312</v>
      </c>
      <c r="D464" s="200">
        <v>44332.670300925929</v>
      </c>
      <c r="E464" s="199" t="s">
        <v>12311</v>
      </c>
      <c r="I464" s="198">
        <v>4.72</v>
      </c>
      <c r="K464" s="198">
        <v>66332.460000000006</v>
      </c>
    </row>
    <row r="465" spans="3:11" x14ac:dyDescent="0.2">
      <c r="C465" s="201" t="s">
        <v>12310</v>
      </c>
      <c r="D465" s="200">
        <v>44332.670798611114</v>
      </c>
      <c r="E465" s="199" t="s">
        <v>12309</v>
      </c>
      <c r="I465" s="198">
        <v>1.85</v>
      </c>
      <c r="K465" s="198">
        <v>66334.31</v>
      </c>
    </row>
    <row r="466" spans="3:11" x14ac:dyDescent="0.2">
      <c r="C466" s="201" t="s">
        <v>12308</v>
      </c>
      <c r="D466" s="200">
        <v>44332</v>
      </c>
      <c r="E466" s="199" t="s">
        <v>12307</v>
      </c>
      <c r="J466" s="222">
        <v>1525.84</v>
      </c>
      <c r="K466" s="198">
        <v>64808.47</v>
      </c>
    </row>
    <row r="467" spans="3:11" x14ac:dyDescent="0.2">
      <c r="C467" s="201" t="s">
        <v>7481</v>
      </c>
      <c r="D467" s="200">
        <v>44332</v>
      </c>
      <c r="E467" s="199" t="s">
        <v>12306</v>
      </c>
      <c r="J467" s="222">
        <v>2.95</v>
      </c>
      <c r="K467" s="198">
        <v>64805.52</v>
      </c>
    </row>
    <row r="468" spans="3:11" x14ac:dyDescent="0.2">
      <c r="C468" s="201" t="s">
        <v>12305</v>
      </c>
      <c r="D468" s="200">
        <v>44333</v>
      </c>
      <c r="E468" s="199" t="s">
        <v>12304</v>
      </c>
      <c r="I468" s="198">
        <v>63.88</v>
      </c>
      <c r="K468" s="198">
        <v>64869.4</v>
      </c>
    </row>
    <row r="469" spans="3:11" x14ac:dyDescent="0.2">
      <c r="C469" s="201" t="s">
        <v>12303</v>
      </c>
      <c r="D469" s="200">
        <v>44333</v>
      </c>
      <c r="E469" s="199" t="s">
        <v>12302</v>
      </c>
      <c r="I469" s="198">
        <v>178.49</v>
      </c>
      <c r="K469" s="198">
        <v>65047.89</v>
      </c>
    </row>
    <row r="470" spans="3:11" x14ac:dyDescent="0.2">
      <c r="C470" s="201" t="s">
        <v>12301</v>
      </c>
      <c r="D470" s="200">
        <v>44333.458067129628</v>
      </c>
      <c r="E470" s="199" t="s">
        <v>12300</v>
      </c>
      <c r="I470" s="198">
        <v>52.33</v>
      </c>
      <c r="K470" s="198">
        <v>65100.22</v>
      </c>
    </row>
    <row r="471" spans="3:11" x14ac:dyDescent="0.2">
      <c r="C471" s="201" t="s">
        <v>12299</v>
      </c>
      <c r="D471" s="200">
        <v>44333.462650462963</v>
      </c>
      <c r="E471" s="199" t="s">
        <v>12298</v>
      </c>
      <c r="I471" s="198">
        <v>11.43</v>
      </c>
      <c r="K471" s="198">
        <v>65111.65</v>
      </c>
    </row>
    <row r="472" spans="3:11" x14ac:dyDescent="0.2">
      <c r="C472" s="201" t="s">
        <v>12297</v>
      </c>
      <c r="D472" s="200">
        <v>44333</v>
      </c>
      <c r="E472" s="199" t="s">
        <v>12296</v>
      </c>
      <c r="I472" s="198">
        <v>9.31</v>
      </c>
      <c r="K472" s="198">
        <v>65120.959999999999</v>
      </c>
    </row>
    <row r="473" spans="3:11" x14ac:dyDescent="0.2">
      <c r="C473" s="201" t="s">
        <v>12295</v>
      </c>
      <c r="D473" s="200">
        <v>44333</v>
      </c>
      <c r="E473" s="199" t="s">
        <v>12294</v>
      </c>
      <c r="I473" s="198">
        <v>4.59</v>
      </c>
      <c r="K473" s="198">
        <v>65125.55</v>
      </c>
    </row>
    <row r="474" spans="3:11" x14ac:dyDescent="0.2">
      <c r="C474" s="201" t="s">
        <v>12293</v>
      </c>
      <c r="D474" s="200">
        <v>44333</v>
      </c>
      <c r="E474" s="199" t="s">
        <v>12292</v>
      </c>
      <c r="I474" s="198">
        <v>12.3</v>
      </c>
      <c r="K474" s="198">
        <v>65137.85</v>
      </c>
    </row>
    <row r="475" spans="3:11" x14ac:dyDescent="0.2">
      <c r="C475" s="201" t="s">
        <v>12291</v>
      </c>
      <c r="D475" s="200">
        <v>44333</v>
      </c>
      <c r="E475" s="199" t="s">
        <v>12290</v>
      </c>
      <c r="I475" s="198">
        <v>2.12</v>
      </c>
      <c r="K475" s="198">
        <v>65139.97</v>
      </c>
    </row>
    <row r="476" spans="3:11" x14ac:dyDescent="0.2">
      <c r="C476" s="201" t="s">
        <v>12289</v>
      </c>
      <c r="D476" s="200">
        <v>44333</v>
      </c>
      <c r="E476" s="199" t="s">
        <v>12288</v>
      </c>
      <c r="I476" s="198">
        <v>8.3800000000000008</v>
      </c>
      <c r="K476" s="198">
        <v>65148.35</v>
      </c>
    </row>
    <row r="477" spans="3:11" x14ac:dyDescent="0.2">
      <c r="C477" s="201" t="s">
        <v>12287</v>
      </c>
      <c r="D477" s="200">
        <v>44333</v>
      </c>
      <c r="E477" s="199" t="s">
        <v>12286</v>
      </c>
      <c r="I477" s="198">
        <v>3.36</v>
      </c>
      <c r="K477" s="198">
        <v>65151.71</v>
      </c>
    </row>
    <row r="478" spans="3:11" x14ac:dyDescent="0.2">
      <c r="C478" s="201" t="s">
        <v>12285</v>
      </c>
      <c r="D478" s="200">
        <v>44333</v>
      </c>
      <c r="E478" s="199" t="s">
        <v>12284</v>
      </c>
      <c r="I478" s="198">
        <v>15.64</v>
      </c>
      <c r="K478" s="198">
        <v>65167.35</v>
      </c>
    </row>
    <row r="479" spans="3:11" x14ac:dyDescent="0.2">
      <c r="C479" s="201" t="s">
        <v>12283</v>
      </c>
      <c r="D479" s="200">
        <v>44333</v>
      </c>
      <c r="E479" s="199" t="s">
        <v>12282</v>
      </c>
      <c r="I479" s="198">
        <v>8.3800000000000008</v>
      </c>
      <c r="K479" s="198">
        <v>65175.73</v>
      </c>
    </row>
    <row r="480" spans="3:11" x14ac:dyDescent="0.2">
      <c r="C480" s="201" t="s">
        <v>12281</v>
      </c>
      <c r="D480" s="200">
        <v>44333</v>
      </c>
      <c r="E480" s="199" t="s">
        <v>12280</v>
      </c>
      <c r="I480" s="198">
        <v>1.68</v>
      </c>
      <c r="K480" s="198">
        <v>65177.41</v>
      </c>
    </row>
    <row r="481" spans="3:11" x14ac:dyDescent="0.2">
      <c r="C481" s="201" t="s">
        <v>12279</v>
      </c>
      <c r="D481" s="200">
        <v>44333</v>
      </c>
      <c r="E481" s="199" t="s">
        <v>12278</v>
      </c>
      <c r="I481" s="198">
        <v>53.7</v>
      </c>
      <c r="K481" s="198">
        <v>65231.11</v>
      </c>
    </row>
    <row r="482" spans="3:11" x14ac:dyDescent="0.2">
      <c r="C482" s="201" t="s">
        <v>12277</v>
      </c>
      <c r="D482" s="200">
        <v>44333.795659722222</v>
      </c>
      <c r="E482" s="199" t="s">
        <v>12276</v>
      </c>
      <c r="I482" s="198">
        <v>4.03</v>
      </c>
      <c r="K482" s="198">
        <v>65235.14</v>
      </c>
    </row>
    <row r="483" spans="3:11" x14ac:dyDescent="0.2">
      <c r="C483" s="201" t="s">
        <v>12275</v>
      </c>
      <c r="D483" s="200">
        <v>44333.796157407407</v>
      </c>
      <c r="E483" s="199" t="s">
        <v>12274</v>
      </c>
      <c r="I483" s="198">
        <v>7.58</v>
      </c>
      <c r="K483" s="198">
        <v>65242.720000000001</v>
      </c>
    </row>
    <row r="484" spans="3:11" x14ac:dyDescent="0.2">
      <c r="C484" s="201" t="s">
        <v>12273</v>
      </c>
      <c r="D484" s="200">
        <v>44333.796574074076</v>
      </c>
      <c r="E484" s="199" t="s">
        <v>12272</v>
      </c>
      <c r="I484" s="198">
        <v>1.68</v>
      </c>
      <c r="K484" s="198">
        <v>65244.4</v>
      </c>
    </row>
    <row r="485" spans="3:11" x14ac:dyDescent="0.2">
      <c r="C485" s="201" t="s">
        <v>12271</v>
      </c>
      <c r="D485" s="200">
        <v>44333.797071759262</v>
      </c>
      <c r="E485" s="199" t="s">
        <v>12270</v>
      </c>
      <c r="I485" s="198">
        <v>3.36</v>
      </c>
      <c r="K485" s="198">
        <v>65247.76</v>
      </c>
    </row>
    <row r="486" spans="3:11" x14ac:dyDescent="0.2">
      <c r="C486" s="201" t="s">
        <v>12269</v>
      </c>
      <c r="D486" s="200">
        <v>44333.797407407408</v>
      </c>
      <c r="E486" s="199" t="s">
        <v>12268</v>
      </c>
      <c r="I486" s="198">
        <v>3.51</v>
      </c>
      <c r="K486" s="198">
        <v>65251.27</v>
      </c>
    </row>
    <row r="487" spans="3:11" x14ac:dyDescent="0.2">
      <c r="C487" s="201" t="s">
        <v>12267</v>
      </c>
      <c r="D487" s="200">
        <v>44333.797789351855</v>
      </c>
      <c r="E487" s="199" t="s">
        <v>12266</v>
      </c>
      <c r="I487" s="198">
        <v>1.68</v>
      </c>
      <c r="K487" s="198">
        <v>65252.95</v>
      </c>
    </row>
    <row r="488" spans="3:11" x14ac:dyDescent="0.2">
      <c r="C488" s="201" t="s">
        <v>12265</v>
      </c>
      <c r="D488" s="200">
        <v>44333.798171296294</v>
      </c>
      <c r="E488" s="199" t="s">
        <v>12264</v>
      </c>
      <c r="I488" s="198">
        <v>4.43</v>
      </c>
      <c r="K488" s="198">
        <v>65257.38</v>
      </c>
    </row>
    <row r="489" spans="3:11" x14ac:dyDescent="0.2">
      <c r="C489" s="201" t="s">
        <v>12263</v>
      </c>
      <c r="D489" s="200">
        <v>44333.798657407409</v>
      </c>
      <c r="E489" s="199" t="s">
        <v>12262</v>
      </c>
      <c r="I489" s="198">
        <v>3.36</v>
      </c>
      <c r="K489" s="198">
        <v>65260.74</v>
      </c>
    </row>
    <row r="490" spans="3:11" x14ac:dyDescent="0.2">
      <c r="C490" s="201" t="s">
        <v>12261</v>
      </c>
      <c r="D490" s="200">
        <v>44333.799571759257</v>
      </c>
      <c r="E490" s="199" t="s">
        <v>12260</v>
      </c>
      <c r="I490" s="198">
        <v>14.95</v>
      </c>
      <c r="K490" s="198">
        <v>65275.69</v>
      </c>
    </row>
    <row r="491" spans="3:11" x14ac:dyDescent="0.2">
      <c r="C491" s="201" t="s">
        <v>12259</v>
      </c>
      <c r="D491" s="200">
        <v>44333.800138888888</v>
      </c>
      <c r="E491" s="199" t="s">
        <v>12258</v>
      </c>
      <c r="I491" s="198">
        <v>2.35</v>
      </c>
      <c r="K491" s="198">
        <v>65278.04</v>
      </c>
    </row>
    <row r="492" spans="3:11" x14ac:dyDescent="0.2">
      <c r="C492" s="201" t="s">
        <v>12257</v>
      </c>
      <c r="D492" s="200">
        <v>44333.800543981481</v>
      </c>
      <c r="E492" s="199" t="s">
        <v>12256</v>
      </c>
      <c r="I492" s="198">
        <v>6.17</v>
      </c>
      <c r="K492" s="198">
        <v>65284.21</v>
      </c>
    </row>
    <row r="493" spans="3:11" x14ac:dyDescent="0.2">
      <c r="C493" s="201" t="s">
        <v>12255</v>
      </c>
      <c r="D493" s="200">
        <v>44333.800937499997</v>
      </c>
      <c r="E493" s="199" t="s">
        <v>12254</v>
      </c>
      <c r="I493" s="198">
        <v>8.3800000000000008</v>
      </c>
      <c r="K493" s="198">
        <v>65292.59</v>
      </c>
    </row>
    <row r="494" spans="3:11" x14ac:dyDescent="0.2">
      <c r="C494" s="201" t="s">
        <v>12253</v>
      </c>
      <c r="D494" s="200">
        <v>44333.80195601852</v>
      </c>
      <c r="E494" s="199" t="s">
        <v>12252</v>
      </c>
      <c r="I494" s="198">
        <v>5.36</v>
      </c>
      <c r="K494" s="198">
        <v>65297.95</v>
      </c>
    </row>
    <row r="495" spans="3:11" x14ac:dyDescent="0.2">
      <c r="C495" s="201" t="s">
        <v>12251</v>
      </c>
      <c r="D495" s="200">
        <v>44333.802939814814</v>
      </c>
      <c r="E495" s="199" t="s">
        <v>12250</v>
      </c>
      <c r="I495" s="198">
        <v>6.06</v>
      </c>
      <c r="K495" s="198">
        <v>65304.01</v>
      </c>
    </row>
    <row r="496" spans="3:11" x14ac:dyDescent="0.2">
      <c r="C496" s="201" t="s">
        <v>12249</v>
      </c>
      <c r="D496" s="200">
        <v>44333.803425925929</v>
      </c>
      <c r="E496" s="199" t="s">
        <v>12248</v>
      </c>
      <c r="I496" s="198">
        <v>7</v>
      </c>
      <c r="K496" s="198">
        <v>65311.01</v>
      </c>
    </row>
    <row r="497" spans="3:11" x14ac:dyDescent="0.2">
      <c r="C497" s="201" t="s">
        <v>12247</v>
      </c>
      <c r="D497" s="200">
        <v>44333.803784722222</v>
      </c>
      <c r="E497" s="199" t="s">
        <v>12246</v>
      </c>
      <c r="I497" s="198">
        <v>1.86</v>
      </c>
      <c r="K497" s="198">
        <v>65312.87</v>
      </c>
    </row>
    <row r="498" spans="3:11" x14ac:dyDescent="0.2">
      <c r="C498" s="201" t="s">
        <v>12245</v>
      </c>
      <c r="D498" s="200">
        <v>44333.804189814815</v>
      </c>
      <c r="E498" s="199" t="s">
        <v>12244</v>
      </c>
      <c r="I498" s="198">
        <v>1.68</v>
      </c>
      <c r="K498" s="198">
        <v>65314.55</v>
      </c>
    </row>
    <row r="499" spans="3:11" x14ac:dyDescent="0.2">
      <c r="C499" s="201" t="s">
        <v>12243</v>
      </c>
      <c r="D499" s="200">
        <v>44333.804548611108</v>
      </c>
      <c r="E499" s="199" t="s">
        <v>12242</v>
      </c>
      <c r="I499" s="198">
        <v>7.54</v>
      </c>
      <c r="K499" s="198">
        <v>65322.09</v>
      </c>
    </row>
    <row r="500" spans="3:11" x14ac:dyDescent="0.2">
      <c r="C500" s="201" t="s">
        <v>12241</v>
      </c>
      <c r="D500" s="200">
        <v>44333.805011574077</v>
      </c>
      <c r="E500" s="199" t="s">
        <v>12240</v>
      </c>
      <c r="I500" s="198">
        <v>2.52</v>
      </c>
      <c r="K500" s="198">
        <v>65324.61</v>
      </c>
    </row>
    <row r="501" spans="3:11" x14ac:dyDescent="0.2">
      <c r="C501" s="201" t="s">
        <v>12239</v>
      </c>
      <c r="D501" s="200">
        <v>44333.805451388886</v>
      </c>
      <c r="E501" s="199" t="s">
        <v>12238</v>
      </c>
      <c r="I501" s="198">
        <v>6.04</v>
      </c>
      <c r="K501" s="198">
        <v>65330.65</v>
      </c>
    </row>
    <row r="502" spans="3:11" x14ac:dyDescent="0.2">
      <c r="C502" s="201" t="s">
        <v>12237</v>
      </c>
      <c r="D502" s="200">
        <v>44333.806018518517</v>
      </c>
      <c r="E502" s="199" t="s">
        <v>12236</v>
      </c>
      <c r="I502" s="198">
        <v>1.79</v>
      </c>
      <c r="K502" s="198">
        <v>65332.44</v>
      </c>
    </row>
    <row r="503" spans="3:11" x14ac:dyDescent="0.2">
      <c r="C503" s="201" t="s">
        <v>12235</v>
      </c>
      <c r="D503" s="200">
        <v>44333.806377314817</v>
      </c>
      <c r="E503" s="199" t="s">
        <v>12234</v>
      </c>
      <c r="I503" s="198">
        <v>8.3800000000000008</v>
      </c>
      <c r="K503" s="198">
        <v>65340.82</v>
      </c>
    </row>
    <row r="504" spans="3:11" x14ac:dyDescent="0.2">
      <c r="C504" s="201" t="s">
        <v>12233</v>
      </c>
      <c r="D504" s="200">
        <v>44333.807025462964</v>
      </c>
      <c r="E504" s="199" t="s">
        <v>12232</v>
      </c>
      <c r="I504" s="198">
        <v>5.97</v>
      </c>
      <c r="K504" s="198">
        <v>65346.79</v>
      </c>
    </row>
    <row r="505" spans="3:11" x14ac:dyDescent="0.2">
      <c r="C505" s="201" t="s">
        <v>12231</v>
      </c>
      <c r="D505" s="200">
        <v>44333.807858796295</v>
      </c>
      <c r="E505" s="199" t="s">
        <v>12230</v>
      </c>
      <c r="I505" s="198">
        <v>1.88</v>
      </c>
      <c r="K505" s="198">
        <v>65348.67</v>
      </c>
    </row>
    <row r="506" spans="3:11" x14ac:dyDescent="0.2">
      <c r="C506" s="201" t="s">
        <v>1533</v>
      </c>
      <c r="D506" s="200">
        <v>44333</v>
      </c>
      <c r="E506" s="199" t="s">
        <v>12229</v>
      </c>
      <c r="J506" s="222">
        <v>521.77</v>
      </c>
      <c r="K506" s="198">
        <v>64826.9</v>
      </c>
    </row>
    <row r="507" spans="3:11" x14ac:dyDescent="0.2">
      <c r="C507" s="201" t="s">
        <v>12228</v>
      </c>
      <c r="D507" s="200">
        <v>44333</v>
      </c>
      <c r="E507" s="199" t="s">
        <v>12227</v>
      </c>
      <c r="J507" s="222">
        <v>752.73</v>
      </c>
      <c r="K507" s="198">
        <v>64074.17</v>
      </c>
    </row>
    <row r="508" spans="3:11" x14ac:dyDescent="0.2">
      <c r="C508" s="201" t="s">
        <v>7982</v>
      </c>
      <c r="D508" s="200">
        <v>44333</v>
      </c>
      <c r="E508" s="199" t="s">
        <v>12226</v>
      </c>
      <c r="J508" s="222">
        <v>1.47</v>
      </c>
      <c r="K508" s="198">
        <v>64072.7</v>
      </c>
    </row>
    <row r="509" spans="3:11" x14ac:dyDescent="0.2">
      <c r="C509" s="201" t="s">
        <v>12225</v>
      </c>
      <c r="D509" s="200">
        <v>44334.576388888891</v>
      </c>
      <c r="E509" s="199" t="s">
        <v>12224</v>
      </c>
      <c r="I509" s="198">
        <v>12.91</v>
      </c>
      <c r="K509" s="198">
        <v>64085.61</v>
      </c>
    </row>
    <row r="510" spans="3:11" x14ac:dyDescent="0.2">
      <c r="C510" s="201" t="s">
        <v>12223</v>
      </c>
      <c r="D510" s="200">
        <v>44334</v>
      </c>
      <c r="E510" s="199" t="s">
        <v>12222</v>
      </c>
      <c r="I510" s="198">
        <v>25.69</v>
      </c>
      <c r="K510" s="198">
        <v>64111.3</v>
      </c>
    </row>
    <row r="511" spans="3:11" x14ac:dyDescent="0.2">
      <c r="C511" s="201" t="s">
        <v>12221</v>
      </c>
      <c r="D511" s="200">
        <v>44334.796493055554</v>
      </c>
      <c r="E511" s="199" t="s">
        <v>12220</v>
      </c>
      <c r="I511" s="198">
        <v>9.51</v>
      </c>
      <c r="K511" s="198">
        <v>64120.81</v>
      </c>
    </row>
    <row r="512" spans="3:11" x14ac:dyDescent="0.2">
      <c r="C512" s="201" t="s">
        <v>12219</v>
      </c>
      <c r="D512" s="200">
        <v>44334.797118055554</v>
      </c>
      <c r="E512" s="199" t="s">
        <v>12218</v>
      </c>
      <c r="I512" s="198">
        <v>4.18</v>
      </c>
      <c r="K512" s="198">
        <v>64124.99</v>
      </c>
    </row>
    <row r="513" spans="3:11" x14ac:dyDescent="0.2">
      <c r="C513" s="201" t="s">
        <v>12217</v>
      </c>
      <c r="D513" s="200">
        <v>44334.797789351855</v>
      </c>
      <c r="E513" s="199" t="s">
        <v>12216</v>
      </c>
      <c r="I513" s="198">
        <v>1.68</v>
      </c>
      <c r="K513" s="198">
        <v>64126.67</v>
      </c>
    </row>
    <row r="514" spans="3:11" x14ac:dyDescent="0.2">
      <c r="C514" s="201" t="s">
        <v>12215</v>
      </c>
      <c r="D514" s="200">
        <v>44334.798321759263</v>
      </c>
      <c r="E514" s="199" t="s">
        <v>12214</v>
      </c>
      <c r="I514" s="198">
        <v>15.06</v>
      </c>
      <c r="K514" s="198">
        <v>64141.73</v>
      </c>
    </row>
    <row r="515" spans="3:11" x14ac:dyDescent="0.2">
      <c r="C515" s="201" t="s">
        <v>12213</v>
      </c>
      <c r="D515" s="200">
        <v>44334.798831018517</v>
      </c>
      <c r="E515" s="199" t="s">
        <v>12212</v>
      </c>
      <c r="I515" s="198">
        <v>4.03</v>
      </c>
      <c r="K515" s="198">
        <v>64145.760000000002</v>
      </c>
    </row>
    <row r="516" spans="3:11" x14ac:dyDescent="0.2">
      <c r="C516" s="201" t="s">
        <v>12211</v>
      </c>
      <c r="D516" s="200">
        <v>44334.799328703702</v>
      </c>
      <c r="E516" s="199" t="s">
        <v>12210</v>
      </c>
      <c r="I516" s="198">
        <v>1.94</v>
      </c>
      <c r="K516" s="198">
        <v>64147.7</v>
      </c>
    </row>
    <row r="517" spans="3:11" x14ac:dyDescent="0.2">
      <c r="C517" s="201" t="s">
        <v>12209</v>
      </c>
      <c r="D517" s="200">
        <v>44334.799803240741</v>
      </c>
      <c r="E517" s="199" t="s">
        <v>12208</v>
      </c>
      <c r="I517" s="198">
        <v>0.19</v>
      </c>
      <c r="K517" s="198">
        <v>64147.89</v>
      </c>
    </row>
    <row r="518" spans="3:11" x14ac:dyDescent="0.2">
      <c r="C518" s="201" t="s">
        <v>12207</v>
      </c>
      <c r="D518" s="200">
        <v>44334.800300925926</v>
      </c>
      <c r="E518" s="199" t="s">
        <v>12206</v>
      </c>
      <c r="I518" s="198">
        <v>0.76</v>
      </c>
      <c r="K518" s="198">
        <v>64148.65</v>
      </c>
    </row>
    <row r="519" spans="3:11" x14ac:dyDescent="0.2">
      <c r="C519" s="201" t="s">
        <v>12205</v>
      </c>
      <c r="D519" s="200">
        <v>44334.801180555558</v>
      </c>
      <c r="E519" s="199" t="s">
        <v>12204</v>
      </c>
      <c r="I519" s="198">
        <v>2.58</v>
      </c>
      <c r="K519" s="198">
        <v>64151.23</v>
      </c>
    </row>
    <row r="520" spans="3:11" x14ac:dyDescent="0.2">
      <c r="C520" s="201" t="s">
        <v>12203</v>
      </c>
      <c r="D520" s="200">
        <v>44334.801539351851</v>
      </c>
      <c r="E520" s="199" t="s">
        <v>12202</v>
      </c>
      <c r="I520" s="198">
        <v>4.1399999999999997</v>
      </c>
      <c r="K520" s="198">
        <v>64155.37</v>
      </c>
    </row>
    <row r="521" spans="3:11" x14ac:dyDescent="0.2">
      <c r="C521" s="201" t="s">
        <v>12201</v>
      </c>
      <c r="D521" s="200">
        <v>44334.801921296297</v>
      </c>
      <c r="E521" s="199" t="s">
        <v>12200</v>
      </c>
      <c r="I521" s="198">
        <v>8.59</v>
      </c>
      <c r="K521" s="198">
        <v>64163.96</v>
      </c>
    </row>
    <row r="522" spans="3:11" x14ac:dyDescent="0.2">
      <c r="C522" s="201" t="s">
        <v>12199</v>
      </c>
      <c r="D522" s="200">
        <v>44334.802384259259</v>
      </c>
      <c r="E522" s="199" t="s">
        <v>12198</v>
      </c>
      <c r="I522" s="198">
        <v>3.45</v>
      </c>
      <c r="K522" s="198">
        <v>64167.41</v>
      </c>
    </row>
    <row r="523" spans="3:11" x14ac:dyDescent="0.2">
      <c r="C523" s="201" t="s">
        <v>12197</v>
      </c>
      <c r="D523" s="200">
        <v>44334.802951388891</v>
      </c>
      <c r="E523" s="199" t="s">
        <v>12196</v>
      </c>
      <c r="I523" s="198">
        <v>5.04</v>
      </c>
      <c r="K523" s="198">
        <v>64172.45</v>
      </c>
    </row>
    <row r="524" spans="3:11" x14ac:dyDescent="0.2">
      <c r="C524" s="201" t="s">
        <v>12195</v>
      </c>
      <c r="D524" s="200">
        <v>44334.803414351853</v>
      </c>
      <c r="E524" s="199" t="s">
        <v>12194</v>
      </c>
      <c r="I524" s="198">
        <v>12.3</v>
      </c>
      <c r="K524" s="198">
        <v>64184.75</v>
      </c>
    </row>
    <row r="525" spans="3:11" x14ac:dyDescent="0.2">
      <c r="C525" s="201" t="s">
        <v>12193</v>
      </c>
      <c r="D525" s="200">
        <v>44334.804548611108</v>
      </c>
      <c r="E525" s="199" t="s">
        <v>12192</v>
      </c>
      <c r="I525" s="198">
        <v>2.79</v>
      </c>
      <c r="K525" s="198">
        <v>64187.54</v>
      </c>
    </row>
    <row r="526" spans="3:11" x14ac:dyDescent="0.2">
      <c r="C526" s="201" t="s">
        <v>12191</v>
      </c>
      <c r="D526" s="200">
        <v>44334.804988425924</v>
      </c>
      <c r="E526" s="199" t="s">
        <v>12190</v>
      </c>
      <c r="I526" s="198">
        <v>1.9</v>
      </c>
      <c r="K526" s="198">
        <v>64189.440000000002</v>
      </c>
    </row>
    <row r="527" spans="3:11" x14ac:dyDescent="0.2">
      <c r="C527" s="201" t="s">
        <v>12189</v>
      </c>
      <c r="D527" s="200">
        <v>44334.805625000001</v>
      </c>
      <c r="E527" s="199" t="s">
        <v>12188</v>
      </c>
      <c r="I527" s="198">
        <v>5.48</v>
      </c>
      <c r="K527" s="198">
        <v>64194.92</v>
      </c>
    </row>
    <row r="528" spans="3:11" x14ac:dyDescent="0.2">
      <c r="C528" s="201" t="s">
        <v>12187</v>
      </c>
      <c r="D528" s="200">
        <v>44334.807187500002</v>
      </c>
      <c r="E528" s="199" t="s">
        <v>12186</v>
      </c>
      <c r="I528" s="198">
        <v>31.82</v>
      </c>
      <c r="K528" s="198">
        <v>64226.74</v>
      </c>
    </row>
    <row r="529" spans="3:11" x14ac:dyDescent="0.2">
      <c r="C529" s="201" t="s">
        <v>12185</v>
      </c>
      <c r="D529" s="200">
        <v>44334</v>
      </c>
      <c r="E529" s="199" t="s">
        <v>12184</v>
      </c>
      <c r="I529" s="198">
        <v>1.94</v>
      </c>
      <c r="K529" s="198">
        <v>64228.68</v>
      </c>
    </row>
    <row r="530" spans="3:11" x14ac:dyDescent="0.2">
      <c r="C530" s="201" t="s">
        <v>12183</v>
      </c>
      <c r="D530" s="200">
        <v>44334</v>
      </c>
      <c r="E530" s="199" t="s">
        <v>12182</v>
      </c>
      <c r="I530" s="198">
        <v>1.93</v>
      </c>
      <c r="K530" s="198">
        <v>64230.61</v>
      </c>
    </row>
    <row r="531" spans="3:11" x14ac:dyDescent="0.2">
      <c r="C531" s="201" t="s">
        <v>12181</v>
      </c>
      <c r="D531" s="200">
        <v>44334</v>
      </c>
      <c r="E531" s="199" t="s">
        <v>12180</v>
      </c>
      <c r="I531" s="198">
        <v>8.3800000000000008</v>
      </c>
      <c r="K531" s="198">
        <v>64238.99</v>
      </c>
    </row>
    <row r="532" spans="3:11" x14ac:dyDescent="0.2">
      <c r="C532" s="201" t="s">
        <v>12179</v>
      </c>
      <c r="D532" s="200">
        <v>44334</v>
      </c>
      <c r="E532" s="199" t="s">
        <v>12178</v>
      </c>
      <c r="I532" s="198">
        <v>12.3</v>
      </c>
      <c r="K532" s="198">
        <v>64251.29</v>
      </c>
    </row>
    <row r="533" spans="3:11" x14ac:dyDescent="0.2">
      <c r="C533" s="201" t="s">
        <v>12177</v>
      </c>
      <c r="D533" s="200">
        <v>44334</v>
      </c>
      <c r="E533" s="199" t="s">
        <v>12176</v>
      </c>
      <c r="I533" s="198">
        <v>16.47</v>
      </c>
      <c r="K533" s="198">
        <v>64267.76</v>
      </c>
    </row>
    <row r="534" spans="3:11" x14ac:dyDescent="0.2">
      <c r="C534" s="201" t="s">
        <v>12175</v>
      </c>
      <c r="D534" s="200">
        <v>44334</v>
      </c>
      <c r="E534" s="199" t="s">
        <v>12174</v>
      </c>
      <c r="I534" s="198">
        <v>2.5</v>
      </c>
      <c r="K534" s="198">
        <v>64270.26</v>
      </c>
    </row>
    <row r="535" spans="3:11" x14ac:dyDescent="0.2">
      <c r="C535" s="201" t="s">
        <v>12173</v>
      </c>
      <c r="D535" s="200">
        <v>44334</v>
      </c>
      <c r="E535" s="199" t="s">
        <v>12172</v>
      </c>
      <c r="I535" s="198">
        <v>4.1900000000000004</v>
      </c>
      <c r="K535" s="198">
        <v>64274.45</v>
      </c>
    </row>
    <row r="536" spans="3:11" x14ac:dyDescent="0.2">
      <c r="C536" s="201" t="s">
        <v>12171</v>
      </c>
      <c r="D536" s="200">
        <v>44334</v>
      </c>
      <c r="E536" s="199" t="s">
        <v>12170</v>
      </c>
      <c r="I536" s="198">
        <v>6.37</v>
      </c>
      <c r="K536" s="198">
        <v>64280.82</v>
      </c>
    </row>
    <row r="537" spans="3:11" x14ac:dyDescent="0.2">
      <c r="C537" s="201" t="s">
        <v>12169</v>
      </c>
      <c r="D537" s="200">
        <v>44334</v>
      </c>
      <c r="E537" s="199" t="s">
        <v>12168</v>
      </c>
      <c r="I537" s="198">
        <v>26.3</v>
      </c>
      <c r="K537" s="198">
        <v>64307.12</v>
      </c>
    </row>
    <row r="538" spans="3:11" x14ac:dyDescent="0.2">
      <c r="C538" s="201" t="s">
        <v>7479</v>
      </c>
      <c r="D538" s="200">
        <v>44334</v>
      </c>
      <c r="E538" s="199" t="s">
        <v>12167</v>
      </c>
      <c r="J538" s="222">
        <v>10.19</v>
      </c>
      <c r="K538" s="198">
        <v>64296.93</v>
      </c>
    </row>
    <row r="539" spans="3:11" x14ac:dyDescent="0.2">
      <c r="C539" s="201" t="s">
        <v>12166</v>
      </c>
      <c r="D539" s="200">
        <v>44335</v>
      </c>
      <c r="E539" s="199" t="s">
        <v>12165</v>
      </c>
      <c r="I539" s="198">
        <v>1.68</v>
      </c>
      <c r="K539" s="198">
        <v>64298.61</v>
      </c>
    </row>
    <row r="540" spans="3:11" x14ac:dyDescent="0.2">
      <c r="C540" s="201" t="s">
        <v>12164</v>
      </c>
      <c r="D540" s="200">
        <v>44335</v>
      </c>
      <c r="E540" s="199" t="s">
        <v>12163</v>
      </c>
      <c r="I540" s="198">
        <v>6.1</v>
      </c>
      <c r="K540" s="198">
        <v>64304.71</v>
      </c>
    </row>
    <row r="541" spans="3:11" x14ac:dyDescent="0.2">
      <c r="C541" s="201" t="s">
        <v>12162</v>
      </c>
      <c r="D541" s="200">
        <v>44335</v>
      </c>
      <c r="E541" s="199" t="s">
        <v>12161</v>
      </c>
      <c r="I541" s="198">
        <v>13.82</v>
      </c>
      <c r="K541" s="198">
        <v>64318.53</v>
      </c>
    </row>
    <row r="542" spans="3:11" x14ac:dyDescent="0.2">
      <c r="C542" s="201" t="s">
        <v>12160</v>
      </c>
      <c r="D542" s="200">
        <v>44335</v>
      </c>
      <c r="E542" s="199" t="s">
        <v>12159</v>
      </c>
      <c r="I542" s="198">
        <v>10</v>
      </c>
      <c r="K542" s="198">
        <v>64328.53</v>
      </c>
    </row>
    <row r="543" spans="3:11" x14ac:dyDescent="0.2">
      <c r="C543" s="201" t="s">
        <v>12158</v>
      </c>
      <c r="D543" s="200">
        <v>44335</v>
      </c>
      <c r="E543" s="199" t="s">
        <v>12157</v>
      </c>
      <c r="J543" s="222">
        <v>55.38</v>
      </c>
      <c r="K543" s="198">
        <v>64273.15</v>
      </c>
    </row>
    <row r="544" spans="3:11" x14ac:dyDescent="0.2">
      <c r="C544" s="201" t="s">
        <v>12156</v>
      </c>
      <c r="D544" s="200">
        <v>44336</v>
      </c>
      <c r="E544" s="199" t="s">
        <v>12155</v>
      </c>
      <c r="I544" s="198">
        <v>4.5199999999999996</v>
      </c>
      <c r="K544" s="198">
        <v>64277.67</v>
      </c>
    </row>
    <row r="545" spans="3:11" x14ac:dyDescent="0.2">
      <c r="C545" s="201" t="s">
        <v>12154</v>
      </c>
      <c r="D545" s="200">
        <v>44336.384895833333</v>
      </c>
      <c r="E545" s="199" t="s">
        <v>12153</v>
      </c>
      <c r="I545" s="198">
        <v>30.48</v>
      </c>
      <c r="K545" s="198">
        <v>64308.15</v>
      </c>
    </row>
    <row r="546" spans="3:11" x14ac:dyDescent="0.2">
      <c r="C546" s="201" t="s">
        <v>12152</v>
      </c>
      <c r="D546" s="200">
        <v>44336.38653935185</v>
      </c>
      <c r="E546" s="199" t="s">
        <v>12151</v>
      </c>
      <c r="I546" s="198">
        <v>3.83</v>
      </c>
      <c r="K546" s="198">
        <v>64311.98</v>
      </c>
    </row>
    <row r="547" spans="3:11" x14ac:dyDescent="0.2">
      <c r="C547" s="201" t="s">
        <v>12150</v>
      </c>
      <c r="D547" s="200">
        <v>44336.386956018519</v>
      </c>
      <c r="E547" s="199" t="s">
        <v>12149</v>
      </c>
      <c r="I547" s="198">
        <v>20.38</v>
      </c>
      <c r="K547" s="198">
        <v>64332.36</v>
      </c>
    </row>
    <row r="548" spans="3:11" x14ac:dyDescent="0.2">
      <c r="C548" s="201" t="s">
        <v>12148</v>
      </c>
      <c r="D548" s="200">
        <v>44336.387453703705</v>
      </c>
      <c r="E548" s="199" t="s">
        <v>12147</v>
      </c>
      <c r="I548" s="198">
        <v>3.74</v>
      </c>
      <c r="K548" s="198">
        <v>64336.1</v>
      </c>
    </row>
    <row r="549" spans="3:11" x14ac:dyDescent="0.2">
      <c r="C549" s="201" t="s">
        <v>12146</v>
      </c>
      <c r="D549" s="200">
        <v>44336.397615740738</v>
      </c>
      <c r="E549" s="199" t="s">
        <v>12145</v>
      </c>
      <c r="I549" s="198">
        <v>30.6</v>
      </c>
      <c r="K549" s="198">
        <v>64366.7</v>
      </c>
    </row>
    <row r="550" spans="3:11" x14ac:dyDescent="0.2">
      <c r="C550" s="201" t="s">
        <v>12144</v>
      </c>
      <c r="D550" s="200">
        <v>44336.398240740738</v>
      </c>
      <c r="E550" s="199" t="s">
        <v>12143</v>
      </c>
      <c r="I550" s="198">
        <v>1.68</v>
      </c>
      <c r="K550" s="198">
        <v>64368.38</v>
      </c>
    </row>
    <row r="551" spans="3:11" x14ac:dyDescent="0.2">
      <c r="C551" s="201" t="s">
        <v>12142</v>
      </c>
      <c r="D551" s="200">
        <v>44336.399629629632</v>
      </c>
      <c r="E551" s="199" t="s">
        <v>12141</v>
      </c>
      <c r="I551" s="198">
        <v>5.04</v>
      </c>
      <c r="K551" s="198">
        <v>64373.42</v>
      </c>
    </row>
    <row r="552" spans="3:11" x14ac:dyDescent="0.2">
      <c r="C552" s="201" t="s">
        <v>12140</v>
      </c>
      <c r="D552" s="200">
        <v>44336.400740740741</v>
      </c>
      <c r="E552" s="199" t="s">
        <v>12139</v>
      </c>
      <c r="I552" s="198">
        <v>10.94</v>
      </c>
      <c r="K552" s="198">
        <v>64384.36</v>
      </c>
    </row>
    <row r="553" spans="3:11" x14ac:dyDescent="0.2">
      <c r="C553" s="201" t="s">
        <v>12138</v>
      </c>
      <c r="D553" s="200">
        <v>44336.401331018518</v>
      </c>
      <c r="E553" s="199" t="s">
        <v>12137</v>
      </c>
      <c r="I553" s="198">
        <v>5.04</v>
      </c>
      <c r="K553" s="198">
        <v>64389.4</v>
      </c>
    </row>
    <row r="554" spans="3:11" x14ac:dyDescent="0.2">
      <c r="C554" s="201" t="s">
        <v>12136</v>
      </c>
      <c r="D554" s="200">
        <v>44336.405497685184</v>
      </c>
      <c r="E554" s="199" t="s">
        <v>12135</v>
      </c>
      <c r="I554" s="198">
        <v>2.64</v>
      </c>
      <c r="K554" s="198">
        <v>64392.04</v>
      </c>
    </row>
    <row r="555" spans="3:11" x14ac:dyDescent="0.2">
      <c r="C555" s="201" t="s">
        <v>12134</v>
      </c>
      <c r="D555" s="200">
        <v>44336.406064814815</v>
      </c>
      <c r="E555" s="199" t="s">
        <v>12133</v>
      </c>
      <c r="I555" s="198">
        <v>1.32</v>
      </c>
      <c r="K555" s="198">
        <v>64393.36</v>
      </c>
    </row>
    <row r="556" spans="3:11" x14ac:dyDescent="0.2">
      <c r="C556" s="201" t="s">
        <v>12132</v>
      </c>
      <c r="D556" s="200">
        <v>44336.4065625</v>
      </c>
      <c r="E556" s="199" t="s">
        <v>12131</v>
      </c>
      <c r="I556" s="198">
        <v>7.83</v>
      </c>
      <c r="K556" s="198">
        <v>64401.19</v>
      </c>
    </row>
    <row r="557" spans="3:11" x14ac:dyDescent="0.2">
      <c r="C557" s="201" t="s">
        <v>12130</v>
      </c>
      <c r="D557" s="200">
        <v>44336.407210648147</v>
      </c>
      <c r="E557" s="199" t="s">
        <v>12129</v>
      </c>
      <c r="I557" s="198">
        <v>0.69</v>
      </c>
      <c r="K557" s="198">
        <v>64401.88</v>
      </c>
    </row>
    <row r="558" spans="3:11" x14ac:dyDescent="0.2">
      <c r="C558" s="201" t="s">
        <v>12128</v>
      </c>
      <c r="D558" s="200">
        <v>44336.407789351855</v>
      </c>
      <c r="E558" s="199" t="s">
        <v>12127</v>
      </c>
      <c r="I558" s="198">
        <v>4.3499999999999996</v>
      </c>
      <c r="K558" s="198">
        <v>64406.23</v>
      </c>
    </row>
    <row r="559" spans="3:11" x14ac:dyDescent="0.2">
      <c r="C559" s="201" t="s">
        <v>12126</v>
      </c>
      <c r="D559" s="200">
        <v>44336.408321759256</v>
      </c>
      <c r="E559" s="199" t="s">
        <v>12125</v>
      </c>
      <c r="I559" s="198">
        <v>1.68</v>
      </c>
      <c r="K559" s="198">
        <v>64407.91</v>
      </c>
    </row>
    <row r="560" spans="3:11" x14ac:dyDescent="0.2">
      <c r="C560" s="201" t="s">
        <v>12124</v>
      </c>
      <c r="D560" s="200">
        <v>44336</v>
      </c>
      <c r="E560" s="199" t="s">
        <v>12123</v>
      </c>
      <c r="I560" s="198">
        <v>8.3800000000000008</v>
      </c>
      <c r="K560" s="198">
        <v>64416.29</v>
      </c>
    </row>
    <row r="561" spans="3:11" x14ac:dyDescent="0.2">
      <c r="C561" s="201" t="s">
        <v>12122</v>
      </c>
      <c r="D561" s="200">
        <v>44336</v>
      </c>
      <c r="E561" s="199" t="s">
        <v>12121</v>
      </c>
      <c r="I561" s="198">
        <v>11.92</v>
      </c>
      <c r="K561" s="198">
        <v>64428.21</v>
      </c>
    </row>
    <row r="562" spans="3:11" x14ac:dyDescent="0.2">
      <c r="C562" s="201" t="s">
        <v>12120</v>
      </c>
      <c r="D562" s="200">
        <v>44336.781226851854</v>
      </c>
      <c r="E562" s="199" t="s">
        <v>12119</v>
      </c>
      <c r="I562" s="198">
        <v>9.14</v>
      </c>
      <c r="K562" s="198">
        <v>64437.35</v>
      </c>
    </row>
    <row r="563" spans="3:11" x14ac:dyDescent="0.2">
      <c r="C563" s="201" t="s">
        <v>12118</v>
      </c>
      <c r="D563" s="200">
        <v>44336</v>
      </c>
      <c r="E563" s="199" t="s">
        <v>12117</v>
      </c>
      <c r="I563" s="198">
        <v>8.3800000000000008</v>
      </c>
      <c r="K563" s="198">
        <v>64445.73</v>
      </c>
    </row>
    <row r="564" spans="3:11" x14ac:dyDescent="0.2">
      <c r="C564" s="201" t="s">
        <v>12116</v>
      </c>
      <c r="D564" s="200">
        <v>44336</v>
      </c>
      <c r="E564" s="199" t="s">
        <v>12115</v>
      </c>
      <c r="I564" s="198">
        <v>12.79</v>
      </c>
      <c r="K564" s="198">
        <v>64458.52</v>
      </c>
    </row>
    <row r="565" spans="3:11" x14ac:dyDescent="0.2">
      <c r="C565" s="201" t="s">
        <v>12114</v>
      </c>
      <c r="D565" s="200">
        <v>44336</v>
      </c>
      <c r="E565" s="199" t="s">
        <v>12113</v>
      </c>
      <c r="I565" s="198">
        <v>1.68</v>
      </c>
      <c r="K565" s="198">
        <v>64460.2</v>
      </c>
    </row>
    <row r="566" spans="3:11" x14ac:dyDescent="0.2">
      <c r="C566" s="201" t="s">
        <v>12112</v>
      </c>
      <c r="D566" s="200">
        <v>44336</v>
      </c>
      <c r="E566" s="199" t="s">
        <v>12111</v>
      </c>
      <c r="I566" s="198">
        <v>14.8</v>
      </c>
      <c r="K566" s="198">
        <v>64475</v>
      </c>
    </row>
    <row r="567" spans="3:11" x14ac:dyDescent="0.2">
      <c r="C567" s="201" t="s">
        <v>12110</v>
      </c>
      <c r="D567" s="200">
        <v>44337</v>
      </c>
      <c r="E567" s="199" t="s">
        <v>12109</v>
      </c>
      <c r="I567" s="198">
        <v>8.02</v>
      </c>
      <c r="K567" s="198">
        <v>64483.02</v>
      </c>
    </row>
    <row r="568" spans="3:11" x14ac:dyDescent="0.2">
      <c r="C568" s="201" t="s">
        <v>12108</v>
      </c>
      <c r="D568" s="200">
        <v>44337.303032407406</v>
      </c>
      <c r="E568" s="199" t="s">
        <v>12107</v>
      </c>
      <c r="I568" s="198">
        <v>5.61</v>
      </c>
      <c r="K568" s="198">
        <v>64488.63</v>
      </c>
    </row>
    <row r="569" spans="3:11" x14ac:dyDescent="0.2">
      <c r="C569" s="201" t="s">
        <v>12106</v>
      </c>
      <c r="D569" s="200">
        <v>44337.303807870368</v>
      </c>
      <c r="E569" s="199" t="s">
        <v>12105</v>
      </c>
      <c r="I569" s="198">
        <v>12.15</v>
      </c>
      <c r="K569" s="198">
        <v>64500.78</v>
      </c>
    </row>
    <row r="570" spans="3:11" x14ac:dyDescent="0.2">
      <c r="C570" s="201" t="s">
        <v>12104</v>
      </c>
      <c r="D570" s="200">
        <v>44337.304236111115</v>
      </c>
      <c r="E570" s="199" t="s">
        <v>12103</v>
      </c>
      <c r="I570" s="198">
        <v>8.44</v>
      </c>
      <c r="K570" s="198">
        <v>64509.22</v>
      </c>
    </row>
    <row r="571" spans="3:11" x14ac:dyDescent="0.2">
      <c r="C571" s="201" t="s">
        <v>12102</v>
      </c>
      <c r="D571" s="200">
        <v>44337.310543981483</v>
      </c>
      <c r="E571" s="199" t="s">
        <v>12101</v>
      </c>
      <c r="I571" s="198">
        <v>2.2400000000000002</v>
      </c>
      <c r="K571" s="198">
        <v>64511.46</v>
      </c>
    </row>
    <row r="572" spans="3:11" x14ac:dyDescent="0.2">
      <c r="C572" s="201" t="s">
        <v>12100</v>
      </c>
      <c r="D572" s="200">
        <v>44337.310925925929</v>
      </c>
      <c r="E572" s="199" t="s">
        <v>12099</v>
      </c>
      <c r="I572" s="198">
        <v>18.29</v>
      </c>
      <c r="K572" s="198">
        <v>64529.75</v>
      </c>
    </row>
    <row r="573" spans="3:11" x14ac:dyDescent="0.2">
      <c r="C573" s="201" t="s">
        <v>12098</v>
      </c>
      <c r="D573" s="200">
        <v>44337.31177083333</v>
      </c>
      <c r="E573" s="199" t="s">
        <v>12097</v>
      </c>
      <c r="I573" s="198">
        <v>10.16</v>
      </c>
      <c r="K573" s="198">
        <v>64539.91</v>
      </c>
    </row>
    <row r="574" spans="3:11" x14ac:dyDescent="0.2">
      <c r="C574" s="201" t="s">
        <v>12096</v>
      </c>
      <c r="D574" s="200">
        <v>44337.312199074076</v>
      </c>
      <c r="E574" s="199" t="s">
        <v>12095</v>
      </c>
      <c r="I574" s="198">
        <v>11.68</v>
      </c>
      <c r="K574" s="198">
        <v>64551.59</v>
      </c>
    </row>
    <row r="575" spans="3:11" x14ac:dyDescent="0.2">
      <c r="C575" s="201" t="s">
        <v>12094</v>
      </c>
      <c r="D575" s="200">
        <v>44337.312673611108</v>
      </c>
      <c r="E575" s="199" t="s">
        <v>12093</v>
      </c>
      <c r="I575" s="198">
        <v>3.05</v>
      </c>
      <c r="K575" s="198">
        <v>64554.64</v>
      </c>
    </row>
    <row r="576" spans="3:11" x14ac:dyDescent="0.2">
      <c r="C576" s="201" t="s">
        <v>12092</v>
      </c>
      <c r="D576" s="200">
        <v>44337.313148148147</v>
      </c>
      <c r="E576" s="199" t="s">
        <v>12091</v>
      </c>
      <c r="I576" s="198">
        <v>3.7</v>
      </c>
      <c r="K576" s="198">
        <v>64558.34</v>
      </c>
    </row>
    <row r="577" spans="3:11" x14ac:dyDescent="0.2">
      <c r="C577" s="201" t="s">
        <v>12090</v>
      </c>
      <c r="D577" s="200">
        <v>44337.313761574071</v>
      </c>
      <c r="E577" s="199" t="s">
        <v>12089</v>
      </c>
      <c r="I577" s="198">
        <v>4.3499999999999996</v>
      </c>
      <c r="K577" s="198">
        <v>64562.69</v>
      </c>
    </row>
    <row r="578" spans="3:11" x14ac:dyDescent="0.2">
      <c r="C578" s="201" t="s">
        <v>12088</v>
      </c>
      <c r="D578" s="200">
        <v>44337.314305555556</v>
      </c>
      <c r="E578" s="199" t="s">
        <v>12087</v>
      </c>
      <c r="I578" s="198">
        <v>4.22</v>
      </c>
      <c r="K578" s="198">
        <v>64566.91</v>
      </c>
    </row>
    <row r="579" spans="3:11" x14ac:dyDescent="0.2">
      <c r="C579" s="201" t="s">
        <v>12086</v>
      </c>
      <c r="D579" s="200">
        <v>44337.315069444441</v>
      </c>
      <c r="E579" s="199" t="s">
        <v>12085</v>
      </c>
      <c r="I579" s="198">
        <v>2.58</v>
      </c>
      <c r="K579" s="198">
        <v>64569.49</v>
      </c>
    </row>
    <row r="580" spans="3:11" x14ac:dyDescent="0.2">
      <c r="C580" s="201" t="s">
        <v>12084</v>
      </c>
      <c r="D580" s="200">
        <v>44337</v>
      </c>
      <c r="E580" s="199" t="s">
        <v>12083</v>
      </c>
      <c r="I580" s="198">
        <v>6.68</v>
      </c>
      <c r="K580" s="198">
        <v>64576.17</v>
      </c>
    </row>
    <row r="581" spans="3:11" x14ac:dyDescent="0.2">
      <c r="C581" s="201" t="s">
        <v>12082</v>
      </c>
      <c r="D581" s="200">
        <v>44337</v>
      </c>
      <c r="E581" s="199" t="s">
        <v>12081</v>
      </c>
      <c r="I581" s="198">
        <v>8.3800000000000008</v>
      </c>
      <c r="K581" s="198">
        <v>64584.55</v>
      </c>
    </row>
    <row r="582" spans="3:11" x14ac:dyDescent="0.2">
      <c r="C582" s="201" t="s">
        <v>12080</v>
      </c>
      <c r="D582" s="200">
        <v>44337</v>
      </c>
      <c r="E582" s="199" t="s">
        <v>12079</v>
      </c>
      <c r="I582" s="198">
        <v>4.1900000000000004</v>
      </c>
      <c r="K582" s="198">
        <v>64588.74</v>
      </c>
    </row>
    <row r="583" spans="3:11" x14ac:dyDescent="0.2">
      <c r="C583" s="201" t="s">
        <v>12078</v>
      </c>
      <c r="D583" s="200">
        <v>44337</v>
      </c>
      <c r="E583" s="199" t="s">
        <v>12077</v>
      </c>
      <c r="I583" s="198">
        <v>174.59</v>
      </c>
      <c r="K583" s="198">
        <v>64763.33</v>
      </c>
    </row>
    <row r="584" spans="3:11" x14ac:dyDescent="0.2">
      <c r="C584" s="201" t="s">
        <v>12076</v>
      </c>
      <c r="D584" s="200">
        <v>44339.567916666667</v>
      </c>
      <c r="E584" s="199" t="s">
        <v>12075</v>
      </c>
      <c r="I584" s="198">
        <v>5.33</v>
      </c>
      <c r="K584" s="198">
        <v>64768.66</v>
      </c>
    </row>
    <row r="585" spans="3:11" x14ac:dyDescent="0.2">
      <c r="C585" s="201" t="s">
        <v>12074</v>
      </c>
      <c r="D585" s="200">
        <v>44339.569120370368</v>
      </c>
      <c r="E585" s="199" t="s">
        <v>12073</v>
      </c>
      <c r="I585" s="198">
        <v>18.66</v>
      </c>
      <c r="K585" s="198">
        <v>64787.32</v>
      </c>
    </row>
    <row r="586" spans="3:11" x14ac:dyDescent="0.2">
      <c r="C586" s="201" t="s">
        <v>12072</v>
      </c>
      <c r="D586" s="200">
        <v>44341.497650462959</v>
      </c>
      <c r="E586" s="199" t="s">
        <v>12071</v>
      </c>
      <c r="I586" s="198">
        <v>5.18</v>
      </c>
      <c r="K586" s="198">
        <v>64792.5</v>
      </c>
    </row>
    <row r="587" spans="3:11" x14ac:dyDescent="0.2">
      <c r="C587" s="201" t="s">
        <v>12070</v>
      </c>
      <c r="D587" s="200">
        <v>44341.498842592591</v>
      </c>
      <c r="E587" s="199" t="s">
        <v>12069</v>
      </c>
      <c r="I587" s="198">
        <v>5.04</v>
      </c>
      <c r="K587" s="198">
        <v>64797.54</v>
      </c>
    </row>
    <row r="588" spans="3:11" x14ac:dyDescent="0.2">
      <c r="C588" s="201" t="s">
        <v>12068</v>
      </c>
      <c r="D588" s="200">
        <v>44341.499513888892</v>
      </c>
      <c r="E588" s="199" t="s">
        <v>12067</v>
      </c>
      <c r="I588" s="198">
        <v>7.25</v>
      </c>
      <c r="K588" s="198">
        <v>64804.79</v>
      </c>
    </row>
    <row r="589" spans="3:11" x14ac:dyDescent="0.2">
      <c r="C589" s="201" t="s">
        <v>12066</v>
      </c>
      <c r="D589" s="200">
        <v>44341.500393518516</v>
      </c>
      <c r="E589" s="199" t="s">
        <v>12065</v>
      </c>
      <c r="I589" s="198">
        <v>1.68</v>
      </c>
      <c r="K589" s="198">
        <v>64806.47</v>
      </c>
    </row>
    <row r="590" spans="3:11" x14ac:dyDescent="0.2">
      <c r="C590" s="201" t="s">
        <v>12064</v>
      </c>
      <c r="D590" s="200">
        <v>44341.500902777778</v>
      </c>
      <c r="E590" s="199" t="s">
        <v>12063</v>
      </c>
      <c r="I590" s="198">
        <v>9.23</v>
      </c>
      <c r="K590" s="198">
        <v>64815.7</v>
      </c>
    </row>
    <row r="591" spans="3:11" x14ac:dyDescent="0.2">
      <c r="C591" s="201" t="s">
        <v>12062</v>
      </c>
      <c r="D591" s="200">
        <v>44341.501863425925</v>
      </c>
      <c r="E591" s="199" t="s">
        <v>12061</v>
      </c>
      <c r="I591" s="198">
        <v>5.18</v>
      </c>
      <c r="K591" s="198">
        <v>64820.88</v>
      </c>
    </row>
    <row r="592" spans="3:11" x14ac:dyDescent="0.2">
      <c r="C592" s="201" t="s">
        <v>12060</v>
      </c>
      <c r="D592" s="200">
        <v>44341.649039351854</v>
      </c>
      <c r="E592" s="199" t="s">
        <v>12059</v>
      </c>
      <c r="I592" s="198">
        <v>100.55</v>
      </c>
      <c r="K592" s="198">
        <v>64921.43</v>
      </c>
    </row>
    <row r="593" spans="3:11" x14ac:dyDescent="0.2">
      <c r="C593" s="201" t="s">
        <v>12058</v>
      </c>
      <c r="D593" s="200">
        <v>44341.655798611115</v>
      </c>
      <c r="E593" s="199" t="s">
        <v>12057</v>
      </c>
      <c r="I593" s="198">
        <v>3.11</v>
      </c>
      <c r="K593" s="198">
        <v>64924.54</v>
      </c>
    </row>
    <row r="594" spans="3:11" x14ac:dyDescent="0.2">
      <c r="C594" s="201" t="s">
        <v>12056</v>
      </c>
      <c r="D594" s="200">
        <v>44341.658101851855</v>
      </c>
      <c r="E594" s="199" t="s">
        <v>12055</v>
      </c>
      <c r="I594" s="198">
        <v>3.36</v>
      </c>
      <c r="K594" s="198">
        <v>64927.9</v>
      </c>
    </row>
    <row r="595" spans="3:11" x14ac:dyDescent="0.2">
      <c r="C595" s="201" t="s">
        <v>12054</v>
      </c>
      <c r="D595" s="200">
        <v>44341.659328703703</v>
      </c>
      <c r="E595" s="199" t="s">
        <v>12053</v>
      </c>
      <c r="I595" s="198">
        <v>19.73</v>
      </c>
      <c r="K595" s="198">
        <v>64947.63</v>
      </c>
    </row>
    <row r="596" spans="3:11" x14ac:dyDescent="0.2">
      <c r="C596" s="201" t="s">
        <v>12052</v>
      </c>
      <c r="D596" s="200">
        <v>44341.661226851851</v>
      </c>
      <c r="E596" s="199" t="s">
        <v>12051</v>
      </c>
      <c r="I596" s="198">
        <v>9.16</v>
      </c>
      <c r="K596" s="198">
        <v>64956.79</v>
      </c>
    </row>
    <row r="597" spans="3:11" x14ac:dyDescent="0.2">
      <c r="C597" s="201" t="s">
        <v>12050</v>
      </c>
      <c r="D597" s="200">
        <v>44341.662060185183</v>
      </c>
      <c r="E597" s="199" t="s">
        <v>12049</v>
      </c>
      <c r="I597" s="198">
        <v>6.16</v>
      </c>
      <c r="K597" s="198">
        <v>64962.95</v>
      </c>
    </row>
    <row r="598" spans="3:11" x14ac:dyDescent="0.2">
      <c r="C598" s="201" t="s">
        <v>12048</v>
      </c>
      <c r="D598" s="200">
        <v>44341.663229166668</v>
      </c>
      <c r="E598" s="199" t="s">
        <v>12047</v>
      </c>
      <c r="I598" s="198">
        <v>2.15</v>
      </c>
      <c r="K598" s="198">
        <v>64965.1</v>
      </c>
    </row>
    <row r="599" spans="3:11" x14ac:dyDescent="0.2">
      <c r="C599" s="201" t="s">
        <v>12046</v>
      </c>
      <c r="D599" s="200">
        <v>44341.698692129627</v>
      </c>
      <c r="E599" s="199" t="s">
        <v>12045</v>
      </c>
      <c r="I599" s="198">
        <v>8.43</v>
      </c>
      <c r="K599" s="198">
        <v>64973.53</v>
      </c>
    </row>
    <row r="600" spans="3:11" x14ac:dyDescent="0.2">
      <c r="C600" s="201" t="s">
        <v>12044</v>
      </c>
      <c r="D600" s="200">
        <v>44341.701747685183</v>
      </c>
      <c r="E600" s="199" t="s">
        <v>12043</v>
      </c>
      <c r="I600" s="198">
        <v>3.8</v>
      </c>
      <c r="K600" s="198">
        <v>64977.33</v>
      </c>
    </row>
    <row r="601" spans="3:11" x14ac:dyDescent="0.2">
      <c r="C601" s="201" t="s">
        <v>12042</v>
      </c>
      <c r="D601" s="200">
        <v>44341</v>
      </c>
      <c r="E601" s="199" t="s">
        <v>12041</v>
      </c>
      <c r="I601" s="198">
        <v>7.82</v>
      </c>
      <c r="K601" s="198">
        <v>64985.15</v>
      </c>
    </row>
    <row r="602" spans="3:11" x14ac:dyDescent="0.2">
      <c r="C602" s="201" t="s">
        <v>12040</v>
      </c>
      <c r="D602" s="200">
        <v>44341</v>
      </c>
      <c r="E602" s="199" t="s">
        <v>12039</v>
      </c>
      <c r="I602" s="198">
        <v>3.81</v>
      </c>
      <c r="K602" s="198">
        <v>64988.959999999999</v>
      </c>
    </row>
    <row r="603" spans="3:11" x14ac:dyDescent="0.2">
      <c r="C603" s="201" t="s">
        <v>12038</v>
      </c>
      <c r="D603" s="200">
        <v>44341</v>
      </c>
      <c r="E603" s="199" t="s">
        <v>12037</v>
      </c>
      <c r="I603" s="198">
        <v>6.94</v>
      </c>
      <c r="K603" s="198">
        <v>64995.9</v>
      </c>
    </row>
    <row r="604" spans="3:11" x14ac:dyDescent="0.2">
      <c r="C604" s="201" t="s">
        <v>12036</v>
      </c>
      <c r="D604" s="200">
        <v>44341</v>
      </c>
      <c r="E604" s="199" t="s">
        <v>12035</v>
      </c>
      <c r="I604" s="198">
        <v>8.3800000000000008</v>
      </c>
      <c r="K604" s="198">
        <v>65004.28</v>
      </c>
    </row>
    <row r="605" spans="3:11" x14ac:dyDescent="0.2">
      <c r="C605" s="201" t="s">
        <v>12034</v>
      </c>
      <c r="D605" s="200">
        <v>44341</v>
      </c>
      <c r="E605" s="199" t="s">
        <v>12033</v>
      </c>
      <c r="I605" s="198">
        <v>25.14</v>
      </c>
      <c r="K605" s="198">
        <v>65029.42</v>
      </c>
    </row>
    <row r="606" spans="3:11" x14ac:dyDescent="0.2">
      <c r="C606" s="201" t="s">
        <v>12032</v>
      </c>
      <c r="D606" s="200">
        <v>44341</v>
      </c>
      <c r="E606" s="199" t="s">
        <v>12031</v>
      </c>
      <c r="I606" s="198">
        <v>16.760000000000002</v>
      </c>
      <c r="K606" s="198">
        <v>65046.18</v>
      </c>
    </row>
    <row r="607" spans="3:11" x14ac:dyDescent="0.2">
      <c r="C607" s="201" t="s">
        <v>12030</v>
      </c>
      <c r="D607" s="200">
        <v>44341</v>
      </c>
      <c r="E607" s="199" t="s">
        <v>12029</v>
      </c>
      <c r="I607" s="198">
        <v>1.68</v>
      </c>
      <c r="K607" s="198">
        <v>65047.86</v>
      </c>
    </row>
    <row r="608" spans="3:11" x14ac:dyDescent="0.2">
      <c r="C608" s="201" t="s">
        <v>12028</v>
      </c>
      <c r="D608" s="200">
        <v>44341</v>
      </c>
      <c r="E608" s="199" t="s">
        <v>12027</v>
      </c>
      <c r="I608" s="198">
        <v>2.15</v>
      </c>
      <c r="K608" s="198">
        <v>65050.01</v>
      </c>
    </row>
    <row r="609" spans="3:11" x14ac:dyDescent="0.2">
      <c r="C609" s="201" t="s">
        <v>12026</v>
      </c>
      <c r="D609" s="200">
        <v>44341</v>
      </c>
      <c r="E609" s="199" t="s">
        <v>12025</v>
      </c>
      <c r="I609" s="198">
        <v>4.88</v>
      </c>
      <c r="K609" s="198">
        <v>65054.89</v>
      </c>
    </row>
    <row r="610" spans="3:11" x14ac:dyDescent="0.2">
      <c r="C610" s="201" t="s">
        <v>12024</v>
      </c>
      <c r="D610" s="200">
        <v>44341</v>
      </c>
      <c r="E610" s="199" t="s">
        <v>12023</v>
      </c>
      <c r="I610" s="198">
        <v>3.79</v>
      </c>
      <c r="K610" s="198">
        <v>65058.68</v>
      </c>
    </row>
    <row r="611" spans="3:11" x14ac:dyDescent="0.2">
      <c r="C611" s="201" t="s">
        <v>12022</v>
      </c>
      <c r="D611" s="200">
        <v>44341</v>
      </c>
      <c r="E611" s="199" t="s">
        <v>12021</v>
      </c>
      <c r="I611" s="198">
        <v>3.9</v>
      </c>
      <c r="K611" s="198">
        <v>65062.58</v>
      </c>
    </row>
    <row r="612" spans="3:11" x14ac:dyDescent="0.2">
      <c r="C612" s="201" t="s">
        <v>12020</v>
      </c>
      <c r="D612" s="200">
        <v>44341</v>
      </c>
      <c r="E612" s="199" t="s">
        <v>12019</v>
      </c>
      <c r="I612" s="198">
        <v>1.68</v>
      </c>
      <c r="K612" s="198">
        <v>65064.26</v>
      </c>
    </row>
    <row r="613" spans="3:11" x14ac:dyDescent="0.2">
      <c r="C613" s="201" t="s">
        <v>12018</v>
      </c>
      <c r="D613" s="200">
        <v>44341</v>
      </c>
      <c r="E613" s="199" t="s">
        <v>12017</v>
      </c>
      <c r="I613" s="198">
        <v>3.3</v>
      </c>
      <c r="K613" s="198">
        <v>65067.56</v>
      </c>
    </row>
    <row r="614" spans="3:11" x14ac:dyDescent="0.2">
      <c r="C614" s="201" t="s">
        <v>11</v>
      </c>
      <c r="D614" s="200">
        <v>44341</v>
      </c>
      <c r="E614" s="199" t="s">
        <v>12016</v>
      </c>
      <c r="J614" s="222">
        <v>26.48</v>
      </c>
      <c r="K614" s="198">
        <v>65041.08</v>
      </c>
    </row>
    <row r="615" spans="3:11" x14ac:dyDescent="0.2">
      <c r="C615" s="201" t="s">
        <v>12015</v>
      </c>
      <c r="D615" s="200">
        <v>44342.382800925923</v>
      </c>
      <c r="E615" s="199" t="s">
        <v>12014</v>
      </c>
      <c r="I615" s="198">
        <v>17.850000000000001</v>
      </c>
      <c r="K615" s="198">
        <v>65058.93</v>
      </c>
    </row>
    <row r="616" spans="3:11" x14ac:dyDescent="0.2">
      <c r="C616" s="201" t="s">
        <v>12013</v>
      </c>
      <c r="D616" s="200">
        <v>44342.383796296293</v>
      </c>
      <c r="E616" s="199" t="s">
        <v>12012</v>
      </c>
      <c r="I616" s="198">
        <v>5.68</v>
      </c>
      <c r="K616" s="198">
        <v>65064.61</v>
      </c>
    </row>
    <row r="617" spans="3:11" x14ac:dyDescent="0.2">
      <c r="C617" s="201" t="s">
        <v>12011</v>
      </c>
      <c r="D617" s="200">
        <v>44342.384479166663</v>
      </c>
      <c r="E617" s="199" t="s">
        <v>12010</v>
      </c>
      <c r="I617" s="198">
        <v>3.32</v>
      </c>
      <c r="K617" s="198">
        <v>65067.93</v>
      </c>
    </row>
    <row r="618" spans="3:11" x14ac:dyDescent="0.2">
      <c r="C618" s="201" t="s">
        <v>12009</v>
      </c>
      <c r="D618" s="200">
        <v>44342.385081018518</v>
      </c>
      <c r="E618" s="199" t="s">
        <v>12008</v>
      </c>
      <c r="I618" s="198">
        <v>4.92</v>
      </c>
      <c r="K618" s="198">
        <v>65072.85</v>
      </c>
    </row>
    <row r="619" spans="3:11" x14ac:dyDescent="0.2">
      <c r="C619" s="201" t="s">
        <v>12007</v>
      </c>
      <c r="D619" s="200">
        <v>44342.390879629631</v>
      </c>
      <c r="E619" s="199" t="s">
        <v>12006</v>
      </c>
      <c r="I619" s="198">
        <v>3.24</v>
      </c>
      <c r="K619" s="198">
        <v>65076.09</v>
      </c>
    </row>
    <row r="620" spans="3:11" x14ac:dyDescent="0.2">
      <c r="C620" s="201" t="s">
        <v>12005</v>
      </c>
      <c r="D620" s="200">
        <v>44342.393576388888</v>
      </c>
      <c r="E620" s="199" t="s">
        <v>12004</v>
      </c>
      <c r="I620" s="198">
        <v>10.52</v>
      </c>
      <c r="K620" s="198">
        <v>65086.61</v>
      </c>
    </row>
    <row r="621" spans="3:11" x14ac:dyDescent="0.2">
      <c r="C621" s="201" t="s">
        <v>12003</v>
      </c>
      <c r="D621" s="200">
        <v>44342.397499999999</v>
      </c>
      <c r="E621" s="199" t="s">
        <v>12002</v>
      </c>
      <c r="I621" s="198">
        <v>2.0699999999999998</v>
      </c>
      <c r="K621" s="198">
        <v>65088.68</v>
      </c>
    </row>
    <row r="622" spans="3:11" x14ac:dyDescent="0.2">
      <c r="C622" s="201" t="s">
        <v>12001</v>
      </c>
      <c r="D622" s="200">
        <v>44342.3987037037</v>
      </c>
      <c r="E622" s="199" t="s">
        <v>12000</v>
      </c>
      <c r="I622" s="198">
        <v>12.36</v>
      </c>
      <c r="K622" s="198">
        <v>65101.04</v>
      </c>
    </row>
    <row r="623" spans="3:11" x14ac:dyDescent="0.2">
      <c r="C623" s="201" t="s">
        <v>11999</v>
      </c>
      <c r="D623" s="200">
        <v>44342.399062500001</v>
      </c>
      <c r="E623" s="199" t="s">
        <v>11998</v>
      </c>
      <c r="I623" s="198">
        <v>1.68</v>
      </c>
      <c r="K623" s="198">
        <v>65102.720000000001</v>
      </c>
    </row>
    <row r="624" spans="3:11" x14ac:dyDescent="0.2">
      <c r="C624" s="201" t="s">
        <v>11997</v>
      </c>
      <c r="D624" s="200">
        <v>44342.400902777779</v>
      </c>
      <c r="E624" s="199" t="s">
        <v>11996</v>
      </c>
      <c r="I624" s="198">
        <v>2.2200000000000002</v>
      </c>
      <c r="K624" s="198">
        <v>65104.94</v>
      </c>
    </row>
    <row r="625" spans="3:11" x14ac:dyDescent="0.2">
      <c r="C625" s="201" t="s">
        <v>11995</v>
      </c>
      <c r="D625" s="200">
        <v>44342.401655092595</v>
      </c>
      <c r="E625" s="199" t="s">
        <v>11994</v>
      </c>
      <c r="I625" s="198">
        <v>1.68</v>
      </c>
      <c r="K625" s="198">
        <v>65106.62</v>
      </c>
    </row>
    <row r="626" spans="3:11" x14ac:dyDescent="0.2">
      <c r="C626" s="201" t="s">
        <v>11993</v>
      </c>
      <c r="D626" s="200">
        <v>44342.402094907404</v>
      </c>
      <c r="E626" s="199" t="s">
        <v>11992</v>
      </c>
      <c r="I626" s="198">
        <v>2.38</v>
      </c>
      <c r="K626" s="198">
        <v>65109</v>
      </c>
    </row>
    <row r="627" spans="3:11" x14ac:dyDescent="0.2">
      <c r="C627" s="201" t="s">
        <v>11991</v>
      </c>
      <c r="D627" s="200">
        <v>44342.402962962966</v>
      </c>
      <c r="E627" s="199" t="s">
        <v>11990</v>
      </c>
      <c r="I627" s="198">
        <v>2.08</v>
      </c>
      <c r="K627" s="198">
        <v>65111.08</v>
      </c>
    </row>
    <row r="628" spans="3:11" x14ac:dyDescent="0.2">
      <c r="C628" s="201" t="s">
        <v>11989</v>
      </c>
      <c r="D628" s="200">
        <v>44342.406284722223</v>
      </c>
      <c r="E628" s="199" t="s">
        <v>11988</v>
      </c>
      <c r="I628" s="198">
        <v>1.68</v>
      </c>
      <c r="K628" s="198">
        <v>65112.76</v>
      </c>
    </row>
    <row r="629" spans="3:11" x14ac:dyDescent="0.2">
      <c r="C629" s="201" t="s">
        <v>11987</v>
      </c>
      <c r="D629" s="200">
        <v>44342.406712962962</v>
      </c>
      <c r="E629" s="199" t="s">
        <v>11986</v>
      </c>
      <c r="I629" s="198">
        <v>6.78</v>
      </c>
      <c r="K629" s="198">
        <v>65119.54</v>
      </c>
    </row>
    <row r="630" spans="3:11" x14ac:dyDescent="0.2">
      <c r="C630" s="201" t="s">
        <v>11985</v>
      </c>
      <c r="D630" s="200">
        <v>44342.41033564815</v>
      </c>
      <c r="E630" s="199" t="s">
        <v>11984</v>
      </c>
      <c r="I630" s="198">
        <v>1.68</v>
      </c>
      <c r="K630" s="198">
        <v>65121.22</v>
      </c>
    </row>
    <row r="631" spans="3:11" x14ac:dyDescent="0.2">
      <c r="C631" s="201" t="s">
        <v>11983</v>
      </c>
      <c r="D631" s="200">
        <v>44342.410752314812</v>
      </c>
      <c r="E631" s="199" t="s">
        <v>11982</v>
      </c>
      <c r="I631" s="198">
        <v>3.49</v>
      </c>
      <c r="K631" s="198">
        <v>65124.71</v>
      </c>
    </row>
    <row r="632" spans="3:11" x14ac:dyDescent="0.2">
      <c r="C632" s="201" t="s">
        <v>11981</v>
      </c>
      <c r="D632" s="200">
        <v>44342.411550925928</v>
      </c>
      <c r="E632" s="199" t="s">
        <v>11980</v>
      </c>
      <c r="I632" s="198">
        <v>2.2599999999999998</v>
      </c>
      <c r="K632" s="198">
        <v>65126.97</v>
      </c>
    </row>
    <row r="633" spans="3:11" x14ac:dyDescent="0.2">
      <c r="C633" s="201" t="s">
        <v>11979</v>
      </c>
      <c r="D633" s="200">
        <v>44342.411990740744</v>
      </c>
      <c r="E633" s="199" t="s">
        <v>11978</v>
      </c>
      <c r="I633" s="198">
        <v>17.350000000000001</v>
      </c>
      <c r="K633" s="198">
        <v>65144.32</v>
      </c>
    </row>
    <row r="634" spans="3:11" x14ac:dyDescent="0.2">
      <c r="C634" s="201" t="s">
        <v>11977</v>
      </c>
      <c r="D634" s="200">
        <v>44342.412442129629</v>
      </c>
      <c r="E634" s="199" t="s">
        <v>11976</v>
      </c>
      <c r="I634" s="198">
        <v>6.58</v>
      </c>
      <c r="K634" s="198">
        <v>65150.9</v>
      </c>
    </row>
    <row r="635" spans="3:11" x14ac:dyDescent="0.2">
      <c r="C635" s="201" t="s">
        <v>11975</v>
      </c>
      <c r="D635" s="200">
        <v>44342.412835648145</v>
      </c>
      <c r="E635" s="199" t="s">
        <v>11974</v>
      </c>
      <c r="I635" s="198">
        <v>6.27</v>
      </c>
      <c r="K635" s="198">
        <v>65157.17</v>
      </c>
    </row>
    <row r="636" spans="3:11" x14ac:dyDescent="0.2">
      <c r="C636" s="201" t="s">
        <v>11973</v>
      </c>
      <c r="D636" s="200">
        <v>44342.413263888891</v>
      </c>
      <c r="E636" s="199" t="s">
        <v>11972</v>
      </c>
      <c r="I636" s="198">
        <v>12.83</v>
      </c>
      <c r="K636" s="198">
        <v>65170</v>
      </c>
    </row>
    <row r="637" spans="3:11" x14ac:dyDescent="0.2">
      <c r="C637" s="201" t="s">
        <v>11971</v>
      </c>
      <c r="D637" s="200">
        <v>44342</v>
      </c>
      <c r="E637" s="199" t="s">
        <v>11970</v>
      </c>
      <c r="I637" s="198">
        <v>13.82</v>
      </c>
      <c r="K637" s="198">
        <v>65183.82</v>
      </c>
    </row>
    <row r="638" spans="3:11" x14ac:dyDescent="0.2">
      <c r="C638" s="201" t="s">
        <v>11969</v>
      </c>
      <c r="D638" s="200">
        <v>44342</v>
      </c>
      <c r="E638" s="199" t="s">
        <v>11968</v>
      </c>
      <c r="I638" s="198">
        <v>1.92</v>
      </c>
      <c r="K638" s="198">
        <v>65185.74</v>
      </c>
    </row>
    <row r="639" spans="3:11" x14ac:dyDescent="0.2">
      <c r="C639" s="201" t="s">
        <v>11967</v>
      </c>
      <c r="D639" s="200">
        <v>44342</v>
      </c>
      <c r="E639" s="199" t="s">
        <v>11966</v>
      </c>
      <c r="I639" s="198">
        <v>1.68</v>
      </c>
      <c r="K639" s="198">
        <v>65187.42</v>
      </c>
    </row>
    <row r="640" spans="3:11" x14ac:dyDescent="0.2">
      <c r="C640" s="201" t="s">
        <v>11965</v>
      </c>
      <c r="D640" s="200">
        <v>44342</v>
      </c>
      <c r="E640" s="199" t="s">
        <v>11964</v>
      </c>
      <c r="I640" s="198">
        <v>3.36</v>
      </c>
      <c r="K640" s="198">
        <v>65190.78</v>
      </c>
    </row>
    <row r="641" spans="3:11" x14ac:dyDescent="0.2">
      <c r="C641" s="201" t="s">
        <v>11963</v>
      </c>
      <c r="D641" s="200">
        <v>44342</v>
      </c>
      <c r="E641" s="199" t="s">
        <v>11962</v>
      </c>
      <c r="I641" s="198">
        <v>4.6399999999999997</v>
      </c>
      <c r="K641" s="198">
        <v>65195.42</v>
      </c>
    </row>
    <row r="642" spans="3:11" x14ac:dyDescent="0.2">
      <c r="C642" s="201" t="s">
        <v>11961</v>
      </c>
      <c r="D642" s="200">
        <v>44342</v>
      </c>
      <c r="E642" s="199" t="s">
        <v>11960</v>
      </c>
      <c r="I642" s="198">
        <v>13.16</v>
      </c>
      <c r="K642" s="198">
        <v>65208.58</v>
      </c>
    </row>
    <row r="643" spans="3:11" x14ac:dyDescent="0.2">
      <c r="C643" s="201" t="s">
        <v>11959</v>
      </c>
      <c r="D643" s="200">
        <v>44342</v>
      </c>
      <c r="E643" s="199" t="s">
        <v>11958</v>
      </c>
      <c r="I643" s="198">
        <v>1.68</v>
      </c>
      <c r="K643" s="198">
        <v>65210.26</v>
      </c>
    </row>
    <row r="644" spans="3:11" x14ac:dyDescent="0.2">
      <c r="C644" s="201" t="s">
        <v>11957</v>
      </c>
      <c r="D644" s="200">
        <v>44342</v>
      </c>
      <c r="E644" s="199" t="s">
        <v>11956</v>
      </c>
      <c r="I644" s="198">
        <v>8.01</v>
      </c>
      <c r="K644" s="198">
        <v>65218.27</v>
      </c>
    </row>
    <row r="645" spans="3:11" x14ac:dyDescent="0.2">
      <c r="C645" s="201" t="s">
        <v>11955</v>
      </c>
      <c r="D645" s="200">
        <v>44342</v>
      </c>
      <c r="E645" s="199" t="s">
        <v>11954</v>
      </c>
      <c r="I645" s="198">
        <v>2.08</v>
      </c>
      <c r="K645" s="198">
        <v>65220.35</v>
      </c>
    </row>
    <row r="646" spans="3:11" x14ac:dyDescent="0.2">
      <c r="C646" s="201" t="s">
        <v>11953</v>
      </c>
      <c r="D646" s="200">
        <v>44342</v>
      </c>
      <c r="E646" s="199" t="s">
        <v>11952</v>
      </c>
      <c r="I646" s="198">
        <v>25.14</v>
      </c>
      <c r="K646" s="198">
        <v>65245.49</v>
      </c>
    </row>
    <row r="647" spans="3:11" x14ac:dyDescent="0.2">
      <c r="C647" s="201" t="s">
        <v>11951</v>
      </c>
      <c r="D647" s="200">
        <v>44342</v>
      </c>
      <c r="E647" s="199" t="s">
        <v>11950</v>
      </c>
      <c r="I647" s="198">
        <v>12.3</v>
      </c>
      <c r="K647" s="198">
        <v>65257.79</v>
      </c>
    </row>
    <row r="648" spans="3:11" x14ac:dyDescent="0.2">
      <c r="C648" s="201" t="s">
        <v>11949</v>
      </c>
      <c r="D648" s="200">
        <v>44342</v>
      </c>
      <c r="E648" s="199" t="s">
        <v>11948</v>
      </c>
      <c r="I648" s="198">
        <v>4.3</v>
      </c>
      <c r="K648" s="198">
        <v>65262.09</v>
      </c>
    </row>
    <row r="649" spans="3:11" x14ac:dyDescent="0.2">
      <c r="C649" s="201" t="s">
        <v>11947</v>
      </c>
      <c r="D649" s="200">
        <v>44342</v>
      </c>
      <c r="E649" s="199" t="s">
        <v>11946</v>
      </c>
      <c r="I649" s="198">
        <v>4.62</v>
      </c>
      <c r="K649" s="198">
        <v>65266.71</v>
      </c>
    </row>
    <row r="650" spans="3:11" x14ac:dyDescent="0.2">
      <c r="C650" s="201" t="s">
        <v>11945</v>
      </c>
      <c r="D650" s="200">
        <v>44342</v>
      </c>
      <c r="E650" s="199" t="s">
        <v>11944</v>
      </c>
      <c r="I650" s="198">
        <v>6.6</v>
      </c>
      <c r="K650" s="198">
        <v>65273.31</v>
      </c>
    </row>
    <row r="651" spans="3:11" x14ac:dyDescent="0.2">
      <c r="C651" s="201" t="s">
        <v>11943</v>
      </c>
      <c r="D651" s="200">
        <v>44342</v>
      </c>
      <c r="E651" s="199" t="s">
        <v>11942</v>
      </c>
      <c r="I651" s="198">
        <v>27.06</v>
      </c>
      <c r="K651" s="198">
        <v>65300.37</v>
      </c>
    </row>
    <row r="652" spans="3:11" x14ac:dyDescent="0.2">
      <c r="C652" s="201" t="s">
        <v>11941</v>
      </c>
      <c r="D652" s="200">
        <v>44342</v>
      </c>
      <c r="E652" s="199" t="s">
        <v>11940</v>
      </c>
      <c r="I652" s="198">
        <v>4.97</v>
      </c>
      <c r="K652" s="198">
        <v>65305.34</v>
      </c>
    </row>
    <row r="653" spans="3:11" x14ac:dyDescent="0.2">
      <c r="C653" s="201" t="s">
        <v>11939</v>
      </c>
      <c r="D653" s="200">
        <v>44342</v>
      </c>
      <c r="E653" s="199" t="s">
        <v>11938</v>
      </c>
      <c r="I653" s="198">
        <v>3.36</v>
      </c>
      <c r="K653" s="198">
        <v>65308.7</v>
      </c>
    </row>
    <row r="654" spans="3:11" x14ac:dyDescent="0.2">
      <c r="C654" s="201" t="s">
        <v>11937</v>
      </c>
      <c r="D654" s="200">
        <v>44342</v>
      </c>
      <c r="E654" s="199" t="s">
        <v>11936</v>
      </c>
      <c r="I654" s="198">
        <v>6.94</v>
      </c>
      <c r="K654" s="198">
        <v>65315.64</v>
      </c>
    </row>
    <row r="655" spans="3:11" x14ac:dyDescent="0.2">
      <c r="C655" s="201" t="s">
        <v>1545</v>
      </c>
      <c r="D655" s="200">
        <v>44342</v>
      </c>
      <c r="E655" s="199" t="s">
        <v>11935</v>
      </c>
      <c r="J655" s="222">
        <v>7.49</v>
      </c>
      <c r="K655" s="198">
        <v>65308.15</v>
      </c>
    </row>
    <row r="656" spans="3:11" x14ac:dyDescent="0.2">
      <c r="C656" s="201" t="s">
        <v>11934</v>
      </c>
      <c r="D656" s="200">
        <v>44343</v>
      </c>
      <c r="E656" s="199" t="s">
        <v>11933</v>
      </c>
      <c r="I656" s="198">
        <v>1253.0999999999999</v>
      </c>
      <c r="K656" s="198">
        <v>66561.25</v>
      </c>
    </row>
    <row r="657" spans="3:11" x14ac:dyDescent="0.2">
      <c r="C657" s="201" t="s">
        <v>11932</v>
      </c>
      <c r="D657" s="200">
        <v>44343.404999999999</v>
      </c>
      <c r="E657" s="199" t="s">
        <v>11931</v>
      </c>
      <c r="I657" s="198">
        <v>3.42</v>
      </c>
      <c r="K657" s="198">
        <v>66564.67</v>
      </c>
    </row>
    <row r="658" spans="3:11" x14ac:dyDescent="0.2">
      <c r="C658" s="201" t="s">
        <v>11930</v>
      </c>
      <c r="D658" s="200">
        <v>44343.405590277776</v>
      </c>
      <c r="E658" s="199" t="s">
        <v>11929</v>
      </c>
      <c r="I658" s="198">
        <v>1.84</v>
      </c>
      <c r="K658" s="198">
        <v>66566.509999999995</v>
      </c>
    </row>
    <row r="659" spans="3:11" x14ac:dyDescent="0.2">
      <c r="C659" s="201" t="s">
        <v>11928</v>
      </c>
      <c r="D659" s="200">
        <v>44343.406006944446</v>
      </c>
      <c r="E659" s="199" t="s">
        <v>11927</v>
      </c>
      <c r="I659" s="198">
        <v>1.86</v>
      </c>
      <c r="K659" s="198">
        <v>66568.37</v>
      </c>
    </row>
    <row r="660" spans="3:11" x14ac:dyDescent="0.2">
      <c r="C660" s="201" t="s">
        <v>11926</v>
      </c>
      <c r="D660" s="200">
        <v>44343.406539351854</v>
      </c>
      <c r="E660" s="199" t="s">
        <v>11925</v>
      </c>
      <c r="I660" s="198">
        <v>4.45</v>
      </c>
      <c r="K660" s="198">
        <v>66572.820000000007</v>
      </c>
    </row>
    <row r="661" spans="3:11" x14ac:dyDescent="0.2">
      <c r="C661" s="201" t="s">
        <v>11924</v>
      </c>
      <c r="D661" s="200">
        <v>44343.406921296293</v>
      </c>
      <c r="E661" s="199" t="s">
        <v>11923</v>
      </c>
      <c r="I661" s="198">
        <v>7.32</v>
      </c>
      <c r="K661" s="198">
        <v>66580.14</v>
      </c>
    </row>
    <row r="662" spans="3:11" x14ac:dyDescent="0.2">
      <c r="C662" s="201" t="s">
        <v>11922</v>
      </c>
      <c r="D662" s="200">
        <v>44343.408912037034</v>
      </c>
      <c r="E662" s="199" t="s">
        <v>11921</v>
      </c>
      <c r="I662" s="198">
        <v>0.5</v>
      </c>
      <c r="K662" s="198">
        <v>66580.639999999999</v>
      </c>
    </row>
    <row r="663" spans="3:11" x14ac:dyDescent="0.2">
      <c r="C663" s="201" t="s">
        <v>11920</v>
      </c>
      <c r="D663" s="200">
        <v>44343.409375000003</v>
      </c>
      <c r="E663" s="199" t="s">
        <v>11919</v>
      </c>
      <c r="I663" s="198">
        <v>15.92</v>
      </c>
      <c r="K663" s="198">
        <v>66596.56</v>
      </c>
    </row>
    <row r="664" spans="3:11" x14ac:dyDescent="0.2">
      <c r="C664" s="201" t="s">
        <v>11918</v>
      </c>
      <c r="D664" s="200">
        <v>44343.409814814811</v>
      </c>
      <c r="E664" s="199" t="s">
        <v>11917</v>
      </c>
      <c r="I664" s="198">
        <v>4.18</v>
      </c>
      <c r="K664" s="198">
        <v>66600.740000000005</v>
      </c>
    </row>
    <row r="665" spans="3:11" x14ac:dyDescent="0.2">
      <c r="C665" s="201" t="s">
        <v>11916</v>
      </c>
      <c r="D665" s="200">
        <v>44343.410405092596</v>
      </c>
      <c r="E665" s="199" t="s">
        <v>11915</v>
      </c>
      <c r="I665" s="198">
        <v>3.48</v>
      </c>
      <c r="K665" s="198">
        <v>66604.22</v>
      </c>
    </row>
    <row r="666" spans="3:11" x14ac:dyDescent="0.2">
      <c r="C666" s="201" t="s">
        <v>11914</v>
      </c>
      <c r="D666" s="200">
        <v>44343.413518518515</v>
      </c>
      <c r="E666" s="199" t="s">
        <v>11913</v>
      </c>
      <c r="I666" s="198">
        <v>5.67</v>
      </c>
      <c r="K666" s="198">
        <v>66609.89</v>
      </c>
    </row>
    <row r="667" spans="3:11" x14ac:dyDescent="0.2">
      <c r="C667" s="201" t="s">
        <v>11912</v>
      </c>
      <c r="D667" s="200">
        <v>44343.413958333331</v>
      </c>
      <c r="E667" s="199" t="s">
        <v>11911</v>
      </c>
      <c r="I667" s="198">
        <v>24.86</v>
      </c>
      <c r="K667" s="198">
        <v>66634.75</v>
      </c>
    </row>
    <row r="668" spans="3:11" x14ac:dyDescent="0.2">
      <c r="C668" s="201" t="s">
        <v>11910</v>
      </c>
      <c r="D668" s="200">
        <v>44343.414409722223</v>
      </c>
      <c r="E668" s="199" t="s">
        <v>11909</v>
      </c>
      <c r="I668" s="198">
        <v>3.42</v>
      </c>
      <c r="K668" s="198">
        <v>66638.17</v>
      </c>
    </row>
    <row r="669" spans="3:11" x14ac:dyDescent="0.2">
      <c r="C669" s="201" t="s">
        <v>11908</v>
      </c>
      <c r="D669" s="200">
        <v>44343.414814814816</v>
      </c>
      <c r="E669" s="199" t="s">
        <v>11907</v>
      </c>
      <c r="I669" s="198">
        <v>5.39</v>
      </c>
      <c r="K669" s="198">
        <v>66643.56</v>
      </c>
    </row>
    <row r="670" spans="3:11" x14ac:dyDescent="0.2">
      <c r="C670" s="201" t="s">
        <v>11906</v>
      </c>
      <c r="D670" s="200">
        <v>44343.415497685186</v>
      </c>
      <c r="E670" s="199" t="s">
        <v>11905</v>
      </c>
      <c r="I670" s="198">
        <v>5.37</v>
      </c>
      <c r="K670" s="198">
        <v>66648.929999999993</v>
      </c>
    </row>
    <row r="671" spans="3:11" x14ac:dyDescent="0.2">
      <c r="C671" s="201" t="s">
        <v>11904</v>
      </c>
      <c r="D671" s="200">
        <v>44343.415844907409</v>
      </c>
      <c r="E671" s="199" t="s">
        <v>11903</v>
      </c>
      <c r="I671" s="198">
        <v>1.56</v>
      </c>
      <c r="K671" s="198">
        <v>66650.490000000005</v>
      </c>
    </row>
    <row r="672" spans="3:11" x14ac:dyDescent="0.2">
      <c r="C672" s="201" t="s">
        <v>11902</v>
      </c>
      <c r="D672" s="200">
        <v>44343.416284722225</v>
      </c>
      <c r="E672" s="199" t="s">
        <v>11901</v>
      </c>
      <c r="I672" s="198">
        <v>1</v>
      </c>
      <c r="K672" s="198">
        <v>66651.490000000005</v>
      </c>
    </row>
    <row r="673" spans="3:11" x14ac:dyDescent="0.2">
      <c r="C673" s="201" t="s">
        <v>11900</v>
      </c>
      <c r="D673" s="200">
        <v>44343.416655092595</v>
      </c>
      <c r="E673" s="199" t="s">
        <v>11899</v>
      </c>
      <c r="I673" s="198">
        <v>3.19</v>
      </c>
      <c r="K673" s="198">
        <v>66654.679999999993</v>
      </c>
    </row>
    <row r="674" spans="3:11" x14ac:dyDescent="0.2">
      <c r="C674" s="201" t="s">
        <v>11898</v>
      </c>
      <c r="D674" s="200">
        <v>44343.417037037034</v>
      </c>
      <c r="E674" s="199" t="s">
        <v>11897</v>
      </c>
      <c r="I674" s="198">
        <v>45.63</v>
      </c>
      <c r="K674" s="198">
        <v>66700.31</v>
      </c>
    </row>
    <row r="675" spans="3:11" x14ac:dyDescent="0.2">
      <c r="C675" s="201" t="s">
        <v>11896</v>
      </c>
      <c r="D675" s="200">
        <v>44343.417500000003</v>
      </c>
      <c r="E675" s="199" t="s">
        <v>11895</v>
      </c>
      <c r="I675" s="198">
        <v>6.59</v>
      </c>
      <c r="K675" s="198">
        <v>66706.899999999994</v>
      </c>
    </row>
    <row r="676" spans="3:11" x14ac:dyDescent="0.2">
      <c r="C676" s="201" t="s">
        <v>11894</v>
      </c>
      <c r="D676" s="200">
        <v>44343.417916666665</v>
      </c>
      <c r="E676" s="199" t="s">
        <v>11893</v>
      </c>
      <c r="I676" s="198">
        <v>18.98</v>
      </c>
      <c r="K676" s="198">
        <v>66725.88</v>
      </c>
    </row>
    <row r="677" spans="3:11" x14ac:dyDescent="0.2">
      <c r="C677" s="201" t="s">
        <v>11892</v>
      </c>
      <c r="D677" s="200">
        <v>44343.418495370373</v>
      </c>
      <c r="E677" s="199" t="s">
        <v>11891</v>
      </c>
      <c r="I677" s="198">
        <v>3.4</v>
      </c>
      <c r="K677" s="198">
        <v>66729.279999999999</v>
      </c>
    </row>
    <row r="678" spans="3:11" x14ac:dyDescent="0.2">
      <c r="C678" s="201" t="s">
        <v>11890</v>
      </c>
      <c r="D678" s="200">
        <v>44343.419004629628</v>
      </c>
      <c r="E678" s="199" t="s">
        <v>11889</v>
      </c>
      <c r="I678" s="198">
        <v>3.06</v>
      </c>
      <c r="K678" s="198">
        <v>66732.34</v>
      </c>
    </row>
    <row r="679" spans="3:11" x14ac:dyDescent="0.2">
      <c r="C679" s="201" t="s">
        <v>11888</v>
      </c>
      <c r="D679" s="200">
        <v>44343</v>
      </c>
      <c r="E679" s="199" t="s">
        <v>11887</v>
      </c>
      <c r="I679" s="198">
        <v>16.760000000000002</v>
      </c>
      <c r="K679" s="198">
        <v>66749.100000000006</v>
      </c>
    </row>
    <row r="680" spans="3:11" x14ac:dyDescent="0.2">
      <c r="C680" s="201" t="s">
        <v>11886</v>
      </c>
      <c r="D680" s="200">
        <v>44343</v>
      </c>
      <c r="E680" s="199" t="s">
        <v>11885</v>
      </c>
      <c r="I680" s="198">
        <v>5.28</v>
      </c>
      <c r="K680" s="198">
        <v>66754.38</v>
      </c>
    </row>
    <row r="681" spans="3:11" x14ac:dyDescent="0.2">
      <c r="C681" s="201" t="s">
        <v>11884</v>
      </c>
      <c r="D681" s="200">
        <v>44343</v>
      </c>
      <c r="E681" s="199" t="s">
        <v>11883</v>
      </c>
      <c r="I681" s="198">
        <v>7.85</v>
      </c>
      <c r="K681" s="198">
        <v>66762.23</v>
      </c>
    </row>
    <row r="682" spans="3:11" x14ac:dyDescent="0.2">
      <c r="C682" s="201" t="s">
        <v>11882</v>
      </c>
      <c r="D682" s="200">
        <v>44343</v>
      </c>
      <c r="E682" s="199" t="s">
        <v>11881</v>
      </c>
      <c r="I682" s="198">
        <v>3.36</v>
      </c>
      <c r="K682" s="198">
        <v>66765.59</v>
      </c>
    </row>
    <row r="683" spans="3:11" x14ac:dyDescent="0.2">
      <c r="C683" s="201" t="s">
        <v>11880</v>
      </c>
      <c r="D683" s="200">
        <v>44343</v>
      </c>
      <c r="E683" s="199" t="s">
        <v>11879</v>
      </c>
      <c r="I683" s="198">
        <v>9.91</v>
      </c>
      <c r="K683" s="198">
        <v>66775.5</v>
      </c>
    </row>
    <row r="684" spans="3:11" x14ac:dyDescent="0.2">
      <c r="C684" s="201" t="s">
        <v>11878</v>
      </c>
      <c r="D684" s="200">
        <v>44343</v>
      </c>
      <c r="E684" s="199" t="s">
        <v>11877</v>
      </c>
      <c r="I684" s="198">
        <v>15.31</v>
      </c>
      <c r="K684" s="198">
        <v>66790.81</v>
      </c>
    </row>
    <row r="685" spans="3:11" x14ac:dyDescent="0.2">
      <c r="C685" s="201" t="s">
        <v>11876</v>
      </c>
      <c r="D685" s="200">
        <v>44343</v>
      </c>
      <c r="E685" s="199" t="s">
        <v>11875</v>
      </c>
      <c r="I685" s="198">
        <v>6.94</v>
      </c>
      <c r="K685" s="198">
        <v>66797.75</v>
      </c>
    </row>
    <row r="686" spans="3:11" x14ac:dyDescent="0.2">
      <c r="C686" s="201" t="s">
        <v>11874</v>
      </c>
      <c r="D686" s="200">
        <v>44343</v>
      </c>
      <c r="E686" s="199" t="s">
        <v>11873</v>
      </c>
      <c r="I686" s="198">
        <v>35.799999999999997</v>
      </c>
      <c r="K686" s="198">
        <v>66833.55</v>
      </c>
    </row>
    <row r="687" spans="3:11" x14ac:dyDescent="0.2">
      <c r="C687" s="201" t="s">
        <v>11872</v>
      </c>
      <c r="D687" s="200">
        <v>44343</v>
      </c>
      <c r="E687" s="199" t="s">
        <v>11871</v>
      </c>
      <c r="I687" s="198">
        <v>7.1</v>
      </c>
      <c r="K687" s="198">
        <v>66840.649999999994</v>
      </c>
    </row>
    <row r="688" spans="3:11" x14ac:dyDescent="0.2">
      <c r="C688" s="201" t="s">
        <v>11870</v>
      </c>
      <c r="D688" s="200">
        <v>44343</v>
      </c>
      <c r="E688" s="199" t="s">
        <v>11869</v>
      </c>
      <c r="I688" s="198">
        <v>6.64</v>
      </c>
      <c r="K688" s="198">
        <v>66847.289999999994</v>
      </c>
    </row>
    <row r="689" spans="3:11" x14ac:dyDescent="0.2">
      <c r="C689" s="201" t="s">
        <v>11868</v>
      </c>
      <c r="D689" s="200">
        <v>44343</v>
      </c>
      <c r="E689" s="199" t="s">
        <v>11867</v>
      </c>
      <c r="I689" s="198">
        <v>1.72</v>
      </c>
      <c r="K689" s="198">
        <v>66849.009999999995</v>
      </c>
    </row>
    <row r="690" spans="3:11" x14ac:dyDescent="0.2">
      <c r="C690" s="201" t="s">
        <v>11866</v>
      </c>
      <c r="D690" s="200">
        <v>44343</v>
      </c>
      <c r="E690" s="199" t="s">
        <v>11865</v>
      </c>
      <c r="I690" s="198">
        <v>3.36</v>
      </c>
      <c r="K690" s="198">
        <v>66852.37</v>
      </c>
    </row>
    <row r="691" spans="3:11" x14ac:dyDescent="0.2">
      <c r="C691" s="201" t="s">
        <v>11864</v>
      </c>
      <c r="D691" s="200">
        <v>44343</v>
      </c>
      <c r="E691" s="199" t="s">
        <v>11863</v>
      </c>
      <c r="I691" s="198">
        <v>13.88</v>
      </c>
      <c r="K691" s="198">
        <v>66866.25</v>
      </c>
    </row>
    <row r="692" spans="3:11" x14ac:dyDescent="0.2">
      <c r="C692" s="201" t="s">
        <v>11862</v>
      </c>
      <c r="D692" s="200">
        <v>44343.772638888891</v>
      </c>
      <c r="E692" s="199" t="s">
        <v>11861</v>
      </c>
      <c r="I692" s="198">
        <v>0.84</v>
      </c>
      <c r="K692" s="198">
        <v>66867.09</v>
      </c>
    </row>
    <row r="693" spans="3:11" x14ac:dyDescent="0.2">
      <c r="C693" s="201" t="s">
        <v>11860</v>
      </c>
      <c r="D693" s="200">
        <v>44343.773125</v>
      </c>
      <c r="E693" s="199" t="s">
        <v>11859</v>
      </c>
      <c r="I693" s="198">
        <v>8.44</v>
      </c>
      <c r="K693" s="198">
        <v>66875.53</v>
      </c>
    </row>
    <row r="694" spans="3:11" x14ac:dyDescent="0.2">
      <c r="C694" s="201" t="s">
        <v>11858</v>
      </c>
      <c r="D694" s="200">
        <v>44343.773599537039</v>
      </c>
      <c r="E694" s="199" t="s">
        <v>11857</v>
      </c>
      <c r="I694" s="198">
        <v>6.94</v>
      </c>
      <c r="K694" s="198">
        <v>66882.47</v>
      </c>
    </row>
    <row r="695" spans="3:11" x14ac:dyDescent="0.2">
      <c r="C695" s="201" t="s">
        <v>11856</v>
      </c>
      <c r="D695" s="200">
        <v>44343.775775462964</v>
      </c>
      <c r="E695" s="199" t="s">
        <v>11855</v>
      </c>
      <c r="I695" s="198">
        <v>4.5999999999999996</v>
      </c>
      <c r="K695" s="198">
        <v>66887.070000000007</v>
      </c>
    </row>
    <row r="696" spans="3:11" x14ac:dyDescent="0.2">
      <c r="C696" s="201" t="s">
        <v>11854</v>
      </c>
      <c r="D696" s="200">
        <v>44343.777870370373</v>
      </c>
      <c r="E696" s="199" t="s">
        <v>11853</v>
      </c>
      <c r="I696" s="198">
        <v>7.55</v>
      </c>
      <c r="K696" s="198">
        <v>66894.62</v>
      </c>
    </row>
    <row r="697" spans="3:11" x14ac:dyDescent="0.2">
      <c r="C697" s="201" t="s">
        <v>11852</v>
      </c>
      <c r="D697" s="200">
        <v>44343.778680555559</v>
      </c>
      <c r="E697" s="199" t="s">
        <v>11851</v>
      </c>
      <c r="I697" s="198">
        <v>6.4</v>
      </c>
      <c r="K697" s="198">
        <v>66901.02</v>
      </c>
    </row>
    <row r="698" spans="3:11" x14ac:dyDescent="0.2">
      <c r="C698" s="201" t="s">
        <v>11850</v>
      </c>
      <c r="D698" s="200">
        <v>44343.779965277776</v>
      </c>
      <c r="E698" s="199" t="s">
        <v>11849</v>
      </c>
      <c r="I698" s="198">
        <v>6.04</v>
      </c>
      <c r="K698" s="198">
        <v>66907.06</v>
      </c>
    </row>
    <row r="699" spans="3:11" x14ac:dyDescent="0.2">
      <c r="C699" s="201" t="s">
        <v>11848</v>
      </c>
      <c r="D699" s="200">
        <v>44343.780370370368</v>
      </c>
      <c r="E699" s="199" t="s">
        <v>11847</v>
      </c>
      <c r="I699" s="198">
        <v>3.26</v>
      </c>
      <c r="K699" s="198">
        <v>66910.320000000007</v>
      </c>
    </row>
    <row r="700" spans="3:11" x14ac:dyDescent="0.2">
      <c r="C700" s="201" t="s">
        <v>11846</v>
      </c>
      <c r="D700" s="200">
        <v>44343.786620370367</v>
      </c>
      <c r="E700" s="199" t="s">
        <v>11845</v>
      </c>
      <c r="I700" s="198">
        <v>1.68</v>
      </c>
      <c r="K700" s="198">
        <v>66912</v>
      </c>
    </row>
    <row r="701" spans="3:11" x14ac:dyDescent="0.2">
      <c r="C701" s="201" t="s">
        <v>11844</v>
      </c>
      <c r="D701" s="200">
        <v>44343.787476851852</v>
      </c>
      <c r="E701" s="199" t="s">
        <v>11843</v>
      </c>
      <c r="I701" s="198">
        <v>4.21</v>
      </c>
      <c r="K701" s="198">
        <v>66916.210000000006</v>
      </c>
    </row>
    <row r="702" spans="3:11" x14ac:dyDescent="0.2">
      <c r="C702" s="201" t="s">
        <v>11842</v>
      </c>
      <c r="D702" s="200">
        <v>44343.788182870368</v>
      </c>
      <c r="E702" s="199" t="s">
        <v>11841</v>
      </c>
      <c r="I702" s="198">
        <v>2.59</v>
      </c>
      <c r="K702" s="198">
        <v>66918.8</v>
      </c>
    </row>
    <row r="703" spans="3:11" x14ac:dyDescent="0.2">
      <c r="C703" s="201" t="s">
        <v>11840</v>
      </c>
      <c r="D703" s="200">
        <v>44343.788611111115</v>
      </c>
      <c r="E703" s="199" t="s">
        <v>11839</v>
      </c>
      <c r="I703" s="198">
        <v>4.72</v>
      </c>
      <c r="K703" s="198">
        <v>66923.520000000004</v>
      </c>
    </row>
    <row r="704" spans="3:11" x14ac:dyDescent="0.2">
      <c r="C704" s="201" t="s">
        <v>11838</v>
      </c>
      <c r="D704" s="200">
        <v>44343.790092592593</v>
      </c>
      <c r="E704" s="199" t="s">
        <v>11837</v>
      </c>
      <c r="I704" s="198">
        <v>7.26</v>
      </c>
      <c r="K704" s="198">
        <v>66930.78</v>
      </c>
    </row>
    <row r="705" spans="3:11" x14ac:dyDescent="0.2">
      <c r="C705" s="201" t="s">
        <v>11836</v>
      </c>
      <c r="D705" s="200">
        <v>44343.790844907409</v>
      </c>
      <c r="E705" s="199" t="s">
        <v>11835</v>
      </c>
      <c r="I705" s="198">
        <v>1.85</v>
      </c>
      <c r="K705" s="198">
        <v>66932.63</v>
      </c>
    </row>
    <row r="706" spans="3:11" x14ac:dyDescent="0.2">
      <c r="C706" s="201" t="s">
        <v>11834</v>
      </c>
      <c r="D706" s="200">
        <v>44343.794710648152</v>
      </c>
      <c r="E706" s="199" t="s">
        <v>11833</v>
      </c>
      <c r="I706" s="198">
        <v>1.68</v>
      </c>
      <c r="K706" s="198">
        <v>66934.31</v>
      </c>
    </row>
    <row r="707" spans="3:11" x14ac:dyDescent="0.2">
      <c r="C707" s="201" t="s">
        <v>11832</v>
      </c>
      <c r="D707" s="200">
        <v>44343.795057870368</v>
      </c>
      <c r="E707" s="199" t="s">
        <v>11831</v>
      </c>
      <c r="I707" s="198">
        <v>1.99</v>
      </c>
      <c r="K707" s="198">
        <v>66936.3</v>
      </c>
    </row>
    <row r="708" spans="3:11" x14ac:dyDescent="0.2">
      <c r="C708" s="201" t="s">
        <v>11830</v>
      </c>
      <c r="D708" s="200">
        <v>44343.795439814814</v>
      </c>
      <c r="E708" s="199" t="s">
        <v>11829</v>
      </c>
      <c r="I708" s="198">
        <v>8.3800000000000008</v>
      </c>
      <c r="K708" s="198">
        <v>66944.679999999993</v>
      </c>
    </row>
    <row r="709" spans="3:11" x14ac:dyDescent="0.2">
      <c r="C709" s="201" t="s">
        <v>11828</v>
      </c>
      <c r="D709" s="200">
        <v>44343.796064814815</v>
      </c>
      <c r="E709" s="199" t="s">
        <v>11827</v>
      </c>
      <c r="I709" s="198">
        <v>4.67</v>
      </c>
      <c r="K709" s="198">
        <v>66949.350000000006</v>
      </c>
    </row>
    <row r="710" spans="3:11" x14ac:dyDescent="0.2">
      <c r="C710" s="201" t="s">
        <v>11826</v>
      </c>
      <c r="D710" s="200">
        <v>44343.796388888892</v>
      </c>
      <c r="E710" s="199" t="s">
        <v>11825</v>
      </c>
      <c r="I710" s="198">
        <v>3.36</v>
      </c>
      <c r="K710" s="198">
        <v>66952.710000000006</v>
      </c>
    </row>
    <row r="711" spans="3:11" x14ac:dyDescent="0.2">
      <c r="C711" s="201" t="s">
        <v>11824</v>
      </c>
      <c r="D711" s="200">
        <v>44343.796759259261</v>
      </c>
      <c r="E711" s="199" t="s">
        <v>11823</v>
      </c>
      <c r="I711" s="198">
        <v>6.94</v>
      </c>
      <c r="K711" s="198">
        <v>66959.649999999994</v>
      </c>
    </row>
    <row r="712" spans="3:11" x14ac:dyDescent="0.2">
      <c r="C712" s="201" t="s">
        <v>11822</v>
      </c>
      <c r="D712" s="200">
        <v>44343.797500000001</v>
      </c>
      <c r="E712" s="199" t="s">
        <v>11821</v>
      </c>
      <c r="I712" s="198">
        <v>3.36</v>
      </c>
      <c r="K712" s="198">
        <v>66963.009999999995</v>
      </c>
    </row>
    <row r="713" spans="3:11" x14ac:dyDescent="0.2">
      <c r="C713" s="201" t="s">
        <v>11820</v>
      </c>
      <c r="D713" s="200">
        <v>44343.797939814816</v>
      </c>
      <c r="E713" s="199" t="s">
        <v>11819</v>
      </c>
      <c r="I713" s="198">
        <v>16.72</v>
      </c>
      <c r="K713" s="198">
        <v>66979.73</v>
      </c>
    </row>
    <row r="714" spans="3:11" x14ac:dyDescent="0.2">
      <c r="C714" s="201" t="s">
        <v>11818</v>
      </c>
      <c r="D714" s="200">
        <v>44343.798321759263</v>
      </c>
      <c r="E714" s="199" t="s">
        <v>11817</v>
      </c>
      <c r="I714" s="198">
        <v>5.12</v>
      </c>
      <c r="K714" s="198">
        <v>66984.850000000006</v>
      </c>
    </row>
    <row r="715" spans="3:11" x14ac:dyDescent="0.2">
      <c r="C715" s="201" t="s">
        <v>11816</v>
      </c>
      <c r="D715" s="200">
        <v>44343.799247685187</v>
      </c>
      <c r="E715" s="199" t="s">
        <v>11815</v>
      </c>
      <c r="I715" s="198">
        <v>1.68</v>
      </c>
      <c r="K715" s="198">
        <v>66986.53</v>
      </c>
    </row>
    <row r="716" spans="3:11" x14ac:dyDescent="0.2">
      <c r="C716" s="201" t="s">
        <v>11814</v>
      </c>
      <c r="D716" s="200">
        <v>44343.79954861111</v>
      </c>
      <c r="E716" s="199" t="s">
        <v>11813</v>
      </c>
      <c r="I716" s="198">
        <v>8.3800000000000008</v>
      </c>
      <c r="K716" s="198">
        <v>66994.91</v>
      </c>
    </row>
    <row r="717" spans="3:11" x14ac:dyDescent="0.2">
      <c r="C717" s="201" t="s">
        <v>11812</v>
      </c>
      <c r="D717" s="200">
        <v>44343.800405092596</v>
      </c>
      <c r="E717" s="199" t="s">
        <v>11811</v>
      </c>
      <c r="I717" s="198">
        <v>3.36</v>
      </c>
      <c r="K717" s="198">
        <v>66998.27</v>
      </c>
    </row>
    <row r="718" spans="3:11" x14ac:dyDescent="0.2">
      <c r="C718" s="201" t="s">
        <v>11810</v>
      </c>
      <c r="D718" s="200">
        <v>44343</v>
      </c>
      <c r="E718" s="199" t="s">
        <v>11809</v>
      </c>
      <c r="I718" s="198">
        <v>4.24</v>
      </c>
      <c r="K718" s="198">
        <v>67002.509999999995</v>
      </c>
    </row>
    <row r="719" spans="3:11" x14ac:dyDescent="0.2">
      <c r="C719" s="201" t="s">
        <v>11808</v>
      </c>
      <c r="D719" s="200">
        <v>44343</v>
      </c>
      <c r="E719" s="199" t="s">
        <v>11807</v>
      </c>
      <c r="I719" s="198">
        <v>9.76</v>
      </c>
      <c r="K719" s="198">
        <v>67012.27</v>
      </c>
    </row>
    <row r="720" spans="3:11" x14ac:dyDescent="0.2">
      <c r="C720" s="201" t="s">
        <v>11806</v>
      </c>
      <c r="D720" s="200">
        <v>44344.339085648149</v>
      </c>
      <c r="E720" s="199" t="s">
        <v>11805</v>
      </c>
      <c r="I720" s="198">
        <v>5.03</v>
      </c>
      <c r="K720" s="198">
        <v>67017.3</v>
      </c>
    </row>
    <row r="721" spans="3:11" x14ac:dyDescent="0.2">
      <c r="C721" s="201" t="s">
        <v>11804</v>
      </c>
      <c r="D721" s="200">
        <v>44344.339907407404</v>
      </c>
      <c r="E721" s="199" t="s">
        <v>11803</v>
      </c>
      <c r="I721" s="198">
        <v>2.92</v>
      </c>
      <c r="K721" s="198">
        <v>67020.22</v>
      </c>
    </row>
    <row r="722" spans="3:11" x14ac:dyDescent="0.2">
      <c r="C722" s="201" t="s">
        <v>11802</v>
      </c>
      <c r="D722" s="200">
        <v>44344.728101851855</v>
      </c>
      <c r="E722" s="199" t="s">
        <v>11801</v>
      </c>
      <c r="I722" s="198">
        <v>6.82</v>
      </c>
      <c r="K722" s="198">
        <v>67027.039999999994</v>
      </c>
    </row>
    <row r="723" spans="3:11" x14ac:dyDescent="0.2">
      <c r="C723" s="201" t="s">
        <v>11800</v>
      </c>
      <c r="D723" s="200">
        <v>44344</v>
      </c>
      <c r="E723" s="199" t="s">
        <v>11799</v>
      </c>
      <c r="I723" s="198">
        <v>3267.81</v>
      </c>
      <c r="K723" s="198">
        <v>70294.850000000006</v>
      </c>
    </row>
    <row r="724" spans="3:11" x14ac:dyDescent="0.2">
      <c r="C724" s="201" t="s">
        <v>11798</v>
      </c>
      <c r="D724" s="200">
        <v>44344</v>
      </c>
      <c r="E724" s="199" t="s">
        <v>11797</v>
      </c>
      <c r="I724" s="198">
        <v>286.5</v>
      </c>
      <c r="K724" s="198">
        <v>70581.350000000006</v>
      </c>
    </row>
    <row r="725" spans="3:11" x14ac:dyDescent="0.2">
      <c r="C725" s="201" t="s">
        <v>11796</v>
      </c>
      <c r="D725" s="200">
        <v>44344</v>
      </c>
      <c r="E725" s="199" t="s">
        <v>11795</v>
      </c>
      <c r="I725" s="198">
        <v>5.95</v>
      </c>
      <c r="K725" s="198">
        <v>70587.3</v>
      </c>
    </row>
    <row r="726" spans="3:11" x14ac:dyDescent="0.2">
      <c r="C726" s="201" t="s">
        <v>11794</v>
      </c>
      <c r="D726" s="200">
        <v>44344</v>
      </c>
      <c r="E726" s="199" t="s">
        <v>11793</v>
      </c>
      <c r="I726" s="198">
        <v>6.1</v>
      </c>
      <c r="K726" s="198">
        <v>70593.399999999994</v>
      </c>
    </row>
    <row r="727" spans="3:11" x14ac:dyDescent="0.2">
      <c r="C727" s="201" t="s">
        <v>11792</v>
      </c>
      <c r="D727" s="200">
        <v>44344</v>
      </c>
      <c r="E727" s="199" t="s">
        <v>11791</v>
      </c>
      <c r="I727" s="198">
        <v>7.96</v>
      </c>
      <c r="K727" s="198">
        <v>70601.36</v>
      </c>
    </row>
    <row r="728" spans="3:11" x14ac:dyDescent="0.2">
      <c r="C728" s="201" t="s">
        <v>11790</v>
      </c>
      <c r="D728" s="200">
        <v>44344</v>
      </c>
      <c r="E728" s="199" t="s">
        <v>11789</v>
      </c>
      <c r="I728" s="198">
        <v>3.88</v>
      </c>
      <c r="K728" s="198">
        <v>70605.240000000005</v>
      </c>
    </row>
    <row r="729" spans="3:11" x14ac:dyDescent="0.2">
      <c r="C729" s="201" t="s">
        <v>11788</v>
      </c>
      <c r="D729" s="200">
        <v>44344</v>
      </c>
      <c r="E729" s="199" t="s">
        <v>11787</v>
      </c>
      <c r="I729" s="198">
        <v>3.29</v>
      </c>
      <c r="K729" s="198">
        <v>70608.53</v>
      </c>
    </row>
    <row r="730" spans="3:11" x14ac:dyDescent="0.2">
      <c r="C730" s="201" t="s">
        <v>11786</v>
      </c>
      <c r="D730" s="200">
        <v>44345</v>
      </c>
      <c r="E730" s="199" t="s">
        <v>11785</v>
      </c>
      <c r="I730" s="198">
        <v>1.68</v>
      </c>
      <c r="K730" s="198">
        <v>70610.210000000006</v>
      </c>
    </row>
    <row r="731" spans="3:11" x14ac:dyDescent="0.2">
      <c r="C731" s="201" t="s">
        <v>11784</v>
      </c>
      <c r="D731" s="200">
        <v>44345.514456018522</v>
      </c>
      <c r="E731" s="199" t="s">
        <v>11783</v>
      </c>
      <c r="I731" s="198">
        <v>1.96</v>
      </c>
      <c r="K731" s="198">
        <v>70612.17</v>
      </c>
    </row>
    <row r="732" spans="3:11" x14ac:dyDescent="0.2">
      <c r="C732" s="201" t="s">
        <v>11782</v>
      </c>
      <c r="D732" s="200">
        <v>44345.516192129631</v>
      </c>
      <c r="E732" s="199" t="s">
        <v>11781</v>
      </c>
      <c r="I732" s="198">
        <v>9.1300000000000008</v>
      </c>
      <c r="K732" s="198">
        <v>70621.3</v>
      </c>
    </row>
    <row r="733" spans="3:11" x14ac:dyDescent="0.2">
      <c r="C733" s="201" t="s">
        <v>11780</v>
      </c>
      <c r="D733" s="200">
        <v>44345.517488425925</v>
      </c>
      <c r="E733" s="199" t="s">
        <v>11779</v>
      </c>
      <c r="I733" s="198">
        <v>4.42</v>
      </c>
      <c r="K733" s="198">
        <v>70625.72</v>
      </c>
    </row>
    <row r="734" spans="3:11" x14ac:dyDescent="0.2">
      <c r="C734" s="201" t="s">
        <v>11778</v>
      </c>
      <c r="D734" s="200">
        <v>44345.51834490741</v>
      </c>
      <c r="E734" s="199" t="s">
        <v>11777</v>
      </c>
      <c r="I734" s="198">
        <v>22.89</v>
      </c>
      <c r="K734" s="198">
        <v>70648.61</v>
      </c>
    </row>
    <row r="735" spans="3:11" x14ac:dyDescent="0.2">
      <c r="C735" s="201" t="s">
        <v>11776</v>
      </c>
      <c r="D735" s="200">
        <v>44345.518842592595</v>
      </c>
      <c r="E735" s="199" t="s">
        <v>11775</v>
      </c>
      <c r="I735" s="198">
        <v>3.54</v>
      </c>
      <c r="K735" s="198">
        <v>70652.149999999994</v>
      </c>
    </row>
    <row r="736" spans="3:11" x14ac:dyDescent="0.2">
      <c r="C736" s="201" t="s">
        <v>11774</v>
      </c>
      <c r="D736" s="200">
        <v>44345.51939814815</v>
      </c>
      <c r="E736" s="199" t="s">
        <v>11773</v>
      </c>
      <c r="I736" s="198">
        <v>12.39</v>
      </c>
      <c r="K736" s="198">
        <v>70664.539999999994</v>
      </c>
    </row>
    <row r="737" spans="3:11" x14ac:dyDescent="0.2">
      <c r="C737" s="201" t="s">
        <v>11772</v>
      </c>
      <c r="D737" s="200">
        <v>44345.519930555558</v>
      </c>
      <c r="E737" s="199" t="s">
        <v>11771</v>
      </c>
      <c r="I737" s="198">
        <v>14.76</v>
      </c>
      <c r="K737" s="198">
        <v>70679.3</v>
      </c>
    </row>
    <row r="738" spans="3:11" x14ac:dyDescent="0.2">
      <c r="C738" s="201" t="s">
        <v>11770</v>
      </c>
      <c r="D738" s="200">
        <v>44345.520439814813</v>
      </c>
      <c r="E738" s="199" t="s">
        <v>11769</v>
      </c>
      <c r="I738" s="198">
        <v>6.94</v>
      </c>
      <c r="K738" s="198">
        <v>70686.240000000005</v>
      </c>
    </row>
    <row r="739" spans="3:11" x14ac:dyDescent="0.2">
      <c r="C739" s="201" t="s">
        <v>11768</v>
      </c>
      <c r="D739" s="200">
        <v>44345.522060185183</v>
      </c>
      <c r="E739" s="199" t="s">
        <v>11767</v>
      </c>
      <c r="I739" s="198">
        <v>4.66</v>
      </c>
      <c r="K739" s="198">
        <v>70690.899999999994</v>
      </c>
    </row>
    <row r="740" spans="3:11" x14ac:dyDescent="0.2">
      <c r="C740" s="201" t="s">
        <v>11766</v>
      </c>
      <c r="D740" s="200">
        <v>44345.522453703707</v>
      </c>
      <c r="E740" s="199" t="s">
        <v>11765</v>
      </c>
      <c r="I740" s="198">
        <v>1.77</v>
      </c>
      <c r="K740" s="198">
        <v>70692.67</v>
      </c>
    </row>
    <row r="741" spans="3:11" x14ac:dyDescent="0.2">
      <c r="C741" s="201" t="s">
        <v>11764</v>
      </c>
      <c r="D741" s="200">
        <v>44345.523090277777</v>
      </c>
      <c r="E741" s="199" t="s">
        <v>11763</v>
      </c>
      <c r="I741" s="198">
        <v>12.14</v>
      </c>
      <c r="K741" s="198">
        <v>70704.81</v>
      </c>
    </row>
    <row r="742" spans="3:11" x14ac:dyDescent="0.2">
      <c r="C742" s="201" t="s">
        <v>11762</v>
      </c>
      <c r="D742" s="200">
        <v>44345.523611111108</v>
      </c>
      <c r="E742" s="199" t="s">
        <v>11761</v>
      </c>
      <c r="I742" s="198">
        <v>5.93</v>
      </c>
      <c r="K742" s="198">
        <v>70710.740000000005</v>
      </c>
    </row>
    <row r="743" spans="3:11" x14ac:dyDescent="0.2">
      <c r="C743" s="201" t="s">
        <v>11760</v>
      </c>
      <c r="D743" s="200">
        <v>44345.524305555555</v>
      </c>
      <c r="E743" s="199" t="s">
        <v>11759</v>
      </c>
      <c r="I743" s="198">
        <v>2.95</v>
      </c>
      <c r="K743" s="198">
        <v>70713.69</v>
      </c>
    </row>
    <row r="744" spans="3:11" x14ac:dyDescent="0.2">
      <c r="C744" s="201" t="s">
        <v>11758</v>
      </c>
      <c r="D744" s="200">
        <v>44345.524988425925</v>
      </c>
      <c r="E744" s="199" t="s">
        <v>11757</v>
      </c>
      <c r="I744" s="198">
        <v>8.19</v>
      </c>
      <c r="K744" s="198">
        <v>70721.88</v>
      </c>
    </row>
    <row r="745" spans="3:11" x14ac:dyDescent="0.2">
      <c r="C745" s="201" t="s">
        <v>11756</v>
      </c>
      <c r="D745" s="200">
        <v>44345.525416666664</v>
      </c>
      <c r="E745" s="199" t="s">
        <v>11755</v>
      </c>
      <c r="I745" s="198">
        <v>1.68</v>
      </c>
      <c r="K745" s="198">
        <v>70723.56</v>
      </c>
    </row>
    <row r="746" spans="3:11" x14ac:dyDescent="0.2">
      <c r="C746" s="201" t="s">
        <v>11754</v>
      </c>
      <c r="D746" s="200">
        <v>44345.525752314818</v>
      </c>
      <c r="E746" s="199" t="s">
        <v>11753</v>
      </c>
      <c r="I746" s="198">
        <v>3.96</v>
      </c>
      <c r="K746" s="198">
        <v>70727.520000000004</v>
      </c>
    </row>
    <row r="747" spans="3:11" x14ac:dyDescent="0.2">
      <c r="C747" s="201" t="s">
        <v>11752</v>
      </c>
      <c r="D747" s="200">
        <v>44345.526145833333</v>
      </c>
      <c r="E747" s="199" t="s">
        <v>11751</v>
      </c>
      <c r="I747" s="198">
        <v>2.89</v>
      </c>
      <c r="K747" s="198">
        <v>70730.41</v>
      </c>
    </row>
    <row r="748" spans="3:11" x14ac:dyDescent="0.2">
      <c r="C748" s="201" t="s">
        <v>11750</v>
      </c>
      <c r="D748" s="200">
        <v>44345.526736111111</v>
      </c>
      <c r="E748" s="199" t="s">
        <v>11749</v>
      </c>
      <c r="I748" s="198">
        <v>12.48</v>
      </c>
      <c r="K748" s="198">
        <v>70742.89</v>
      </c>
    </row>
    <row r="749" spans="3:11" x14ac:dyDescent="0.2">
      <c r="C749" s="201" t="s">
        <v>11748</v>
      </c>
      <c r="D749" s="200">
        <v>44345.527129629627</v>
      </c>
      <c r="E749" s="199" t="s">
        <v>11747</v>
      </c>
      <c r="I749" s="198">
        <v>1.97</v>
      </c>
      <c r="K749" s="198">
        <v>70744.86</v>
      </c>
    </row>
    <row r="750" spans="3:11" x14ac:dyDescent="0.2">
      <c r="C750" s="201" t="s">
        <v>11746</v>
      </c>
      <c r="D750" s="200">
        <v>44345.527708333335</v>
      </c>
      <c r="E750" s="199" t="s">
        <v>11745</v>
      </c>
      <c r="I750" s="198">
        <v>41.79</v>
      </c>
      <c r="K750" s="198">
        <v>70786.649999999994</v>
      </c>
    </row>
    <row r="751" spans="3:11" x14ac:dyDescent="0.2">
      <c r="C751" s="201" t="s">
        <v>11744</v>
      </c>
      <c r="D751" s="200">
        <v>44345.528460648151</v>
      </c>
      <c r="E751" s="199" t="s">
        <v>11743</v>
      </c>
      <c r="I751" s="198">
        <v>5.4</v>
      </c>
      <c r="K751" s="198">
        <v>70792.05</v>
      </c>
    </row>
    <row r="752" spans="3:11" x14ac:dyDescent="0.2">
      <c r="C752" s="201" t="s">
        <v>11742</v>
      </c>
      <c r="D752" s="200">
        <v>44345.528935185182</v>
      </c>
      <c r="E752" s="199" t="s">
        <v>11741</v>
      </c>
      <c r="I752" s="198">
        <v>2.17</v>
      </c>
      <c r="K752" s="198">
        <v>70794.22</v>
      </c>
    </row>
    <row r="753" spans="3:11" x14ac:dyDescent="0.2">
      <c r="C753" s="201" t="s">
        <v>11740</v>
      </c>
      <c r="D753" s="200">
        <v>44345.534768518519</v>
      </c>
      <c r="E753" s="199" t="s">
        <v>11739</v>
      </c>
      <c r="I753" s="198">
        <v>12.8</v>
      </c>
      <c r="K753" s="198">
        <v>70807.02</v>
      </c>
    </row>
    <row r="754" spans="3:11" x14ac:dyDescent="0.2">
      <c r="C754" s="201" t="s">
        <v>11738</v>
      </c>
      <c r="D754" s="200">
        <v>44345</v>
      </c>
      <c r="E754" s="199" t="s">
        <v>11737</v>
      </c>
      <c r="I754" s="198">
        <v>3.48</v>
      </c>
      <c r="K754" s="198">
        <v>70810.5</v>
      </c>
    </row>
    <row r="755" spans="3:11" x14ac:dyDescent="0.2">
      <c r="C755" s="201" t="s">
        <v>11736</v>
      </c>
      <c r="D755" s="200">
        <v>44345</v>
      </c>
      <c r="E755" s="199" t="s">
        <v>11735</v>
      </c>
      <c r="I755" s="198">
        <v>6.37</v>
      </c>
      <c r="K755" s="198">
        <v>70816.87</v>
      </c>
    </row>
    <row r="756" spans="3:11" x14ac:dyDescent="0.2">
      <c r="C756" s="201" t="s">
        <v>11734</v>
      </c>
      <c r="D756" s="200">
        <v>44345</v>
      </c>
      <c r="E756" s="199" t="s">
        <v>11733</v>
      </c>
      <c r="I756" s="198">
        <v>2.31</v>
      </c>
      <c r="K756" s="198">
        <v>70819.179999999993</v>
      </c>
    </row>
    <row r="757" spans="3:11" x14ac:dyDescent="0.2">
      <c r="C757" s="201" t="s">
        <v>11732</v>
      </c>
      <c r="D757" s="200">
        <v>44345</v>
      </c>
      <c r="E757" s="199" t="s">
        <v>11731</v>
      </c>
      <c r="I757" s="198">
        <v>2.15</v>
      </c>
      <c r="K757" s="198">
        <v>70821.33</v>
      </c>
    </row>
    <row r="758" spans="3:11" x14ac:dyDescent="0.2">
      <c r="C758" s="201" t="s">
        <v>11730</v>
      </c>
      <c r="D758" s="200">
        <v>44345</v>
      </c>
      <c r="E758" s="199" t="s">
        <v>11729</v>
      </c>
      <c r="I758" s="198">
        <v>20.7</v>
      </c>
      <c r="K758" s="198">
        <v>70842.03</v>
      </c>
    </row>
    <row r="759" spans="3:11" x14ac:dyDescent="0.2">
      <c r="C759" s="201" t="s">
        <v>11728</v>
      </c>
      <c r="D759" s="200">
        <v>44345</v>
      </c>
      <c r="E759" s="199" t="s">
        <v>11727</v>
      </c>
      <c r="I759" s="198">
        <v>6.75</v>
      </c>
      <c r="K759" s="198">
        <v>70848.78</v>
      </c>
    </row>
    <row r="760" spans="3:11" x14ac:dyDescent="0.2">
      <c r="C760" s="201" t="s">
        <v>11726</v>
      </c>
      <c r="D760" s="200">
        <v>44345</v>
      </c>
      <c r="E760" s="199" t="s">
        <v>11725</v>
      </c>
      <c r="I760" s="198">
        <v>8.3800000000000008</v>
      </c>
      <c r="K760" s="198">
        <v>70857.16</v>
      </c>
    </row>
    <row r="761" spans="3:11" x14ac:dyDescent="0.2">
      <c r="C761" s="201" t="s">
        <v>11724</v>
      </c>
      <c r="D761" s="200">
        <v>44345</v>
      </c>
      <c r="E761" s="199" t="s">
        <v>11723</v>
      </c>
      <c r="I761" s="198">
        <v>2.74</v>
      </c>
      <c r="K761" s="198">
        <v>70859.899999999994</v>
      </c>
    </row>
    <row r="762" spans="3:11" x14ac:dyDescent="0.2">
      <c r="C762" s="201" t="s">
        <v>11722</v>
      </c>
      <c r="D762" s="200">
        <v>44345</v>
      </c>
      <c r="E762" s="199" t="s">
        <v>11721</v>
      </c>
      <c r="I762" s="198">
        <v>1.68</v>
      </c>
      <c r="K762" s="198">
        <v>70861.58</v>
      </c>
    </row>
    <row r="763" spans="3:11" x14ac:dyDescent="0.2">
      <c r="C763" s="201" t="s">
        <v>11720</v>
      </c>
      <c r="D763" s="200">
        <v>44345</v>
      </c>
      <c r="E763" s="199" t="s">
        <v>11719</v>
      </c>
      <c r="I763" s="198">
        <v>5.59</v>
      </c>
      <c r="K763" s="198">
        <v>70867.17</v>
      </c>
    </row>
    <row r="764" spans="3:11" x14ac:dyDescent="0.2">
      <c r="C764" s="201" t="s">
        <v>11718</v>
      </c>
      <c r="D764" s="200">
        <v>44345</v>
      </c>
      <c r="E764" s="199" t="s">
        <v>11717</v>
      </c>
      <c r="I764" s="198">
        <v>4.32</v>
      </c>
      <c r="K764" s="198">
        <v>70871.490000000005</v>
      </c>
    </row>
    <row r="765" spans="3:11" x14ac:dyDescent="0.2">
      <c r="C765" s="201" t="s">
        <v>11716</v>
      </c>
      <c r="D765" s="200">
        <v>44345</v>
      </c>
      <c r="E765" s="199" t="s">
        <v>11715</v>
      </c>
      <c r="I765" s="198">
        <v>11.74</v>
      </c>
      <c r="K765" s="198">
        <v>70883.23</v>
      </c>
    </row>
    <row r="766" spans="3:11" x14ac:dyDescent="0.2">
      <c r="C766" s="201" t="s">
        <v>11714</v>
      </c>
      <c r="D766" s="200">
        <v>44345</v>
      </c>
      <c r="E766" s="199" t="s">
        <v>11713</v>
      </c>
      <c r="I766" s="198">
        <v>3.81</v>
      </c>
      <c r="K766" s="198">
        <v>70887.039999999994</v>
      </c>
    </row>
    <row r="767" spans="3:11" x14ac:dyDescent="0.2">
      <c r="C767" s="201" t="s">
        <v>11712</v>
      </c>
      <c r="D767" s="200">
        <v>44346</v>
      </c>
      <c r="E767" s="199" t="s">
        <v>11711</v>
      </c>
      <c r="I767" s="198">
        <v>1.68</v>
      </c>
      <c r="K767" s="198">
        <v>70888.72</v>
      </c>
    </row>
    <row r="768" spans="3:11" x14ac:dyDescent="0.2">
      <c r="C768" s="201" t="s">
        <v>11710</v>
      </c>
      <c r="D768" s="200">
        <v>44346</v>
      </c>
      <c r="E768" s="199" t="s">
        <v>11709</v>
      </c>
      <c r="I768" s="198">
        <v>3.36</v>
      </c>
      <c r="K768" s="198">
        <v>70892.08</v>
      </c>
    </row>
    <row r="769" spans="3:11" x14ac:dyDescent="0.2">
      <c r="C769" s="201" t="s">
        <v>11708</v>
      </c>
      <c r="D769" s="200">
        <v>44346</v>
      </c>
      <c r="E769" s="199" t="s">
        <v>11707</v>
      </c>
      <c r="I769" s="198">
        <v>3.36</v>
      </c>
      <c r="K769" s="198">
        <v>70895.44</v>
      </c>
    </row>
    <row r="770" spans="3:11" x14ac:dyDescent="0.2">
      <c r="C770" s="201" t="s">
        <v>11706</v>
      </c>
      <c r="D770" s="200">
        <v>44346</v>
      </c>
      <c r="E770" s="199" t="s">
        <v>11705</v>
      </c>
      <c r="I770" s="198">
        <v>1.72</v>
      </c>
      <c r="K770" s="198">
        <v>70897.16</v>
      </c>
    </row>
    <row r="771" spans="3:11" x14ac:dyDescent="0.2">
      <c r="C771" s="201" t="s">
        <v>11704</v>
      </c>
      <c r="D771" s="200">
        <v>44346</v>
      </c>
      <c r="E771" s="199" t="s">
        <v>11703</v>
      </c>
      <c r="I771" s="198">
        <v>5.0999999999999996</v>
      </c>
      <c r="K771" s="198">
        <v>70902.259999999995</v>
      </c>
    </row>
    <row r="772" spans="3:11" x14ac:dyDescent="0.2">
      <c r="C772" s="201" t="s">
        <v>11702</v>
      </c>
      <c r="D772" s="200">
        <v>44346</v>
      </c>
      <c r="E772" s="199" t="s">
        <v>11701</v>
      </c>
      <c r="I772" s="198">
        <v>4.26</v>
      </c>
      <c r="K772" s="198">
        <v>70906.52</v>
      </c>
    </row>
    <row r="773" spans="3:11" x14ac:dyDescent="0.2">
      <c r="C773" s="201" t="s">
        <v>11700</v>
      </c>
      <c r="D773" s="200">
        <v>44346</v>
      </c>
      <c r="E773" s="199" t="s">
        <v>11699</v>
      </c>
      <c r="I773" s="198">
        <v>7.36</v>
      </c>
      <c r="K773" s="198">
        <v>70913.88</v>
      </c>
    </row>
    <row r="774" spans="3:11" x14ac:dyDescent="0.2">
      <c r="C774" s="201" t="s">
        <v>11698</v>
      </c>
      <c r="D774" s="200">
        <v>44347</v>
      </c>
      <c r="E774" s="199" t="s">
        <v>11697</v>
      </c>
      <c r="I774" s="198">
        <v>2.35</v>
      </c>
      <c r="K774" s="198">
        <v>70916.23</v>
      </c>
    </row>
    <row r="775" spans="3:11" x14ac:dyDescent="0.2">
      <c r="C775" s="201" t="s">
        <v>11696</v>
      </c>
      <c r="D775" s="200">
        <v>44347</v>
      </c>
      <c r="E775" s="199" t="s">
        <v>11695</v>
      </c>
      <c r="J775" s="222">
        <v>126.56</v>
      </c>
      <c r="K775" s="198">
        <v>70789.67</v>
      </c>
    </row>
    <row r="776" spans="3:11" x14ac:dyDescent="0.2">
      <c r="C776" s="201" t="s">
        <v>11694</v>
      </c>
      <c r="D776" s="200">
        <v>44347</v>
      </c>
      <c r="E776" s="199" t="s">
        <v>11693</v>
      </c>
      <c r="I776" s="198">
        <v>7</v>
      </c>
      <c r="K776" s="198">
        <v>70796.67</v>
      </c>
    </row>
    <row r="777" spans="3:11" x14ac:dyDescent="0.2">
      <c r="C777" s="201" t="s">
        <v>11692</v>
      </c>
      <c r="D777" s="200">
        <v>44347</v>
      </c>
      <c r="E777" s="199" t="s">
        <v>11691</v>
      </c>
      <c r="I777" s="198">
        <v>1.85</v>
      </c>
      <c r="K777" s="198">
        <v>70798.52</v>
      </c>
    </row>
    <row r="778" spans="3:11" x14ac:dyDescent="0.2">
      <c r="C778" s="201" t="s">
        <v>11690</v>
      </c>
      <c r="D778" s="200">
        <v>44347</v>
      </c>
      <c r="E778" s="199" t="s">
        <v>11689</v>
      </c>
      <c r="I778" s="198">
        <v>247.2</v>
      </c>
      <c r="K778" s="198">
        <v>71045.72</v>
      </c>
    </row>
    <row r="779" spans="3:11" x14ac:dyDescent="0.2">
      <c r="C779" s="201" t="s">
        <v>11688</v>
      </c>
      <c r="D779" s="200">
        <v>44347</v>
      </c>
      <c r="E779" s="199" t="s">
        <v>11687</v>
      </c>
      <c r="I779" s="198">
        <v>4.1900000000000004</v>
      </c>
      <c r="K779" s="198">
        <v>71049.91</v>
      </c>
    </row>
    <row r="780" spans="3:11" x14ac:dyDescent="0.2">
      <c r="C780" s="201" t="s">
        <v>11686</v>
      </c>
      <c r="D780" s="200">
        <v>44347</v>
      </c>
      <c r="E780" s="199" t="s">
        <v>11685</v>
      </c>
      <c r="I780" s="198">
        <v>17.18</v>
      </c>
      <c r="K780" s="198">
        <v>71067.09</v>
      </c>
    </row>
    <row r="781" spans="3:11" x14ac:dyDescent="0.2">
      <c r="C781" s="201" t="s">
        <v>11684</v>
      </c>
      <c r="D781" s="200">
        <v>44347</v>
      </c>
      <c r="E781" s="199" t="s">
        <v>11683</v>
      </c>
      <c r="I781" s="198">
        <v>11.28</v>
      </c>
      <c r="K781" s="198">
        <v>71078.37</v>
      </c>
    </row>
    <row r="782" spans="3:11" x14ac:dyDescent="0.2">
      <c r="C782" s="201" t="s">
        <v>11682</v>
      </c>
      <c r="D782" s="200">
        <v>44347</v>
      </c>
      <c r="E782" s="199" t="s">
        <v>11681</v>
      </c>
      <c r="I782" s="198">
        <v>2.04</v>
      </c>
      <c r="K782" s="198">
        <v>71080.41</v>
      </c>
    </row>
    <row r="783" spans="3:11" x14ac:dyDescent="0.2">
      <c r="C783" s="201" t="s">
        <v>11680</v>
      </c>
      <c r="D783" s="200">
        <v>44347</v>
      </c>
      <c r="E783" s="199" t="s">
        <v>11679</v>
      </c>
      <c r="I783" s="198">
        <v>11.56</v>
      </c>
      <c r="K783" s="198">
        <v>71091.97</v>
      </c>
    </row>
    <row r="784" spans="3:11" x14ac:dyDescent="0.2">
      <c r="C784" s="201" t="s">
        <v>11678</v>
      </c>
      <c r="D784" s="200">
        <v>44347</v>
      </c>
      <c r="E784" s="199" t="s">
        <v>11677</v>
      </c>
      <c r="I784" s="198">
        <v>3.69</v>
      </c>
      <c r="K784" s="198">
        <v>71095.66</v>
      </c>
    </row>
    <row r="785" spans="3:11" x14ac:dyDescent="0.2">
      <c r="C785" s="201" t="s">
        <v>11676</v>
      </c>
      <c r="D785" s="200">
        <v>44347</v>
      </c>
      <c r="E785" s="199" t="s">
        <v>11675</v>
      </c>
      <c r="I785" s="198">
        <v>1.76</v>
      </c>
      <c r="K785" s="198">
        <v>71097.42</v>
      </c>
    </row>
    <row r="786" spans="3:11" x14ac:dyDescent="0.2">
      <c r="C786" s="201" t="s">
        <v>11674</v>
      </c>
      <c r="D786" s="200">
        <v>44347</v>
      </c>
      <c r="E786" s="199" t="s">
        <v>11673</v>
      </c>
      <c r="I786" s="198">
        <v>2.39</v>
      </c>
      <c r="K786" s="198">
        <v>71099.81</v>
      </c>
    </row>
    <row r="787" spans="3:11" x14ac:dyDescent="0.2">
      <c r="C787" s="201" t="s">
        <v>11672</v>
      </c>
      <c r="D787" s="200">
        <v>44347</v>
      </c>
      <c r="E787" s="199" t="s">
        <v>11671</v>
      </c>
      <c r="I787" s="198">
        <v>5.77</v>
      </c>
      <c r="K787" s="198">
        <v>71105.58</v>
      </c>
    </row>
    <row r="788" spans="3:11" x14ac:dyDescent="0.2">
      <c r="C788" s="201" t="s">
        <v>11670</v>
      </c>
      <c r="D788" s="200">
        <v>44347</v>
      </c>
      <c r="E788" s="199" t="s">
        <v>11669</v>
      </c>
      <c r="I788" s="198">
        <v>5.04</v>
      </c>
      <c r="K788" s="198">
        <v>71110.62</v>
      </c>
    </row>
    <row r="789" spans="3:11" x14ac:dyDescent="0.2">
      <c r="C789" s="201" t="s">
        <v>11668</v>
      </c>
      <c r="D789" s="200">
        <v>44347</v>
      </c>
      <c r="E789" s="199" t="s">
        <v>11667</v>
      </c>
      <c r="I789" s="198">
        <v>1.75</v>
      </c>
      <c r="K789" s="198">
        <v>71112.37</v>
      </c>
    </row>
    <row r="790" spans="3:11" x14ac:dyDescent="0.2">
      <c r="C790" s="201" t="s">
        <v>1555</v>
      </c>
      <c r="D790" s="200">
        <v>44347</v>
      </c>
      <c r="E790" s="199" t="s">
        <v>11666</v>
      </c>
      <c r="J790" s="222">
        <v>600</v>
      </c>
      <c r="K790" s="198">
        <v>70512.37</v>
      </c>
    </row>
    <row r="791" spans="3:11" x14ac:dyDescent="0.2">
      <c r="C791" s="201" t="s">
        <v>6180</v>
      </c>
      <c r="D791" s="200">
        <v>44347</v>
      </c>
      <c r="E791" s="199" t="s">
        <v>11665</v>
      </c>
      <c r="J791" s="222">
        <v>225.81</v>
      </c>
      <c r="K791" s="198">
        <v>70286.559999999998</v>
      </c>
    </row>
    <row r="792" spans="3:11" x14ac:dyDescent="0.2">
      <c r="C792" s="201" t="s">
        <v>6178</v>
      </c>
      <c r="D792" s="200">
        <v>44347</v>
      </c>
      <c r="E792" s="199" t="s">
        <v>11664</v>
      </c>
      <c r="J792" s="222">
        <v>1663.42</v>
      </c>
      <c r="K792" s="198">
        <v>68623.14</v>
      </c>
    </row>
    <row r="793" spans="3:11" x14ac:dyDescent="0.2">
      <c r="C793" s="201" t="s">
        <v>11663</v>
      </c>
      <c r="D793" s="200">
        <v>44347</v>
      </c>
      <c r="E793" s="199" t="s">
        <v>11662</v>
      </c>
      <c r="J793" s="222">
        <v>3355.16</v>
      </c>
      <c r="K793" s="198">
        <v>65267.98</v>
      </c>
    </row>
    <row r="794" spans="3:11" x14ac:dyDescent="0.2">
      <c r="C794" s="201" t="s">
        <v>20192</v>
      </c>
      <c r="D794" s="200">
        <v>44347</v>
      </c>
      <c r="E794" s="199" t="s">
        <v>20191</v>
      </c>
      <c r="J794" s="222">
        <v>94.43</v>
      </c>
      <c r="K794" s="198">
        <v>65173.55</v>
      </c>
    </row>
    <row r="795" spans="3:11" x14ac:dyDescent="0.2">
      <c r="C795" s="197" t="s">
        <v>22</v>
      </c>
      <c r="D795" s="196">
        <v>66463.490000000005</v>
      </c>
      <c r="E795" s="197" t="s">
        <v>21</v>
      </c>
      <c r="F795" s="196">
        <v>17244.91</v>
      </c>
      <c r="G795" s="197" t="s">
        <v>20</v>
      </c>
      <c r="H795" s="196">
        <v>18534.849999999999</v>
      </c>
      <c r="J795" s="197" t="s">
        <v>19</v>
      </c>
      <c r="K795" s="196">
        <v>65173.55</v>
      </c>
    </row>
    <row r="798" spans="3:11" x14ac:dyDescent="0.2">
      <c r="E798" s="87" t="s">
        <v>18</v>
      </c>
      <c r="K798" s="86" t="s">
        <v>17</v>
      </c>
    </row>
  </sheetData>
  <pageMargins left="0.75" right="0.75" top="1" bottom="1" header="0" footer="0"/>
  <pageSetup orientation="portrait" errors="NA" horizontalDpi="120" verticalDpi="72"/>
  <headerFooter alignWithMargins="0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AA1-1BF4-4068-B46B-7D86CC365D49}">
  <dimension ref="A1:I273"/>
  <sheetViews>
    <sheetView topLeftCell="B1" workbookViewId="0">
      <selection activeCell="D213" sqref="D213"/>
    </sheetView>
  </sheetViews>
  <sheetFormatPr baseColWidth="10" defaultRowHeight="15" x14ac:dyDescent="0.25"/>
  <cols>
    <col min="2" max="2" width="45.42578125" customWidth="1"/>
    <col min="3" max="3" width="7.7109375" customWidth="1"/>
    <col min="4" max="4" width="12" customWidth="1"/>
    <col min="5" max="5" width="15.7109375" bestFit="1" customWidth="1"/>
    <col min="6" max="6" width="10.28515625" bestFit="1" customWidth="1"/>
    <col min="7" max="7" width="10.7109375" customWidth="1"/>
  </cols>
  <sheetData>
    <row r="1" spans="1:6" x14ac:dyDescent="0.25">
      <c r="A1" s="294" t="s">
        <v>13213</v>
      </c>
      <c r="B1" s="294"/>
      <c r="C1" s="294"/>
      <c r="D1" s="294"/>
      <c r="E1" s="294"/>
      <c r="F1" s="294"/>
    </row>
    <row r="2" spans="1:6" x14ac:dyDescent="0.25">
      <c r="A2" s="190" t="s">
        <v>542</v>
      </c>
      <c r="B2" s="190" t="s">
        <v>543</v>
      </c>
      <c r="C2" s="190" t="s">
        <v>9</v>
      </c>
      <c r="D2" s="190" t="s">
        <v>544</v>
      </c>
      <c r="E2" s="190" t="s">
        <v>5</v>
      </c>
      <c r="F2" s="190" t="s">
        <v>545</v>
      </c>
    </row>
    <row r="3" spans="1:6" x14ac:dyDescent="0.25">
      <c r="A3" s="23" t="str">
        <f>"3908534"</f>
        <v>3908534</v>
      </c>
      <c r="B3" s="23" t="s">
        <v>3773</v>
      </c>
      <c r="C3" s="23">
        <v>5.68</v>
      </c>
      <c r="D3" s="23">
        <v>360117</v>
      </c>
      <c r="E3" s="24">
        <v>44319.312106481484</v>
      </c>
      <c r="F3" s="190">
        <v>6032</v>
      </c>
    </row>
    <row r="4" spans="1:6" x14ac:dyDescent="0.25">
      <c r="A4" s="23" t="str">
        <f>"3909408"</f>
        <v>3909408</v>
      </c>
      <c r="B4" s="23" t="s">
        <v>13187</v>
      </c>
      <c r="C4" s="23">
        <v>2.67</v>
      </c>
      <c r="D4" s="23">
        <v>360298</v>
      </c>
      <c r="E4" s="24">
        <v>44319.732407407406</v>
      </c>
      <c r="F4" s="190">
        <v>6034</v>
      </c>
    </row>
    <row r="5" spans="1:6" x14ac:dyDescent="0.25">
      <c r="A5" s="23" t="str">
        <f>"3908129"</f>
        <v>3908129</v>
      </c>
      <c r="B5" s="23" t="s">
        <v>1105</v>
      </c>
      <c r="C5" s="23">
        <v>2.2999999999999998</v>
      </c>
      <c r="D5" s="23">
        <v>359851</v>
      </c>
      <c r="E5" s="24">
        <v>44319.289212962962</v>
      </c>
      <c r="F5" s="190">
        <v>6035</v>
      </c>
    </row>
    <row r="6" spans="1:6" x14ac:dyDescent="0.25">
      <c r="A6" s="23" t="str">
        <f>"3909157"</f>
        <v>3909157</v>
      </c>
      <c r="B6" s="23" t="s">
        <v>3799</v>
      </c>
      <c r="C6" s="23">
        <v>4.17</v>
      </c>
      <c r="D6" s="23">
        <v>359174</v>
      </c>
      <c r="E6" s="24">
        <v>44319.396782407406</v>
      </c>
      <c r="F6" s="190">
        <v>6036</v>
      </c>
    </row>
    <row r="7" spans="1:6" x14ac:dyDescent="0.25">
      <c r="A7" s="23" t="str">
        <f>"3903545"</f>
        <v>3903545</v>
      </c>
      <c r="B7" s="23" t="s">
        <v>603</v>
      </c>
      <c r="C7" s="23">
        <v>1.85</v>
      </c>
      <c r="D7" s="23">
        <v>359005</v>
      </c>
      <c r="E7" s="24">
        <v>44319.514097222222</v>
      </c>
      <c r="F7" s="190">
        <v>6037</v>
      </c>
    </row>
    <row r="8" spans="1:6" x14ac:dyDescent="0.25">
      <c r="A8" s="23" t="str">
        <f>"3900576"</f>
        <v>3900576</v>
      </c>
      <c r="B8" s="23" t="s">
        <v>3791</v>
      </c>
      <c r="C8" s="23">
        <v>1.68</v>
      </c>
      <c r="D8" s="23">
        <v>359476</v>
      </c>
      <c r="E8" s="24">
        <v>44319.291481481479</v>
      </c>
      <c r="F8" s="190">
        <v>6038</v>
      </c>
    </row>
    <row r="9" spans="1:6" x14ac:dyDescent="0.25">
      <c r="A9" s="23" t="str">
        <f>"3930021"</f>
        <v>3930021</v>
      </c>
      <c r="B9" s="23" t="s">
        <v>1120</v>
      </c>
      <c r="C9" s="23">
        <v>1.68</v>
      </c>
      <c r="D9" s="23">
        <v>358797</v>
      </c>
      <c r="E9" s="24">
        <v>44319.473634259259</v>
      </c>
      <c r="F9" s="190">
        <v>6039</v>
      </c>
    </row>
    <row r="10" spans="1:6" x14ac:dyDescent="0.25">
      <c r="A10" s="23" t="str">
        <f>"3907876"</f>
        <v>3907876</v>
      </c>
      <c r="B10" s="23" t="s">
        <v>13212</v>
      </c>
      <c r="C10" s="23">
        <v>3.36</v>
      </c>
      <c r="D10" s="23">
        <v>358939</v>
      </c>
      <c r="E10" s="24">
        <v>44319.730439814812</v>
      </c>
      <c r="F10" s="190">
        <v>6040</v>
      </c>
    </row>
    <row r="11" spans="1:6" x14ac:dyDescent="0.25">
      <c r="A11" s="23" t="str">
        <f>"3907156"</f>
        <v>3907156</v>
      </c>
      <c r="B11" s="23" t="s">
        <v>1121</v>
      </c>
      <c r="C11" s="23">
        <v>6.94</v>
      </c>
      <c r="D11" s="23">
        <v>358521</v>
      </c>
      <c r="E11" s="24">
        <v>44319.742627314816</v>
      </c>
      <c r="F11" s="190">
        <v>6041</v>
      </c>
    </row>
    <row r="12" spans="1:6" x14ac:dyDescent="0.25">
      <c r="A12" s="23" t="str">
        <f>"3908571"</f>
        <v>3908571</v>
      </c>
      <c r="B12" s="23" t="s">
        <v>6090</v>
      </c>
      <c r="C12" s="23">
        <v>0.37</v>
      </c>
      <c r="D12" s="23">
        <v>360139</v>
      </c>
      <c r="E12" s="24">
        <v>44319.388483796298</v>
      </c>
      <c r="F12" s="190">
        <v>6042</v>
      </c>
    </row>
    <row r="13" spans="1:6" x14ac:dyDescent="0.25">
      <c r="A13" s="23" t="str">
        <f>"3902247"</f>
        <v>3902247</v>
      </c>
      <c r="B13" s="23" t="s">
        <v>3790</v>
      </c>
      <c r="C13" s="23">
        <v>2.0299999999999998</v>
      </c>
      <c r="D13" s="23">
        <v>359297</v>
      </c>
      <c r="E13" s="24">
        <v>44319.47152777778</v>
      </c>
      <c r="F13" s="190">
        <v>6043</v>
      </c>
    </row>
    <row r="14" spans="1:6" x14ac:dyDescent="0.25">
      <c r="A14" s="23" t="str">
        <f>"3908410"</f>
        <v>3908410</v>
      </c>
      <c r="B14" s="23" t="s">
        <v>13211</v>
      </c>
      <c r="C14" s="23">
        <v>22.36</v>
      </c>
      <c r="D14" s="23">
        <v>360039</v>
      </c>
      <c r="E14" s="24">
        <v>44319.491967592592</v>
      </c>
      <c r="F14" s="190">
        <v>6048</v>
      </c>
    </row>
    <row r="15" spans="1:6" x14ac:dyDescent="0.25">
      <c r="A15" s="23" t="str">
        <f>"3920348"</f>
        <v>3920348</v>
      </c>
      <c r="B15" s="23" t="s">
        <v>3746</v>
      </c>
      <c r="C15" s="23">
        <v>8.3800000000000008</v>
      </c>
      <c r="D15" s="23">
        <v>358338</v>
      </c>
      <c r="E15" s="24">
        <v>44319.512002314812</v>
      </c>
      <c r="F15" s="190">
        <v>6044</v>
      </c>
    </row>
    <row r="16" spans="1:6" x14ac:dyDescent="0.25">
      <c r="A16" s="23" t="str">
        <f>"3907960"</f>
        <v>3907960</v>
      </c>
      <c r="B16" s="23" t="s">
        <v>618</v>
      </c>
      <c r="C16" s="23">
        <v>4.7300000000000004</v>
      </c>
      <c r="D16" s="23">
        <v>359222</v>
      </c>
      <c r="E16" s="24">
        <v>44319.521597222221</v>
      </c>
      <c r="F16" s="190" t="s">
        <v>13178</v>
      </c>
    </row>
    <row r="17" spans="1:6" x14ac:dyDescent="0.25">
      <c r="A17" s="23" t="str">
        <f>"3908194"</f>
        <v>3908194</v>
      </c>
      <c r="B17" s="23" t="s">
        <v>6081</v>
      </c>
      <c r="C17" s="23">
        <v>13.18</v>
      </c>
      <c r="D17" s="23">
        <v>359880</v>
      </c>
      <c r="E17" s="24">
        <v>44319.66070601852</v>
      </c>
      <c r="F17" s="190">
        <v>6045</v>
      </c>
    </row>
    <row r="18" spans="1:6" x14ac:dyDescent="0.25">
      <c r="A18" s="23" t="str">
        <f>"3909808"</f>
        <v>3909808</v>
      </c>
      <c r="B18" s="23" t="s">
        <v>3792</v>
      </c>
      <c r="C18" s="23">
        <v>1.68</v>
      </c>
      <c r="D18" s="23">
        <v>359317</v>
      </c>
      <c r="E18" s="24">
        <v>44319.704872685186</v>
      </c>
      <c r="F18" s="190">
        <v>6046</v>
      </c>
    </row>
    <row r="19" spans="1:6" x14ac:dyDescent="0.25">
      <c r="A19" s="23" t="str">
        <f>"3909086"</f>
        <v>3909086</v>
      </c>
      <c r="B19" s="23" t="s">
        <v>3759</v>
      </c>
      <c r="C19" s="23">
        <v>3.24</v>
      </c>
      <c r="D19" s="23">
        <v>359072</v>
      </c>
      <c r="E19" s="24">
        <v>44319.871932870374</v>
      </c>
      <c r="F19" s="190">
        <v>6047</v>
      </c>
    </row>
    <row r="20" spans="1:6" x14ac:dyDescent="0.25">
      <c r="A20" s="23"/>
      <c r="B20" s="190">
        <v>1</v>
      </c>
      <c r="C20" s="189">
        <f>SUM(C3:C19)</f>
        <v>86.3</v>
      </c>
      <c r="D20" s="23"/>
      <c r="E20" s="24"/>
      <c r="F20" s="190"/>
    </row>
    <row r="21" spans="1:6" x14ac:dyDescent="0.25">
      <c r="A21" s="23" t="str">
        <f>"3945148"</f>
        <v>3945148</v>
      </c>
      <c r="B21" s="23" t="s">
        <v>13210</v>
      </c>
      <c r="C21" s="23">
        <v>25.14</v>
      </c>
      <c r="D21" s="23">
        <v>220200</v>
      </c>
      <c r="E21" s="24">
        <v>44320.729398148149</v>
      </c>
      <c r="F21" s="190">
        <v>6227</v>
      </c>
    </row>
    <row r="22" spans="1:6" x14ac:dyDescent="0.25">
      <c r="A22" s="23" t="str">
        <f>"3960277"</f>
        <v>3960277</v>
      </c>
      <c r="B22" s="23" t="s">
        <v>575</v>
      </c>
      <c r="C22" s="23">
        <v>7.82</v>
      </c>
      <c r="D22" s="23">
        <v>358330</v>
      </c>
      <c r="E22" s="24">
        <v>44320.729398148149</v>
      </c>
      <c r="F22" s="190">
        <v>6098</v>
      </c>
    </row>
    <row r="23" spans="1:6" x14ac:dyDescent="0.25">
      <c r="A23" s="23" t="str">
        <f>"3902419"</f>
        <v>3902419</v>
      </c>
      <c r="B23" s="23" t="s">
        <v>561</v>
      </c>
      <c r="C23" s="23">
        <v>8.2799999999999994</v>
      </c>
      <c r="D23" s="23">
        <v>359235</v>
      </c>
      <c r="E23" s="24">
        <v>44320.729398148149</v>
      </c>
      <c r="F23" s="190">
        <v>6099</v>
      </c>
    </row>
    <row r="24" spans="1:6" x14ac:dyDescent="0.25">
      <c r="A24" s="23" t="str">
        <f>"3900568"</f>
        <v>3900568</v>
      </c>
      <c r="B24" s="23" t="s">
        <v>1118</v>
      </c>
      <c r="C24" s="23">
        <v>1.68</v>
      </c>
      <c r="D24" s="23">
        <v>359473</v>
      </c>
      <c r="E24" s="24">
        <v>44320.729398148149</v>
      </c>
      <c r="F24" s="190">
        <v>6100</v>
      </c>
    </row>
    <row r="25" spans="1:6" x14ac:dyDescent="0.25">
      <c r="A25" s="23" t="str">
        <f>"3902750"</f>
        <v>3902750</v>
      </c>
      <c r="B25" s="23" t="s">
        <v>563</v>
      </c>
      <c r="C25" s="23">
        <v>8.3800000000000008</v>
      </c>
      <c r="D25" s="23">
        <v>358455</v>
      </c>
      <c r="E25" s="24">
        <v>44320.729398148149</v>
      </c>
      <c r="F25" s="190">
        <v>6235</v>
      </c>
    </row>
    <row r="26" spans="1:6" x14ac:dyDescent="0.25">
      <c r="A26" s="23" t="str">
        <f>"3903127"</f>
        <v>3903127</v>
      </c>
      <c r="B26" s="23" t="s">
        <v>577</v>
      </c>
      <c r="C26" s="23">
        <v>1.68</v>
      </c>
      <c r="D26" s="23">
        <v>358610</v>
      </c>
      <c r="E26" s="24">
        <v>44320.729398148149</v>
      </c>
      <c r="F26" s="190">
        <v>6228</v>
      </c>
    </row>
    <row r="27" spans="1:6" x14ac:dyDescent="0.25">
      <c r="A27" s="23" t="str">
        <f>"3945105"</f>
        <v>3945105</v>
      </c>
      <c r="B27" s="23" t="s">
        <v>1093</v>
      </c>
      <c r="C27" s="23">
        <v>8.3800000000000008</v>
      </c>
      <c r="D27" s="23">
        <v>358363</v>
      </c>
      <c r="E27" s="24">
        <v>44320.729398148149</v>
      </c>
      <c r="F27" s="190">
        <v>6229</v>
      </c>
    </row>
    <row r="28" spans="1:6" x14ac:dyDescent="0.25">
      <c r="A28" s="23" t="str">
        <f>"3907541"</f>
        <v>3907541</v>
      </c>
      <c r="B28" s="23" t="s">
        <v>578</v>
      </c>
      <c r="C28" s="23">
        <v>2.63</v>
      </c>
      <c r="D28" s="23">
        <v>358624</v>
      </c>
      <c r="E28" s="24">
        <v>44320.729398148149</v>
      </c>
      <c r="F28" s="190">
        <v>6230</v>
      </c>
    </row>
    <row r="29" spans="1:6" x14ac:dyDescent="0.25">
      <c r="A29" s="23" t="str">
        <f>"3945284"</f>
        <v>3945284</v>
      </c>
      <c r="B29" s="23" t="s">
        <v>579</v>
      </c>
      <c r="C29" s="23">
        <v>8.7899999999999991</v>
      </c>
      <c r="D29" s="23">
        <v>358466</v>
      </c>
      <c r="E29" s="24">
        <v>44320.729398148149</v>
      </c>
      <c r="F29" s="190">
        <v>6231</v>
      </c>
    </row>
    <row r="30" spans="1:6" x14ac:dyDescent="0.25">
      <c r="A30" s="23" t="str">
        <f>"3909936"</f>
        <v>3909936</v>
      </c>
      <c r="B30" s="23" t="s">
        <v>560</v>
      </c>
      <c r="C30" s="23">
        <v>4.6500000000000004</v>
      </c>
      <c r="D30" s="23">
        <v>358734</v>
      </c>
      <c r="E30" s="24">
        <v>44320.729398148149</v>
      </c>
      <c r="F30" s="190">
        <v>6232</v>
      </c>
    </row>
    <row r="31" spans="1:6" x14ac:dyDescent="0.25">
      <c r="A31" s="23" t="str">
        <f>"3907239"</f>
        <v>3907239</v>
      </c>
      <c r="B31" s="23" t="s">
        <v>573</v>
      </c>
      <c r="C31" s="23">
        <v>6.94</v>
      </c>
      <c r="D31" s="23">
        <v>358535</v>
      </c>
      <c r="E31" s="24">
        <v>44320.729398148149</v>
      </c>
      <c r="F31" s="190">
        <v>6233</v>
      </c>
    </row>
    <row r="32" spans="1:6" x14ac:dyDescent="0.25">
      <c r="A32" s="23" t="str">
        <f>"3903061"</f>
        <v>3903061</v>
      </c>
      <c r="B32" s="23" t="s">
        <v>569</v>
      </c>
      <c r="C32" s="23">
        <v>6.94</v>
      </c>
      <c r="D32" s="23">
        <v>358547</v>
      </c>
      <c r="E32" s="24">
        <v>44320.729398148149</v>
      </c>
      <c r="F32" s="190">
        <v>6234</v>
      </c>
    </row>
    <row r="33" spans="1:7" x14ac:dyDescent="0.25">
      <c r="A33" s="23" t="str">
        <f>"3903883"</f>
        <v>3903883</v>
      </c>
      <c r="B33" s="23" t="s">
        <v>1102</v>
      </c>
      <c r="C33" s="23">
        <v>1.68</v>
      </c>
      <c r="D33" s="23">
        <v>359898</v>
      </c>
      <c r="E33" s="24">
        <v>44320.729398148149</v>
      </c>
      <c r="F33" s="190">
        <v>6236</v>
      </c>
    </row>
    <row r="34" spans="1:7" x14ac:dyDescent="0.25">
      <c r="A34" s="23" t="str">
        <f>"3909039"</f>
        <v>3909039</v>
      </c>
      <c r="B34" s="23" t="s">
        <v>570</v>
      </c>
      <c r="C34" s="23">
        <v>2.0299999999999998</v>
      </c>
      <c r="D34" s="23">
        <v>359064</v>
      </c>
      <c r="E34" s="24">
        <v>44320.729398148149</v>
      </c>
      <c r="F34" s="190">
        <v>6237</v>
      </c>
      <c r="G34" s="26"/>
    </row>
    <row r="35" spans="1:7" x14ac:dyDescent="0.25">
      <c r="A35" s="23" t="str">
        <f>"3945435"</f>
        <v>3945435</v>
      </c>
      <c r="B35" s="23" t="s">
        <v>571</v>
      </c>
      <c r="C35" s="23">
        <v>8.3800000000000008</v>
      </c>
      <c r="D35" s="23">
        <v>358392</v>
      </c>
      <c r="E35" s="24">
        <v>44320.729398148149</v>
      </c>
      <c r="F35" s="190">
        <v>6238</v>
      </c>
    </row>
    <row r="36" spans="1:7" x14ac:dyDescent="0.25">
      <c r="A36" s="23" t="str">
        <f>"3950033"</f>
        <v>3950033</v>
      </c>
      <c r="B36" s="23" t="s">
        <v>567</v>
      </c>
      <c r="C36" s="23">
        <v>8.3800000000000008</v>
      </c>
      <c r="D36" s="23">
        <v>358320</v>
      </c>
      <c r="E36" s="24">
        <v>44320.729398148149</v>
      </c>
      <c r="F36" s="190">
        <v>6239</v>
      </c>
    </row>
    <row r="37" spans="1:7" x14ac:dyDescent="0.25">
      <c r="A37" s="23" t="str">
        <f>"3960364"</f>
        <v>3960364</v>
      </c>
      <c r="B37" s="23" t="s">
        <v>576</v>
      </c>
      <c r="C37" s="23">
        <v>8.3800000000000008</v>
      </c>
      <c r="D37" s="23">
        <v>358368</v>
      </c>
      <c r="E37" s="24">
        <v>44320.729398148149</v>
      </c>
      <c r="F37" s="190">
        <v>6240</v>
      </c>
    </row>
    <row r="38" spans="1:7" x14ac:dyDescent="0.25">
      <c r="A38" s="23" t="str">
        <f>"3903364"</f>
        <v>3903364</v>
      </c>
      <c r="B38" s="23" t="s">
        <v>564</v>
      </c>
      <c r="C38" s="23">
        <v>8.65</v>
      </c>
      <c r="D38" s="23">
        <v>358830</v>
      </c>
      <c r="E38" s="24">
        <v>44320.729398148149</v>
      </c>
      <c r="F38" s="190">
        <v>6241</v>
      </c>
    </row>
    <row r="39" spans="1:7" x14ac:dyDescent="0.25">
      <c r="A39" s="23" t="str">
        <f>"3960315"</f>
        <v>3960315</v>
      </c>
      <c r="B39" s="23" t="s">
        <v>565</v>
      </c>
      <c r="C39" s="23">
        <v>4.1900000000000004</v>
      </c>
      <c r="D39" s="23">
        <v>358412</v>
      </c>
      <c r="E39" s="24">
        <v>44320.729398148149</v>
      </c>
      <c r="F39" s="190">
        <v>6242</v>
      </c>
    </row>
    <row r="40" spans="1:7" x14ac:dyDescent="0.25">
      <c r="A40" s="23" t="str">
        <f>"3900349"</f>
        <v>3900349</v>
      </c>
      <c r="B40" s="23" t="s">
        <v>566</v>
      </c>
      <c r="C40" s="23">
        <v>2.4500000000000002</v>
      </c>
      <c r="D40" s="23">
        <v>359410</v>
      </c>
      <c r="E40" s="24">
        <v>44320.729398148149</v>
      </c>
      <c r="F40" s="190">
        <v>6243</v>
      </c>
    </row>
    <row r="41" spans="1:7" x14ac:dyDescent="0.25">
      <c r="A41" s="23" t="str">
        <f>"3945102"</f>
        <v>3945102</v>
      </c>
      <c r="B41" s="23" t="s">
        <v>572</v>
      </c>
      <c r="C41" s="23">
        <v>8.3800000000000008</v>
      </c>
      <c r="D41" s="23">
        <v>358357</v>
      </c>
      <c r="E41" s="24">
        <v>44320.729398148149</v>
      </c>
      <c r="F41" s="190">
        <v>6244</v>
      </c>
    </row>
    <row r="42" spans="1:7" x14ac:dyDescent="0.25">
      <c r="A42" s="23" t="str">
        <f>"3901398"</f>
        <v>3901398</v>
      </c>
      <c r="B42" s="23" t="s">
        <v>568</v>
      </c>
      <c r="C42" s="23">
        <v>1.87</v>
      </c>
      <c r="D42" s="23">
        <v>359523</v>
      </c>
      <c r="E42" s="24">
        <v>44320.729398148149</v>
      </c>
      <c r="F42" s="190">
        <v>6245</v>
      </c>
    </row>
    <row r="43" spans="1:7" x14ac:dyDescent="0.25">
      <c r="A43" s="23" t="str">
        <f>"3960232"</f>
        <v>3960232</v>
      </c>
      <c r="B43" s="23" t="s">
        <v>595</v>
      </c>
      <c r="C43" s="23">
        <v>12.3</v>
      </c>
      <c r="D43" s="23">
        <v>358358</v>
      </c>
      <c r="E43" s="24">
        <v>44320.729398148149</v>
      </c>
      <c r="F43" s="190">
        <v>6246</v>
      </c>
    </row>
    <row r="44" spans="1:7" x14ac:dyDescent="0.25">
      <c r="A44" s="23" t="str">
        <f>"3900389"</f>
        <v>3900389</v>
      </c>
      <c r="B44" s="23" t="s">
        <v>581</v>
      </c>
      <c r="C44" s="23">
        <v>1.68</v>
      </c>
      <c r="D44" s="23">
        <v>359422</v>
      </c>
      <c r="E44" s="24">
        <v>44320.729398148149</v>
      </c>
      <c r="F44" s="190">
        <v>6247</v>
      </c>
    </row>
    <row r="45" spans="1:7" x14ac:dyDescent="0.25">
      <c r="A45" s="23" t="str">
        <f>"3903098"</f>
        <v>3903098</v>
      </c>
      <c r="B45" s="23" t="s">
        <v>586</v>
      </c>
      <c r="C45" s="23">
        <v>3.47</v>
      </c>
      <c r="D45" s="23">
        <v>358555</v>
      </c>
      <c r="E45" s="24">
        <v>44320.729398148149</v>
      </c>
      <c r="F45" s="190">
        <v>6248</v>
      </c>
    </row>
    <row r="46" spans="1:7" x14ac:dyDescent="0.25">
      <c r="A46" s="23" t="str">
        <f>"3906324"</f>
        <v>3906324</v>
      </c>
      <c r="B46" s="23" t="s">
        <v>591</v>
      </c>
      <c r="C46" s="23">
        <v>4.1900000000000004</v>
      </c>
      <c r="D46" s="23">
        <v>358481</v>
      </c>
      <c r="E46" s="24">
        <v>44320.729398148149</v>
      </c>
      <c r="F46" s="190">
        <v>6249</v>
      </c>
    </row>
    <row r="47" spans="1:7" x14ac:dyDescent="0.25">
      <c r="A47" s="23" t="str">
        <f>"3920281"</f>
        <v>3920281</v>
      </c>
      <c r="B47" s="23" t="s">
        <v>588</v>
      </c>
      <c r="C47" s="23">
        <v>7.82</v>
      </c>
      <c r="D47" s="23">
        <v>358301</v>
      </c>
      <c r="E47" s="24">
        <v>44320.729398148149</v>
      </c>
      <c r="F47" s="190">
        <v>6250</v>
      </c>
    </row>
    <row r="48" spans="1:7" x14ac:dyDescent="0.25">
      <c r="A48" s="23" t="str">
        <f>"3945272"</f>
        <v>3945272</v>
      </c>
      <c r="B48" s="23" t="s">
        <v>589</v>
      </c>
      <c r="C48" s="23">
        <v>4.1900000000000004</v>
      </c>
      <c r="D48" s="23">
        <v>358464</v>
      </c>
      <c r="E48" s="24">
        <v>44320.729398148149</v>
      </c>
      <c r="F48" s="190">
        <v>6251</v>
      </c>
    </row>
    <row r="49" spans="1:6" x14ac:dyDescent="0.25">
      <c r="A49" s="23" t="str">
        <f>"3900676"</f>
        <v>3900676</v>
      </c>
      <c r="B49" s="23" t="s">
        <v>1103</v>
      </c>
      <c r="C49" s="23">
        <v>2.2000000000000002</v>
      </c>
      <c r="D49" s="23">
        <v>359809</v>
      </c>
      <c r="E49" s="24">
        <v>44320.729398148149</v>
      </c>
      <c r="F49" s="190">
        <v>6252</v>
      </c>
    </row>
    <row r="50" spans="1:6" x14ac:dyDescent="0.25">
      <c r="A50" s="23" t="str">
        <f>"3950328"</f>
        <v>3950328</v>
      </c>
      <c r="B50" s="23" t="s">
        <v>585</v>
      </c>
      <c r="C50" s="23">
        <v>8.3800000000000008</v>
      </c>
      <c r="D50" s="23">
        <v>358414</v>
      </c>
      <c r="E50" s="24">
        <v>44320.729398148149</v>
      </c>
      <c r="F50" s="190">
        <v>6253</v>
      </c>
    </row>
    <row r="51" spans="1:6" x14ac:dyDescent="0.25">
      <c r="A51" s="23" t="str">
        <f>"3901113"</f>
        <v>3901113</v>
      </c>
      <c r="B51" s="23" t="s">
        <v>592</v>
      </c>
      <c r="C51" s="23">
        <v>2.14</v>
      </c>
      <c r="D51" s="23">
        <v>358874</v>
      </c>
      <c r="E51" s="24">
        <v>44320.729398148149</v>
      </c>
      <c r="F51" s="190">
        <v>6254</v>
      </c>
    </row>
    <row r="52" spans="1:6" x14ac:dyDescent="0.25">
      <c r="A52" s="23" t="str">
        <f>"3945262"</f>
        <v>3945262</v>
      </c>
      <c r="B52" s="23" t="s">
        <v>593</v>
      </c>
      <c r="C52" s="23">
        <v>3.36</v>
      </c>
      <c r="D52" s="23">
        <v>358467</v>
      </c>
      <c r="E52" s="24">
        <v>44320.729398148149</v>
      </c>
      <c r="F52" s="190">
        <v>6255</v>
      </c>
    </row>
    <row r="53" spans="1:6" x14ac:dyDescent="0.25">
      <c r="A53" s="23" t="str">
        <f>"3960264"</f>
        <v>3960264</v>
      </c>
      <c r="B53" s="23" t="s">
        <v>594</v>
      </c>
      <c r="C53" s="23">
        <v>7.82</v>
      </c>
      <c r="D53" s="23">
        <v>358309</v>
      </c>
      <c r="E53" s="24">
        <v>44320.729398148149</v>
      </c>
      <c r="F53" s="190">
        <v>6256</v>
      </c>
    </row>
    <row r="54" spans="1:6" x14ac:dyDescent="0.25">
      <c r="A54" s="23" t="str">
        <f>"3909981"</f>
        <v>3909981</v>
      </c>
      <c r="B54" s="23" t="s">
        <v>582</v>
      </c>
      <c r="C54" s="23">
        <v>1.99</v>
      </c>
      <c r="D54" s="23">
        <v>358678</v>
      </c>
      <c r="E54" s="24">
        <v>44320.729398148149</v>
      </c>
      <c r="F54" s="190">
        <v>6257</v>
      </c>
    </row>
    <row r="55" spans="1:6" x14ac:dyDescent="0.25">
      <c r="A55" s="23" t="str">
        <f>"3903282"</f>
        <v>3903282</v>
      </c>
      <c r="B55" s="23" t="s">
        <v>584</v>
      </c>
      <c r="C55" s="23">
        <v>1.9</v>
      </c>
      <c r="D55" s="23">
        <v>359650</v>
      </c>
      <c r="E55" s="24">
        <v>44320.729398148149</v>
      </c>
      <c r="F55" s="190">
        <v>6258</v>
      </c>
    </row>
    <row r="56" spans="1:6" x14ac:dyDescent="0.25">
      <c r="A56" s="23" t="str">
        <f>"3960256"</f>
        <v>3960256</v>
      </c>
      <c r="B56" s="23" t="s">
        <v>580</v>
      </c>
      <c r="C56" s="23">
        <v>17.899999999999999</v>
      </c>
      <c r="D56" s="23">
        <v>358318</v>
      </c>
      <c r="E56" s="24">
        <v>44320.729398148149</v>
      </c>
      <c r="F56" s="190">
        <v>6259</v>
      </c>
    </row>
    <row r="57" spans="1:6" x14ac:dyDescent="0.25">
      <c r="A57" s="23" t="str">
        <f>"3909223"</f>
        <v>3909223</v>
      </c>
      <c r="B57" s="23" t="s">
        <v>583</v>
      </c>
      <c r="C57" s="23">
        <v>1.95</v>
      </c>
      <c r="D57" s="23">
        <v>359282</v>
      </c>
      <c r="E57" s="24">
        <v>44320.729398148149</v>
      </c>
      <c r="F57" s="190">
        <v>6260</v>
      </c>
    </row>
    <row r="58" spans="1:6" x14ac:dyDescent="0.25">
      <c r="A58" s="23" t="str">
        <f>"3906796"</f>
        <v>3906796</v>
      </c>
      <c r="B58" s="23" t="s">
        <v>596</v>
      </c>
      <c r="C58" s="23">
        <v>3.43</v>
      </c>
      <c r="D58" s="23">
        <v>360580</v>
      </c>
      <c r="E58" s="24">
        <v>44320.729398148149</v>
      </c>
      <c r="F58" s="190">
        <v>6261</v>
      </c>
    </row>
    <row r="59" spans="1:6" x14ac:dyDescent="0.25">
      <c r="A59" s="23" t="str">
        <f>"3908672"</f>
        <v>3908672</v>
      </c>
      <c r="B59" s="23" t="s">
        <v>598</v>
      </c>
      <c r="C59" s="23">
        <v>2.0699999999999998</v>
      </c>
      <c r="D59" s="23">
        <v>360479</v>
      </c>
      <c r="E59" s="24">
        <v>44320.729398148149</v>
      </c>
      <c r="F59" s="190">
        <v>6262</v>
      </c>
    </row>
    <row r="60" spans="1:6" x14ac:dyDescent="0.25">
      <c r="A60" s="23" t="str">
        <f>"3908716"</f>
        <v>3908716</v>
      </c>
      <c r="B60" s="23" t="s">
        <v>597</v>
      </c>
      <c r="C60" s="23">
        <v>3.4</v>
      </c>
      <c r="D60" s="23">
        <v>360488</v>
      </c>
      <c r="E60" s="24">
        <v>44320.729398148149</v>
      </c>
      <c r="F60" s="190">
        <v>6263</v>
      </c>
    </row>
    <row r="61" spans="1:6" x14ac:dyDescent="0.25">
      <c r="A61" s="23" t="str">
        <f>"3900657"</f>
        <v>3900657</v>
      </c>
      <c r="B61" s="23" t="s">
        <v>599</v>
      </c>
      <c r="C61" s="23">
        <v>15.3</v>
      </c>
      <c r="D61" s="23">
        <v>360389</v>
      </c>
      <c r="E61" s="24">
        <v>44320.729398148149</v>
      </c>
      <c r="F61" s="190">
        <v>6264</v>
      </c>
    </row>
    <row r="62" spans="1:6" x14ac:dyDescent="0.25">
      <c r="A62" s="23" t="str">
        <f>"3900340"</f>
        <v>3900340</v>
      </c>
      <c r="B62" s="23" t="s">
        <v>599</v>
      </c>
      <c r="C62" s="23">
        <v>15.3</v>
      </c>
      <c r="D62" s="23">
        <v>360390</v>
      </c>
      <c r="E62" s="24">
        <v>44320.729398148149</v>
      </c>
      <c r="F62" s="190">
        <v>6265</v>
      </c>
    </row>
    <row r="63" spans="1:6" x14ac:dyDescent="0.25">
      <c r="A63" s="23" t="str">
        <f>"3900344"</f>
        <v>3900344</v>
      </c>
      <c r="B63" s="23" t="s">
        <v>599</v>
      </c>
      <c r="C63" s="23">
        <v>15.3</v>
      </c>
      <c r="D63" s="23">
        <v>360391</v>
      </c>
      <c r="E63" s="24">
        <v>44320.729398148149</v>
      </c>
      <c r="F63" s="190">
        <v>6266</v>
      </c>
    </row>
    <row r="64" spans="1:6" x14ac:dyDescent="0.25">
      <c r="A64" s="23" t="str">
        <f>"3909007"</f>
        <v>3909007</v>
      </c>
      <c r="B64" s="23" t="s">
        <v>6080</v>
      </c>
      <c r="C64" s="23">
        <v>3.32</v>
      </c>
      <c r="D64" s="23">
        <v>360549</v>
      </c>
      <c r="E64" s="24">
        <v>44320.729398148149</v>
      </c>
      <c r="F64" s="190">
        <v>6267</v>
      </c>
    </row>
    <row r="65" spans="1:6" x14ac:dyDescent="0.25">
      <c r="A65" s="23" t="str">
        <f>"3930195"</f>
        <v>3930195</v>
      </c>
      <c r="B65" s="23" t="s">
        <v>6080</v>
      </c>
      <c r="C65" s="23">
        <v>1.94</v>
      </c>
      <c r="D65" s="23">
        <v>360598</v>
      </c>
      <c r="E65" s="24">
        <v>44320.729398148149</v>
      </c>
      <c r="F65" s="190">
        <v>6268</v>
      </c>
    </row>
    <row r="66" spans="1:6" x14ac:dyDescent="0.25">
      <c r="A66" s="23" t="str">
        <f>"3945038"</f>
        <v>3945038</v>
      </c>
      <c r="B66" s="23" t="s">
        <v>600</v>
      </c>
      <c r="C66" s="23">
        <v>15.3</v>
      </c>
      <c r="D66" s="23">
        <v>360394</v>
      </c>
      <c r="E66" s="24">
        <v>44320.729398148149</v>
      </c>
      <c r="F66" s="190">
        <v>6269</v>
      </c>
    </row>
    <row r="67" spans="1:6" x14ac:dyDescent="0.25">
      <c r="A67" s="23" t="str">
        <f>"3901033"</f>
        <v>3901033</v>
      </c>
      <c r="B67" s="23" t="s">
        <v>601</v>
      </c>
      <c r="C67" s="23">
        <v>30.6</v>
      </c>
      <c r="D67" s="23">
        <v>360400</v>
      </c>
      <c r="E67" s="24">
        <v>44320.729398148149</v>
      </c>
      <c r="F67" s="190">
        <v>6270</v>
      </c>
    </row>
    <row r="68" spans="1:6" x14ac:dyDescent="0.25">
      <c r="A68" s="23" t="str">
        <f>"3902576"</f>
        <v>3902576</v>
      </c>
      <c r="B68" s="23" t="s">
        <v>1115</v>
      </c>
      <c r="C68" s="23">
        <v>6.85</v>
      </c>
      <c r="D68" s="23">
        <v>359588</v>
      </c>
      <c r="E68" s="24">
        <v>44320.491805555554</v>
      </c>
      <c r="F68" s="190">
        <v>6276</v>
      </c>
    </row>
    <row r="69" spans="1:6" x14ac:dyDescent="0.25">
      <c r="A69" s="23" t="str">
        <f>"3902164"</f>
        <v>3902164</v>
      </c>
      <c r="B69" s="23" t="s">
        <v>1091</v>
      </c>
      <c r="C69" s="23">
        <v>10.91</v>
      </c>
      <c r="D69" s="23">
        <v>359277</v>
      </c>
      <c r="E69" s="24">
        <v>44320.496493055558</v>
      </c>
      <c r="F69" s="190">
        <v>6271</v>
      </c>
    </row>
    <row r="70" spans="1:6" x14ac:dyDescent="0.25">
      <c r="A70" s="23" t="str">
        <f>"3907238"</f>
        <v>3907238</v>
      </c>
      <c r="B70" s="23" t="s">
        <v>3756</v>
      </c>
      <c r="C70" s="23">
        <v>13.88</v>
      </c>
      <c r="D70" s="23">
        <v>358537</v>
      </c>
      <c r="E70" s="24">
        <v>44320.542847222219</v>
      </c>
      <c r="F70" s="190">
        <v>6272</v>
      </c>
    </row>
    <row r="71" spans="1:6" x14ac:dyDescent="0.25">
      <c r="A71" s="23" t="str">
        <f>"3930045"</f>
        <v>3930045</v>
      </c>
      <c r="B71" s="23" t="s">
        <v>13209</v>
      </c>
      <c r="C71" s="23">
        <v>6.06</v>
      </c>
      <c r="D71" s="23">
        <v>357974</v>
      </c>
      <c r="E71" s="24">
        <v>44320.596770833334</v>
      </c>
      <c r="F71" s="190">
        <v>6277</v>
      </c>
    </row>
    <row r="72" spans="1:6" x14ac:dyDescent="0.25">
      <c r="A72" s="23" t="str">
        <f>"3908177"</f>
        <v>3908177</v>
      </c>
      <c r="B72" s="23" t="s">
        <v>1126</v>
      </c>
      <c r="C72" s="23">
        <v>39.22</v>
      </c>
      <c r="D72" s="23">
        <v>360729</v>
      </c>
      <c r="E72" s="24">
        <v>44320.636446759258</v>
      </c>
      <c r="F72" s="190">
        <v>6273</v>
      </c>
    </row>
    <row r="73" spans="1:6" x14ac:dyDescent="0.25">
      <c r="A73" s="23" t="str">
        <f>"3908176"</f>
        <v>3908176</v>
      </c>
      <c r="B73" s="23" t="s">
        <v>1126</v>
      </c>
      <c r="C73" s="23">
        <v>7.88</v>
      </c>
      <c r="D73" s="23">
        <v>360728</v>
      </c>
      <c r="E73" s="24">
        <v>44320.636724537035</v>
      </c>
      <c r="F73" s="190">
        <v>6274</v>
      </c>
    </row>
    <row r="74" spans="1:6" x14ac:dyDescent="0.25">
      <c r="A74" s="23" t="str">
        <f>"3907257"</f>
        <v>3907257</v>
      </c>
      <c r="B74" s="23" t="s">
        <v>631</v>
      </c>
      <c r="C74" s="23">
        <v>0.25</v>
      </c>
      <c r="D74" s="23">
        <v>358540</v>
      </c>
      <c r="E74" s="24">
        <v>44320.638194444444</v>
      </c>
      <c r="F74" s="190">
        <v>6275</v>
      </c>
    </row>
    <row r="75" spans="1:6" x14ac:dyDescent="0.25">
      <c r="A75" s="23" t="str">
        <f>"3908875"</f>
        <v>3908875</v>
      </c>
      <c r="B75" s="23" t="s">
        <v>1095</v>
      </c>
      <c r="C75" s="23">
        <v>1.68</v>
      </c>
      <c r="D75" s="23">
        <v>358819</v>
      </c>
      <c r="E75" s="24">
        <v>44320.668113425927</v>
      </c>
      <c r="F75" s="190">
        <v>6278</v>
      </c>
    </row>
    <row r="76" spans="1:6" x14ac:dyDescent="0.25">
      <c r="A76" s="23" t="str">
        <f>"3902632"</f>
        <v>3902632</v>
      </c>
      <c r="B76" s="23" t="s">
        <v>13208</v>
      </c>
      <c r="C76" s="23">
        <v>0.28999999999999998</v>
      </c>
      <c r="D76" s="23">
        <v>310964</v>
      </c>
      <c r="E76" s="24">
        <v>44320.698738425926</v>
      </c>
      <c r="F76" s="190">
        <v>6279</v>
      </c>
    </row>
    <row r="77" spans="1:6" x14ac:dyDescent="0.25">
      <c r="A77" s="23" t="str">
        <f>"3909396"</f>
        <v>3909396</v>
      </c>
      <c r="B77" s="23" t="s">
        <v>13207</v>
      </c>
      <c r="C77" s="23">
        <v>0.78</v>
      </c>
      <c r="D77" s="23">
        <v>360295</v>
      </c>
      <c r="E77" s="24">
        <v>44320.769907407404</v>
      </c>
      <c r="F77" s="190">
        <v>6280</v>
      </c>
    </row>
    <row r="78" spans="1:6" x14ac:dyDescent="0.25">
      <c r="A78" s="23"/>
      <c r="B78" s="190">
        <v>2</v>
      </c>
      <c r="C78" s="189">
        <f>SUM(C21:C77)</f>
        <v>420.75000000000011</v>
      </c>
      <c r="D78" s="23"/>
      <c r="E78" s="24"/>
      <c r="F78" s="190"/>
    </row>
    <row r="79" spans="1:6" x14ac:dyDescent="0.25">
      <c r="A79" s="23" t="str">
        <f>"3908639"</f>
        <v>3908639</v>
      </c>
      <c r="B79" s="23" t="s">
        <v>613</v>
      </c>
      <c r="C79" s="23">
        <v>3.88</v>
      </c>
      <c r="D79" s="23">
        <v>360633</v>
      </c>
      <c r="E79" s="24">
        <v>44321.370150462964</v>
      </c>
      <c r="F79" s="190">
        <v>6281</v>
      </c>
    </row>
    <row r="80" spans="1:6" x14ac:dyDescent="0.25">
      <c r="A80" s="23" t="str">
        <f>"3907615"</f>
        <v>3907615</v>
      </c>
      <c r="B80" s="23" t="s">
        <v>548</v>
      </c>
      <c r="C80" s="23">
        <v>1.95</v>
      </c>
      <c r="D80" s="23">
        <v>358709</v>
      </c>
      <c r="E80" s="24">
        <v>44321.392847222225</v>
      </c>
      <c r="F80" s="190">
        <v>6282</v>
      </c>
    </row>
    <row r="81" spans="1:6" x14ac:dyDescent="0.25">
      <c r="A81" s="23" t="str">
        <f>"3908292"</f>
        <v>3908292</v>
      </c>
      <c r="B81" s="23" t="s">
        <v>1567</v>
      </c>
      <c r="C81" s="23">
        <v>2.4300000000000002</v>
      </c>
      <c r="D81" s="23">
        <v>359932</v>
      </c>
      <c r="E81" s="24">
        <v>44321.496493055558</v>
      </c>
      <c r="F81" s="190">
        <v>6283</v>
      </c>
    </row>
    <row r="82" spans="1:6" x14ac:dyDescent="0.25">
      <c r="A82" s="23" t="str">
        <f>"23923204"</f>
        <v>23923204</v>
      </c>
      <c r="B82" s="23" t="s">
        <v>11642</v>
      </c>
      <c r="C82" s="23">
        <v>4.5199999999999996</v>
      </c>
      <c r="D82" s="23">
        <v>4338</v>
      </c>
      <c r="E82" s="24">
        <v>44321.748726851853</v>
      </c>
      <c r="F82" s="190">
        <v>6284</v>
      </c>
    </row>
    <row r="83" spans="1:6" x14ac:dyDescent="0.25">
      <c r="A83" s="23" t="str">
        <f>"3903064"</f>
        <v>3903064</v>
      </c>
      <c r="B83" s="23" t="s">
        <v>1096</v>
      </c>
      <c r="C83" s="23">
        <v>13.88</v>
      </c>
      <c r="D83" s="23">
        <v>358548</v>
      </c>
      <c r="E83" s="24">
        <v>44321.829826388886</v>
      </c>
      <c r="F83" s="190">
        <v>6285</v>
      </c>
    </row>
    <row r="84" spans="1:6" x14ac:dyDescent="0.25">
      <c r="A84" s="23"/>
      <c r="B84" s="190">
        <v>3</v>
      </c>
      <c r="C84" s="189">
        <f>SUM(C79:C83)</f>
        <v>26.66</v>
      </c>
      <c r="D84" s="23"/>
      <c r="E84" s="24"/>
      <c r="F84" s="190"/>
    </row>
    <row r="85" spans="1:6" x14ac:dyDescent="0.25">
      <c r="A85" s="23" t="str">
        <f>"3902054"</f>
        <v>3902054</v>
      </c>
      <c r="B85" s="23" t="s">
        <v>13206</v>
      </c>
      <c r="C85" s="23">
        <v>8.3800000000000008</v>
      </c>
      <c r="D85" s="23">
        <v>358426</v>
      </c>
      <c r="E85" s="24">
        <v>44322.284884259258</v>
      </c>
      <c r="F85" s="190">
        <v>6483</v>
      </c>
    </row>
    <row r="86" spans="1:6" x14ac:dyDescent="0.25">
      <c r="A86" s="23" t="str">
        <f>"3908657"</f>
        <v>3908657</v>
      </c>
      <c r="B86" s="23" t="s">
        <v>1128</v>
      </c>
      <c r="C86" s="23">
        <v>3.21</v>
      </c>
      <c r="D86" s="23">
        <v>359308</v>
      </c>
      <c r="E86" s="24">
        <v>44322.418715277781</v>
      </c>
      <c r="F86" s="190">
        <v>6484</v>
      </c>
    </row>
    <row r="87" spans="1:6" x14ac:dyDescent="0.25">
      <c r="A87" s="23" t="str">
        <f>"3906764"</f>
        <v>3906764</v>
      </c>
      <c r="B87" s="23" t="s">
        <v>13205</v>
      </c>
      <c r="C87" s="23">
        <v>21.65</v>
      </c>
      <c r="D87" s="23">
        <v>348773</v>
      </c>
      <c r="E87" s="24">
        <v>44322.492592592593</v>
      </c>
      <c r="F87" s="190">
        <v>6491</v>
      </c>
    </row>
    <row r="88" spans="1:6" x14ac:dyDescent="0.25">
      <c r="A88" s="23" t="str">
        <f>"3960344"</f>
        <v>3960344</v>
      </c>
      <c r="B88" s="23" t="s">
        <v>3747</v>
      </c>
      <c r="C88" s="23">
        <v>8.3800000000000008</v>
      </c>
      <c r="D88" s="23">
        <v>358364</v>
      </c>
      <c r="E88" s="24">
        <v>44322.545347222222</v>
      </c>
      <c r="F88" s="190">
        <v>6485</v>
      </c>
    </row>
    <row r="89" spans="1:6" x14ac:dyDescent="0.25">
      <c r="A89" s="23" t="str">
        <f>"3960293"</f>
        <v>3960293</v>
      </c>
      <c r="B89" s="23" t="s">
        <v>3774</v>
      </c>
      <c r="C89" s="23">
        <v>8.0399999999999991</v>
      </c>
      <c r="D89" s="23">
        <v>358324</v>
      </c>
      <c r="E89" s="24">
        <v>44322.562094907407</v>
      </c>
      <c r="F89" s="190">
        <v>6486</v>
      </c>
    </row>
    <row r="90" spans="1:6" x14ac:dyDescent="0.25">
      <c r="A90" s="23" t="str">
        <f>"3960241"</f>
        <v>3960241</v>
      </c>
      <c r="B90" s="23" t="s">
        <v>13204</v>
      </c>
      <c r="C90" s="23">
        <v>15.3</v>
      </c>
      <c r="D90" s="23">
        <v>360397</v>
      </c>
      <c r="E90" s="24">
        <v>44322.590243055558</v>
      </c>
      <c r="F90" s="190">
        <v>6487</v>
      </c>
    </row>
    <row r="91" spans="1:6" x14ac:dyDescent="0.25">
      <c r="A91" s="23" t="str">
        <f>"23923029"</f>
        <v>23923029</v>
      </c>
      <c r="B91" s="23" t="s">
        <v>621</v>
      </c>
      <c r="C91" s="23">
        <v>10.74</v>
      </c>
      <c r="D91" s="23">
        <v>4263</v>
      </c>
      <c r="E91" s="24">
        <v>44322.592986111114</v>
      </c>
      <c r="F91" s="190">
        <v>6488</v>
      </c>
    </row>
    <row r="92" spans="1:6" x14ac:dyDescent="0.25">
      <c r="A92" s="23" t="str">
        <f>"3960257"</f>
        <v>3960257</v>
      </c>
      <c r="B92" s="23" t="s">
        <v>605</v>
      </c>
      <c r="C92" s="23">
        <v>15.3</v>
      </c>
      <c r="D92" s="23">
        <v>360386</v>
      </c>
      <c r="E92" s="24">
        <v>44322.6559837963</v>
      </c>
      <c r="F92" s="190">
        <v>6489</v>
      </c>
    </row>
    <row r="93" spans="1:6" x14ac:dyDescent="0.25">
      <c r="A93" s="23" t="str">
        <f>"3960275"</f>
        <v>3960275</v>
      </c>
      <c r="B93" s="23" t="s">
        <v>605</v>
      </c>
      <c r="C93" s="23">
        <v>15.3</v>
      </c>
      <c r="D93" s="23">
        <v>360393</v>
      </c>
      <c r="E93" s="24">
        <v>44322.656828703701</v>
      </c>
      <c r="F93" s="190">
        <v>6490</v>
      </c>
    </row>
    <row r="94" spans="1:6" x14ac:dyDescent="0.25">
      <c r="A94" s="23" t="str">
        <f>"3908230"</f>
        <v>3908230</v>
      </c>
      <c r="B94" s="23" t="s">
        <v>1566</v>
      </c>
      <c r="C94" s="23">
        <v>3.42</v>
      </c>
      <c r="D94" s="23">
        <v>360736</v>
      </c>
      <c r="E94" s="24">
        <v>44322.866909722223</v>
      </c>
      <c r="F94" s="190">
        <v>6528</v>
      </c>
    </row>
    <row r="95" spans="1:6" x14ac:dyDescent="0.25">
      <c r="A95" s="23"/>
      <c r="B95" s="190">
        <v>4</v>
      </c>
      <c r="C95" s="189">
        <f>SUM(C85:C94)</f>
        <v>109.71999999999998</v>
      </c>
      <c r="D95" s="23"/>
      <c r="E95" s="24"/>
      <c r="F95" s="190"/>
    </row>
    <row r="96" spans="1:6" x14ac:dyDescent="0.25">
      <c r="A96" s="23" t="str">
        <f>"3945455"</f>
        <v>3945455</v>
      </c>
      <c r="B96" s="23" t="s">
        <v>1127</v>
      </c>
      <c r="C96" s="23">
        <v>8.3800000000000008</v>
      </c>
      <c r="D96" s="23">
        <v>358394</v>
      </c>
      <c r="E96" s="24">
        <v>44323.433506944442</v>
      </c>
      <c r="F96" s="190">
        <v>6651</v>
      </c>
    </row>
    <row r="97" spans="1:6" x14ac:dyDescent="0.25">
      <c r="A97" s="23" t="str">
        <f>"3907837"</f>
        <v>3907837</v>
      </c>
      <c r="B97" s="23" t="s">
        <v>13203</v>
      </c>
      <c r="C97" s="23">
        <v>3.96</v>
      </c>
      <c r="D97" s="23">
        <v>358935</v>
      </c>
      <c r="E97" s="24">
        <v>44323.465555555558</v>
      </c>
      <c r="F97" s="190">
        <v>6652</v>
      </c>
    </row>
    <row r="98" spans="1:6" x14ac:dyDescent="0.25">
      <c r="A98" s="23" t="str">
        <f>"3945113"</f>
        <v>3945113</v>
      </c>
      <c r="B98" s="23" t="s">
        <v>551</v>
      </c>
      <c r="C98" s="23">
        <v>8.3800000000000008</v>
      </c>
      <c r="D98" s="23">
        <v>358370</v>
      </c>
      <c r="E98" s="24">
        <v>44323.466874999998</v>
      </c>
      <c r="F98" s="190">
        <v>6653</v>
      </c>
    </row>
    <row r="99" spans="1:6" x14ac:dyDescent="0.25">
      <c r="A99" s="23" t="str">
        <f>"3907531"</f>
        <v>3907531</v>
      </c>
      <c r="B99" s="23" t="s">
        <v>3755</v>
      </c>
      <c r="C99" s="23">
        <v>12.15</v>
      </c>
      <c r="D99" s="23">
        <v>358574</v>
      </c>
      <c r="E99" s="24">
        <v>44323.539803240739</v>
      </c>
      <c r="F99" s="190">
        <v>6654</v>
      </c>
    </row>
    <row r="100" spans="1:6" x14ac:dyDescent="0.25">
      <c r="A100" s="23" t="str">
        <f>"3908505"</f>
        <v>3908505</v>
      </c>
      <c r="B100" s="23" t="s">
        <v>13202</v>
      </c>
      <c r="C100" s="23">
        <v>2.61</v>
      </c>
      <c r="D100" s="23">
        <v>360798</v>
      </c>
      <c r="E100" s="24">
        <v>44323.574756944443</v>
      </c>
      <c r="F100" s="190">
        <v>6655</v>
      </c>
    </row>
    <row r="101" spans="1:6" x14ac:dyDescent="0.25">
      <c r="A101" s="23" t="str">
        <f>"3908506"</f>
        <v>3908506</v>
      </c>
      <c r="B101" s="23" t="s">
        <v>13202</v>
      </c>
      <c r="C101" s="23">
        <v>2.06</v>
      </c>
      <c r="D101" s="23">
        <v>360799</v>
      </c>
      <c r="E101" s="24">
        <v>44323.576597222222</v>
      </c>
      <c r="F101" s="190">
        <v>6656</v>
      </c>
    </row>
    <row r="102" spans="1:6" x14ac:dyDescent="0.25">
      <c r="A102" s="23" t="str">
        <f>"3945281"</f>
        <v>3945281</v>
      </c>
      <c r="B102" s="23" t="s">
        <v>1125</v>
      </c>
      <c r="C102" s="23">
        <v>4.1900000000000004</v>
      </c>
      <c r="D102" s="23">
        <v>358465</v>
      </c>
      <c r="E102" s="24">
        <v>44323.847326388888</v>
      </c>
      <c r="F102" s="190">
        <v>6657</v>
      </c>
    </row>
    <row r="103" spans="1:6" x14ac:dyDescent="0.25">
      <c r="A103" s="23"/>
      <c r="B103" s="190">
        <v>5</v>
      </c>
      <c r="C103" s="189">
        <f>SUM(C96:C102)</f>
        <v>41.73</v>
      </c>
      <c r="D103" s="23"/>
      <c r="E103" s="24"/>
      <c r="F103" s="190"/>
    </row>
    <row r="104" spans="1:6" x14ac:dyDescent="0.25">
      <c r="A104" s="23" t="str">
        <f>"3901741"</f>
        <v>3901741</v>
      </c>
      <c r="B104" s="23" t="s">
        <v>3770</v>
      </c>
      <c r="C104" s="23">
        <v>3.37</v>
      </c>
      <c r="D104" s="23">
        <v>359878</v>
      </c>
      <c r="E104" s="24">
        <v>44326.425717592596</v>
      </c>
      <c r="F104" s="190">
        <v>6707</v>
      </c>
    </row>
    <row r="105" spans="1:6" x14ac:dyDescent="0.25">
      <c r="A105" s="23" t="str">
        <f>"3907990"</f>
        <v>3907990</v>
      </c>
      <c r="B105" s="23" t="s">
        <v>6086</v>
      </c>
      <c r="C105" s="23">
        <v>3.36</v>
      </c>
      <c r="D105" s="23">
        <v>359134</v>
      </c>
      <c r="E105" s="24">
        <v>44326.278391203705</v>
      </c>
      <c r="F105" s="190">
        <v>6708</v>
      </c>
    </row>
    <row r="106" spans="1:6" x14ac:dyDescent="0.25">
      <c r="A106" s="23" t="str">
        <f>"3902041"</f>
        <v>3902041</v>
      </c>
      <c r="B106" s="23" t="s">
        <v>3776</v>
      </c>
      <c r="C106" s="23">
        <v>8.3800000000000008</v>
      </c>
      <c r="D106" s="23">
        <v>358424</v>
      </c>
      <c r="E106" s="24">
        <v>44326.559583333335</v>
      </c>
      <c r="F106" s="190">
        <v>6709</v>
      </c>
    </row>
    <row r="107" spans="1:6" x14ac:dyDescent="0.25">
      <c r="A107" s="23" t="str">
        <f>"3907330"</f>
        <v>3907330</v>
      </c>
      <c r="B107" s="23" t="s">
        <v>3777</v>
      </c>
      <c r="C107" s="23">
        <v>13.43</v>
      </c>
      <c r="D107" s="23">
        <v>358496</v>
      </c>
      <c r="E107" s="24">
        <v>44326.560150462959</v>
      </c>
      <c r="F107" s="190">
        <v>6710</v>
      </c>
    </row>
    <row r="108" spans="1:6" x14ac:dyDescent="0.25">
      <c r="A108" s="23" t="str">
        <f>"3909154"</f>
        <v>3909154</v>
      </c>
      <c r="B108" s="23" t="s">
        <v>1113</v>
      </c>
      <c r="C108" s="23">
        <v>14.04</v>
      </c>
      <c r="D108" s="23">
        <v>360597</v>
      </c>
      <c r="E108" s="24">
        <v>44326.666759259257</v>
      </c>
      <c r="F108" s="190">
        <v>6711</v>
      </c>
    </row>
    <row r="109" spans="1:6" x14ac:dyDescent="0.25">
      <c r="A109" s="23" t="str">
        <f>"3900383"</f>
        <v>3900383</v>
      </c>
      <c r="B109" s="23" t="s">
        <v>634</v>
      </c>
      <c r="C109" s="23">
        <v>2.86</v>
      </c>
      <c r="D109" s="23">
        <v>359421</v>
      </c>
      <c r="E109" s="24">
        <v>44326.731111111112</v>
      </c>
      <c r="F109" s="190">
        <v>6712</v>
      </c>
    </row>
    <row r="110" spans="1:6" x14ac:dyDescent="0.25">
      <c r="A110" s="23" t="str">
        <f>"3908534"</f>
        <v>3908534</v>
      </c>
      <c r="B110" s="23" t="s">
        <v>3773</v>
      </c>
      <c r="C110" s="23">
        <v>5.68</v>
      </c>
      <c r="D110" s="23">
        <v>360117</v>
      </c>
      <c r="E110" s="24">
        <v>44326.84003472222</v>
      </c>
      <c r="F110" s="190" t="s">
        <v>13201</v>
      </c>
    </row>
    <row r="111" spans="1:6" x14ac:dyDescent="0.25">
      <c r="A111" s="23"/>
      <c r="B111" s="190">
        <v>6</v>
      </c>
      <c r="C111" s="189">
        <f>SUM(C104:C110)</f>
        <v>51.12</v>
      </c>
      <c r="D111" s="23"/>
      <c r="E111" s="24"/>
      <c r="F111" s="190"/>
    </row>
    <row r="112" spans="1:6" x14ac:dyDescent="0.25">
      <c r="A112" s="23" t="str">
        <f>"3902009"</f>
        <v>3902009</v>
      </c>
      <c r="B112" s="23" t="s">
        <v>608</v>
      </c>
      <c r="C112" s="23">
        <v>3.36</v>
      </c>
      <c r="D112" s="23">
        <v>360519</v>
      </c>
      <c r="E112" s="24">
        <v>44327.52753472222</v>
      </c>
      <c r="F112" s="190">
        <v>6785</v>
      </c>
    </row>
    <row r="113" spans="1:6" x14ac:dyDescent="0.25">
      <c r="A113" s="23" t="str">
        <f>"3909922"</f>
        <v>3909922</v>
      </c>
      <c r="B113" s="23" t="s">
        <v>1090</v>
      </c>
      <c r="C113" s="23">
        <v>5.39</v>
      </c>
      <c r="D113" s="23">
        <v>360485</v>
      </c>
      <c r="E113" s="24">
        <v>44327.547974537039</v>
      </c>
      <c r="F113" s="190">
        <v>6786</v>
      </c>
    </row>
    <row r="114" spans="1:6" x14ac:dyDescent="0.25">
      <c r="A114" s="23" t="str">
        <f>"3907525"</f>
        <v>3907525</v>
      </c>
      <c r="B114" s="23" t="s">
        <v>3786</v>
      </c>
      <c r="C114" s="23">
        <v>3.34</v>
      </c>
      <c r="D114" s="23">
        <v>360482</v>
      </c>
      <c r="E114" s="24">
        <v>44327.567152777781</v>
      </c>
      <c r="F114" s="190">
        <v>6787</v>
      </c>
    </row>
    <row r="115" spans="1:6" x14ac:dyDescent="0.25">
      <c r="A115" s="23" t="str">
        <f>"3907544"</f>
        <v>3907544</v>
      </c>
      <c r="B115" s="23" t="s">
        <v>3786</v>
      </c>
      <c r="C115" s="23">
        <v>1.94</v>
      </c>
      <c r="D115" s="23">
        <v>360481</v>
      </c>
      <c r="E115" s="24">
        <v>44327.568101851852</v>
      </c>
      <c r="F115" s="190">
        <v>6788</v>
      </c>
    </row>
    <row r="116" spans="1:6" x14ac:dyDescent="0.25">
      <c r="A116" s="23" t="str">
        <f>"3909929"</f>
        <v>3909929</v>
      </c>
      <c r="B116" s="23" t="s">
        <v>13184</v>
      </c>
      <c r="C116" s="23">
        <v>12.34</v>
      </c>
      <c r="D116" s="23">
        <v>343798</v>
      </c>
      <c r="E116" s="24">
        <v>44327.753738425927</v>
      </c>
      <c r="F116" s="190">
        <v>6789</v>
      </c>
    </row>
    <row r="117" spans="1:6" x14ac:dyDescent="0.25">
      <c r="A117" s="23" t="str">
        <f>"3908129"</f>
        <v>3908129</v>
      </c>
      <c r="B117" s="23" t="s">
        <v>1105</v>
      </c>
      <c r="C117" s="23">
        <v>2.2999999999999998</v>
      </c>
      <c r="D117" s="23">
        <v>359851</v>
      </c>
      <c r="E117" s="24">
        <v>44327.765648148146</v>
      </c>
      <c r="F117" s="190" t="s">
        <v>13200</v>
      </c>
    </row>
    <row r="118" spans="1:6" x14ac:dyDescent="0.25">
      <c r="A118" s="23"/>
      <c r="B118" s="190">
        <v>7</v>
      </c>
      <c r="C118" s="189">
        <f>SUM(C112:C117)</f>
        <v>28.669999999999998</v>
      </c>
      <c r="D118" s="23"/>
      <c r="E118" s="24"/>
      <c r="F118" s="190"/>
    </row>
    <row r="119" spans="1:6" x14ac:dyDescent="0.25">
      <c r="A119" s="23" t="str">
        <f>"3920065"</f>
        <v>3920065</v>
      </c>
      <c r="B119" s="23" t="s">
        <v>610</v>
      </c>
      <c r="C119" s="23">
        <v>15.3</v>
      </c>
      <c r="D119" s="23">
        <v>360385</v>
      </c>
      <c r="E119" s="24">
        <v>44328.427731481483</v>
      </c>
      <c r="F119" s="190">
        <v>6840</v>
      </c>
    </row>
    <row r="120" spans="1:6" x14ac:dyDescent="0.25">
      <c r="A120" s="23" t="str">
        <f>"3907622"</f>
        <v>3907622</v>
      </c>
      <c r="B120" s="23" t="s">
        <v>607</v>
      </c>
      <c r="C120" s="23">
        <v>95.43</v>
      </c>
      <c r="D120" s="23">
        <v>360721</v>
      </c>
      <c r="E120" s="24">
        <v>44328.476423611108</v>
      </c>
      <c r="F120" s="190">
        <v>6841</v>
      </c>
    </row>
    <row r="121" spans="1:6" x14ac:dyDescent="0.25">
      <c r="A121" s="23" t="str">
        <f>"3909435"</f>
        <v>3909435</v>
      </c>
      <c r="B121" s="23" t="s">
        <v>13199</v>
      </c>
      <c r="C121" s="23">
        <v>0.75</v>
      </c>
      <c r="D121" s="23">
        <v>360314</v>
      </c>
      <c r="E121" s="24">
        <v>44328.539872685185</v>
      </c>
      <c r="F121" s="190">
        <v>6846</v>
      </c>
    </row>
    <row r="122" spans="1:6" x14ac:dyDescent="0.25">
      <c r="A122" s="23" t="str">
        <f>"3901121"</f>
        <v>3901121</v>
      </c>
      <c r="B122" s="23" t="s">
        <v>615</v>
      </c>
      <c r="C122" s="23">
        <v>4.1900000000000004</v>
      </c>
      <c r="D122" s="23">
        <v>358875</v>
      </c>
      <c r="E122" s="24">
        <v>44328.556284722225</v>
      </c>
      <c r="F122" s="190">
        <v>6842</v>
      </c>
    </row>
    <row r="123" spans="1:6" x14ac:dyDescent="0.25">
      <c r="A123" s="23" t="str">
        <f>"3906658"</f>
        <v>3906658</v>
      </c>
      <c r="B123" s="23" t="s">
        <v>614</v>
      </c>
      <c r="C123" s="23">
        <v>1.68</v>
      </c>
      <c r="D123" s="23">
        <v>360535</v>
      </c>
      <c r="E123" s="24">
        <v>44328.557083333333</v>
      </c>
      <c r="F123" s="190">
        <v>6843</v>
      </c>
    </row>
    <row r="124" spans="1:6" x14ac:dyDescent="0.25">
      <c r="A124" s="23" t="str">
        <f>"3908228"</f>
        <v>3908228</v>
      </c>
      <c r="B124" s="23" t="s">
        <v>6078</v>
      </c>
      <c r="C124" s="23">
        <v>5.48</v>
      </c>
      <c r="D124" s="23">
        <v>359892</v>
      </c>
      <c r="E124" s="24">
        <v>44328.599039351851</v>
      </c>
      <c r="F124" s="190">
        <v>6844</v>
      </c>
    </row>
    <row r="125" spans="1:6" x14ac:dyDescent="0.25">
      <c r="A125" s="23" t="str">
        <f>"3907791"</f>
        <v>3907791</v>
      </c>
      <c r="B125" s="23" t="s">
        <v>1084</v>
      </c>
      <c r="C125" s="23">
        <v>4.3</v>
      </c>
      <c r="D125" s="23">
        <v>358843</v>
      </c>
      <c r="E125" s="24">
        <v>44328.743495370371</v>
      </c>
      <c r="F125" s="190">
        <v>6845</v>
      </c>
    </row>
    <row r="126" spans="1:6" x14ac:dyDescent="0.25">
      <c r="A126" s="23"/>
      <c r="B126" s="190">
        <v>8</v>
      </c>
      <c r="C126" s="189">
        <f>SUM(C119:C125)</f>
        <v>127.13000000000001</v>
      </c>
      <c r="D126" s="23"/>
      <c r="E126" s="24"/>
      <c r="F126" s="190"/>
    </row>
    <row r="127" spans="1:6" x14ac:dyDescent="0.25">
      <c r="A127" s="23" t="str">
        <f>"3930042"</f>
        <v>3930042</v>
      </c>
      <c r="B127" s="23" t="s">
        <v>620</v>
      </c>
      <c r="C127" s="23">
        <v>3.57</v>
      </c>
      <c r="D127" s="23">
        <v>360503</v>
      </c>
      <c r="E127" s="24">
        <v>44329.378981481481</v>
      </c>
      <c r="F127" s="190">
        <v>6878</v>
      </c>
    </row>
    <row r="128" spans="1:6" x14ac:dyDescent="0.25">
      <c r="A128" s="23" t="str">
        <f>"3930391"</f>
        <v>3930391</v>
      </c>
      <c r="B128" s="23" t="s">
        <v>1100</v>
      </c>
      <c r="C128" s="23">
        <v>9.89</v>
      </c>
      <c r="D128" s="23">
        <v>359205</v>
      </c>
      <c r="E128" s="24">
        <v>44329.626203703701</v>
      </c>
      <c r="F128" s="190">
        <v>6879</v>
      </c>
    </row>
    <row r="129" spans="1:6" x14ac:dyDescent="0.25">
      <c r="A129" s="23"/>
      <c r="B129" s="190">
        <v>9</v>
      </c>
      <c r="C129" s="189">
        <f>SUM(C127:C128)</f>
        <v>13.46</v>
      </c>
      <c r="D129" s="23"/>
      <c r="E129" s="24"/>
      <c r="F129" s="190"/>
    </row>
    <row r="130" spans="1:6" x14ac:dyDescent="0.25">
      <c r="A130" s="23" t="str">
        <f>"23923174"</f>
        <v>23923174</v>
      </c>
      <c r="B130" s="23" t="s">
        <v>13198</v>
      </c>
      <c r="C130" s="23">
        <v>4.51</v>
      </c>
      <c r="D130" s="23">
        <v>1336</v>
      </c>
      <c r="E130" s="24">
        <v>44330.571481481478</v>
      </c>
      <c r="F130" s="190">
        <v>6916</v>
      </c>
    </row>
    <row r="131" spans="1:6" x14ac:dyDescent="0.25">
      <c r="A131" s="23" t="str">
        <f>"23923195"</f>
        <v>23923195</v>
      </c>
      <c r="B131" s="23" t="s">
        <v>13198</v>
      </c>
      <c r="C131" s="23">
        <v>20.37</v>
      </c>
      <c r="D131" s="23">
        <v>3389</v>
      </c>
      <c r="E131" s="24">
        <v>44330.571643518517</v>
      </c>
      <c r="F131" s="190">
        <v>6917</v>
      </c>
    </row>
    <row r="132" spans="1:6" x14ac:dyDescent="0.25">
      <c r="A132" s="23" t="str">
        <f>"3901461"</f>
        <v>3901461</v>
      </c>
      <c r="B132" s="23" t="s">
        <v>622</v>
      </c>
      <c r="C132" s="23">
        <v>15.3</v>
      </c>
      <c r="D132" s="23">
        <v>360405</v>
      </c>
      <c r="E132" s="24">
        <v>44330.604120370372</v>
      </c>
      <c r="F132" s="190">
        <v>6913</v>
      </c>
    </row>
    <row r="133" spans="1:6" x14ac:dyDescent="0.25">
      <c r="A133" s="23" t="str">
        <f>"3909261"</f>
        <v>3909261</v>
      </c>
      <c r="B133" s="23" t="s">
        <v>6076</v>
      </c>
      <c r="C133" s="23">
        <v>0.25</v>
      </c>
      <c r="D133" s="23">
        <v>360203</v>
      </c>
      <c r="E133" s="24">
        <v>44330.605914351851</v>
      </c>
      <c r="F133" s="190">
        <v>6914</v>
      </c>
    </row>
    <row r="134" spans="1:6" x14ac:dyDescent="0.25">
      <c r="A134" s="23" t="str">
        <f>"3907892"</f>
        <v>3907892</v>
      </c>
      <c r="B134" s="23" t="s">
        <v>1085</v>
      </c>
      <c r="C134" s="23">
        <v>3.37</v>
      </c>
      <c r="D134" s="23">
        <v>359180</v>
      </c>
      <c r="E134" s="24">
        <v>44330.704293981478</v>
      </c>
      <c r="F134" s="190">
        <v>6915</v>
      </c>
    </row>
    <row r="135" spans="1:6" x14ac:dyDescent="0.25">
      <c r="A135" s="23"/>
      <c r="B135" s="190">
        <v>10</v>
      </c>
      <c r="C135" s="189">
        <f>SUM(C130:C134)</f>
        <v>43.800000000000004</v>
      </c>
      <c r="D135" s="23"/>
      <c r="E135" s="24"/>
      <c r="F135" s="190"/>
    </row>
    <row r="136" spans="1:6" x14ac:dyDescent="0.25">
      <c r="A136" s="23" t="str">
        <f>"3908320"</f>
        <v>3908320</v>
      </c>
      <c r="B136" s="23" t="s">
        <v>3797</v>
      </c>
      <c r="C136" s="23">
        <v>4.59</v>
      </c>
      <c r="D136" s="23">
        <v>359964</v>
      </c>
      <c r="E136" s="24">
        <v>44333.477430555555</v>
      </c>
      <c r="F136" s="190">
        <v>6980</v>
      </c>
    </row>
    <row r="137" spans="1:6" x14ac:dyDescent="0.25">
      <c r="A137" s="23" t="str">
        <f>"3960269"</f>
        <v>3960269</v>
      </c>
      <c r="B137" s="23" t="s">
        <v>3745</v>
      </c>
      <c r="C137" s="23">
        <v>12.3</v>
      </c>
      <c r="D137" s="23">
        <v>358313</v>
      </c>
      <c r="E137" s="24">
        <v>44333.482905092591</v>
      </c>
      <c r="F137" s="190">
        <v>6981</v>
      </c>
    </row>
    <row r="138" spans="1:6" x14ac:dyDescent="0.25">
      <c r="A138" s="23" t="str">
        <f>"3907965"</f>
        <v>3907965</v>
      </c>
      <c r="B138" s="23" t="s">
        <v>1135</v>
      </c>
      <c r="C138" s="23">
        <v>2.12</v>
      </c>
      <c r="D138" s="23">
        <v>359833</v>
      </c>
      <c r="E138" s="24">
        <v>44333.483969907407</v>
      </c>
      <c r="F138" s="190">
        <v>6982</v>
      </c>
    </row>
    <row r="139" spans="1:6" x14ac:dyDescent="0.25">
      <c r="A139" s="23" t="str">
        <f>"3920203"</f>
        <v>3920203</v>
      </c>
      <c r="B139" s="23" t="s">
        <v>1088</v>
      </c>
      <c r="C139" s="23">
        <v>53.7</v>
      </c>
      <c r="D139" s="23">
        <v>358306</v>
      </c>
      <c r="E139" s="24">
        <v>44333.42559027778</v>
      </c>
      <c r="F139" s="190">
        <v>6988</v>
      </c>
    </row>
    <row r="140" spans="1:6" x14ac:dyDescent="0.25">
      <c r="A140" s="23" t="str">
        <f>"3960357"</f>
        <v>3960357</v>
      </c>
      <c r="B140" s="23" t="s">
        <v>1086</v>
      </c>
      <c r="C140" s="23">
        <v>8.3800000000000008</v>
      </c>
      <c r="D140" s="23">
        <v>358409</v>
      </c>
      <c r="E140" s="24">
        <v>44333.532083333332</v>
      </c>
      <c r="F140" s="190">
        <v>6983</v>
      </c>
    </row>
    <row r="141" spans="1:6" x14ac:dyDescent="0.25">
      <c r="A141" s="23" t="str">
        <f>"3901931"</f>
        <v>3901931</v>
      </c>
      <c r="B141" s="23" t="s">
        <v>6082</v>
      </c>
      <c r="C141" s="23">
        <v>3.36</v>
      </c>
      <c r="D141" s="23">
        <v>358622</v>
      </c>
      <c r="E141" s="24">
        <v>44333.408819444441</v>
      </c>
      <c r="F141" s="190">
        <v>6984</v>
      </c>
    </row>
    <row r="142" spans="1:6" x14ac:dyDescent="0.25">
      <c r="A142" s="23" t="str">
        <f>"3960313"</f>
        <v>3960313</v>
      </c>
      <c r="B142" s="23" t="s">
        <v>3744</v>
      </c>
      <c r="C142" s="23">
        <v>15.64</v>
      </c>
      <c r="D142" s="23">
        <v>358413</v>
      </c>
      <c r="E142" s="24">
        <v>44333.517152777778</v>
      </c>
      <c r="F142" s="190">
        <v>6985</v>
      </c>
    </row>
    <row r="143" spans="1:6" x14ac:dyDescent="0.25">
      <c r="A143" s="23" t="str">
        <f>"3945471"</f>
        <v>3945471</v>
      </c>
      <c r="B143" s="23" t="s">
        <v>1098</v>
      </c>
      <c r="C143" s="23">
        <v>8.3800000000000008</v>
      </c>
      <c r="D143" s="23">
        <v>358400</v>
      </c>
      <c r="E143" s="24">
        <v>44333.529710648145</v>
      </c>
      <c r="F143" s="190">
        <v>6986</v>
      </c>
    </row>
    <row r="144" spans="1:6" x14ac:dyDescent="0.25">
      <c r="A144" s="23" t="str">
        <f>"3901242"</f>
        <v>3901242</v>
      </c>
      <c r="B144" s="23" t="s">
        <v>11645</v>
      </c>
      <c r="C144" s="23">
        <v>1.68</v>
      </c>
      <c r="D144" s="23">
        <v>359106</v>
      </c>
      <c r="E144" s="24">
        <v>44333.724780092591</v>
      </c>
      <c r="F144" s="190">
        <v>6987</v>
      </c>
    </row>
    <row r="145" spans="1:6" x14ac:dyDescent="0.25">
      <c r="A145" s="23"/>
      <c r="B145" s="190">
        <v>11</v>
      </c>
      <c r="C145" s="189">
        <f>SUM(C136:C144)</f>
        <v>110.15</v>
      </c>
      <c r="D145" s="23"/>
      <c r="E145" s="24"/>
      <c r="F145" s="190"/>
    </row>
    <row r="146" spans="1:6" x14ac:dyDescent="0.25">
      <c r="A146" s="23" t="s">
        <v>6103</v>
      </c>
      <c r="B146" s="23" t="s">
        <v>1114</v>
      </c>
      <c r="C146" s="23">
        <v>1.94</v>
      </c>
      <c r="D146" s="23">
        <v>360737</v>
      </c>
      <c r="E146" s="24">
        <v>44334.388356481482</v>
      </c>
      <c r="F146" s="190">
        <v>7067</v>
      </c>
    </row>
    <row r="147" spans="1:6" x14ac:dyDescent="0.25">
      <c r="A147" s="23" t="s">
        <v>6119</v>
      </c>
      <c r="B147" s="23" t="s">
        <v>606</v>
      </c>
      <c r="C147" s="23">
        <v>1.93</v>
      </c>
      <c r="D147" s="23">
        <v>359403</v>
      </c>
      <c r="E147" s="24">
        <v>44334.399571759262</v>
      </c>
      <c r="F147" s="190">
        <v>7068</v>
      </c>
    </row>
    <row r="148" spans="1:6" x14ac:dyDescent="0.25">
      <c r="A148" s="23" t="s">
        <v>13197</v>
      </c>
      <c r="B148" s="23" t="s">
        <v>626</v>
      </c>
      <c r="C148" s="23">
        <v>8.3800000000000008</v>
      </c>
      <c r="D148" s="23">
        <v>358382</v>
      </c>
      <c r="E148" s="24">
        <v>44334.40420138889</v>
      </c>
      <c r="F148" s="190">
        <v>7069</v>
      </c>
    </row>
    <row r="149" spans="1:6" x14ac:dyDescent="0.25">
      <c r="A149" s="23" t="s">
        <v>13196</v>
      </c>
      <c r="B149" s="23" t="s">
        <v>3750</v>
      </c>
      <c r="C149" s="23">
        <v>12.3</v>
      </c>
      <c r="D149" s="23">
        <v>358329</v>
      </c>
      <c r="E149" s="24">
        <v>44334.416122685187</v>
      </c>
      <c r="F149" s="190">
        <v>7070</v>
      </c>
    </row>
    <row r="150" spans="1:6" x14ac:dyDescent="0.25">
      <c r="A150" s="23" t="s">
        <v>13195</v>
      </c>
      <c r="B150" s="23" t="s">
        <v>1132</v>
      </c>
      <c r="C150" s="23">
        <v>16.47</v>
      </c>
      <c r="D150" s="23">
        <v>358494</v>
      </c>
      <c r="E150" s="24">
        <v>44334.535324074073</v>
      </c>
      <c r="F150" s="190">
        <v>7071</v>
      </c>
    </row>
    <row r="151" spans="1:6" x14ac:dyDescent="0.25">
      <c r="A151" s="23" t="s">
        <v>13194</v>
      </c>
      <c r="B151" s="23" t="s">
        <v>629</v>
      </c>
      <c r="C151" s="23">
        <v>2.5</v>
      </c>
      <c r="D151" s="23">
        <v>359151</v>
      </c>
      <c r="E151" s="24">
        <v>44334.537037037036</v>
      </c>
      <c r="F151" s="190">
        <v>7072</v>
      </c>
    </row>
    <row r="152" spans="1:6" x14ac:dyDescent="0.25">
      <c r="A152" s="23" t="s">
        <v>6105</v>
      </c>
      <c r="B152" s="23" t="s">
        <v>624</v>
      </c>
      <c r="C152" s="23">
        <v>4.1900000000000004</v>
      </c>
      <c r="D152" s="23">
        <v>358386</v>
      </c>
      <c r="E152" s="24">
        <v>44334.627280092594</v>
      </c>
      <c r="F152" s="190">
        <v>7073</v>
      </c>
    </row>
    <row r="153" spans="1:6" x14ac:dyDescent="0.25">
      <c r="A153" s="23" t="s">
        <v>13193</v>
      </c>
      <c r="B153" s="23" t="s">
        <v>3793</v>
      </c>
      <c r="C153" s="23">
        <v>6.37</v>
      </c>
      <c r="D153" s="23">
        <v>358807</v>
      </c>
      <c r="E153" s="24">
        <v>44334.665092592593</v>
      </c>
      <c r="F153" s="190">
        <v>7074</v>
      </c>
    </row>
    <row r="154" spans="1:6" x14ac:dyDescent="0.25">
      <c r="A154" s="23"/>
      <c r="B154" s="190">
        <v>12</v>
      </c>
      <c r="C154" s="189">
        <f>SUM(C146:C153)</f>
        <v>54.079999999999991</v>
      </c>
      <c r="D154" s="23"/>
      <c r="E154" s="24"/>
      <c r="F154" s="190"/>
    </row>
    <row r="155" spans="1:6" x14ac:dyDescent="0.25">
      <c r="A155" s="23" t="str">
        <f>"3904232"</f>
        <v>3904232</v>
      </c>
      <c r="B155" s="23" t="s">
        <v>1122</v>
      </c>
      <c r="C155" s="23">
        <v>13.82</v>
      </c>
      <c r="D155" s="23">
        <v>360412</v>
      </c>
      <c r="E155" s="24">
        <v>44335.445960648147</v>
      </c>
      <c r="F155" s="190">
        <v>7088</v>
      </c>
    </row>
    <row r="156" spans="1:6" x14ac:dyDescent="0.25">
      <c r="A156" s="23" t="str">
        <f>"3909808"</f>
        <v>3909808</v>
      </c>
      <c r="B156" s="23" t="s">
        <v>3792</v>
      </c>
      <c r="C156" s="23">
        <v>1.68</v>
      </c>
      <c r="D156" s="23">
        <v>359317</v>
      </c>
      <c r="E156" s="24">
        <v>44335.48238425926</v>
      </c>
      <c r="F156" s="190" t="s">
        <v>13192</v>
      </c>
    </row>
    <row r="157" spans="1:6" x14ac:dyDescent="0.25">
      <c r="A157" s="23"/>
      <c r="B157" s="190">
        <v>13</v>
      </c>
      <c r="C157" s="189">
        <f>SUM(C155:C156)</f>
        <v>15.5</v>
      </c>
      <c r="D157" s="23"/>
      <c r="E157" s="24"/>
      <c r="F157" s="190"/>
    </row>
    <row r="158" spans="1:6" x14ac:dyDescent="0.25">
      <c r="A158" s="23" t="str">
        <f>"3945114"</f>
        <v>3945114</v>
      </c>
      <c r="B158" s="23" t="s">
        <v>627</v>
      </c>
      <c r="C158" s="23">
        <v>8.3800000000000008</v>
      </c>
      <c r="D158" s="23">
        <v>358369</v>
      </c>
      <c r="E158" s="24">
        <v>44336.400763888887</v>
      </c>
      <c r="F158" s="190">
        <v>7128</v>
      </c>
    </row>
    <row r="159" spans="1:6" x14ac:dyDescent="0.25">
      <c r="A159" s="23" t="str">
        <f>"3903535"</f>
        <v>3903535</v>
      </c>
      <c r="B159" s="23" t="s">
        <v>11651</v>
      </c>
      <c r="C159" s="23">
        <v>12.79</v>
      </c>
      <c r="D159" s="23">
        <v>359656</v>
      </c>
      <c r="E159" s="24">
        <v>44336.537789351853</v>
      </c>
      <c r="F159" s="190">
        <v>7129</v>
      </c>
    </row>
    <row r="160" spans="1:6" x14ac:dyDescent="0.25">
      <c r="A160" s="23" t="str">
        <f>"3908739"</f>
        <v>3908739</v>
      </c>
      <c r="B160" s="23" t="s">
        <v>13191</v>
      </c>
      <c r="C160" s="23">
        <v>1.68</v>
      </c>
      <c r="D160" s="23">
        <v>358647</v>
      </c>
      <c r="E160" s="24">
        <v>44336.633715277778</v>
      </c>
      <c r="F160" s="190">
        <v>7130</v>
      </c>
    </row>
    <row r="161" spans="1:6" x14ac:dyDescent="0.25">
      <c r="A161" s="23" t="str">
        <f>"3907169"</f>
        <v>3907169</v>
      </c>
      <c r="B161" s="23" t="s">
        <v>1134</v>
      </c>
      <c r="C161" s="23">
        <v>14.8</v>
      </c>
      <c r="D161" s="23">
        <v>360774</v>
      </c>
      <c r="E161" s="24">
        <v>44336.668275462966</v>
      </c>
      <c r="F161" s="190">
        <v>7131</v>
      </c>
    </row>
    <row r="162" spans="1:6" x14ac:dyDescent="0.25">
      <c r="A162" s="23"/>
      <c r="B162" s="190">
        <v>14</v>
      </c>
      <c r="C162" s="189">
        <f>SUM(C158:C161)</f>
        <v>37.650000000000006</v>
      </c>
      <c r="D162" s="23"/>
      <c r="E162" s="24"/>
      <c r="F162" s="190"/>
    </row>
    <row r="163" spans="1:6" x14ac:dyDescent="0.25">
      <c r="A163" s="23" t="str">
        <f>"3930293"</f>
        <v>3930293</v>
      </c>
      <c r="B163" s="23" t="s">
        <v>3782</v>
      </c>
      <c r="C163" s="23">
        <v>8.02</v>
      </c>
      <c r="D163" s="23">
        <v>360574</v>
      </c>
      <c r="E163" s="24">
        <v>44337.680798611109</v>
      </c>
      <c r="F163" s="190" t="s">
        <v>13190</v>
      </c>
    </row>
    <row r="164" spans="1:6" x14ac:dyDescent="0.25">
      <c r="A164" s="23" t="str">
        <f>"3960252"</f>
        <v>3960252</v>
      </c>
      <c r="B164" s="23" t="s">
        <v>1106</v>
      </c>
      <c r="C164" s="23">
        <v>8.3800000000000008</v>
      </c>
      <c r="D164" s="23">
        <v>358354</v>
      </c>
      <c r="E164" s="24">
        <v>44337.705960648149</v>
      </c>
      <c r="F164" s="190">
        <v>7156</v>
      </c>
    </row>
    <row r="165" spans="1:6" x14ac:dyDescent="0.25">
      <c r="A165" s="23" t="str">
        <f>"3903951"</f>
        <v>3903951</v>
      </c>
      <c r="B165" s="23" t="s">
        <v>1565</v>
      </c>
      <c r="C165" s="23">
        <v>4.1900000000000004</v>
      </c>
      <c r="D165" s="23">
        <v>358471</v>
      </c>
      <c r="E165" s="24">
        <v>44337.707766203705</v>
      </c>
      <c r="F165" s="190">
        <v>7157</v>
      </c>
    </row>
    <row r="166" spans="1:6" x14ac:dyDescent="0.25">
      <c r="A166" s="23"/>
      <c r="B166" s="190">
        <v>15</v>
      </c>
      <c r="C166" s="189">
        <f>SUM(C163:C165)</f>
        <v>20.59</v>
      </c>
      <c r="D166" s="23"/>
      <c r="E166" s="24"/>
      <c r="F166" s="190"/>
    </row>
    <row r="167" spans="1:6" x14ac:dyDescent="0.25">
      <c r="A167" s="23" t="str">
        <f>"3960293"</f>
        <v>3960293</v>
      </c>
      <c r="B167" s="23" t="s">
        <v>3774</v>
      </c>
      <c r="C167" s="23">
        <v>7.82</v>
      </c>
      <c r="D167" s="23">
        <v>360861</v>
      </c>
      <c r="E167" s="24">
        <v>44341.597141203703</v>
      </c>
      <c r="F167" s="190">
        <v>7202</v>
      </c>
    </row>
    <row r="168" spans="1:6" x14ac:dyDescent="0.25">
      <c r="A168" s="23" t="str">
        <f>"3906750"</f>
        <v>3906750</v>
      </c>
      <c r="B168" s="23" t="s">
        <v>616</v>
      </c>
      <c r="C168" s="23">
        <v>3.81</v>
      </c>
      <c r="D168" s="23">
        <v>361540</v>
      </c>
      <c r="E168" s="24">
        <v>44341.634548611109</v>
      </c>
      <c r="F168" s="190">
        <v>7203</v>
      </c>
    </row>
    <row r="169" spans="1:6" x14ac:dyDescent="0.25">
      <c r="A169" s="23" t="str">
        <f>"3903064"</f>
        <v>3903064</v>
      </c>
      <c r="B169" s="23" t="s">
        <v>1096</v>
      </c>
      <c r="C169" s="23">
        <v>6.94</v>
      </c>
      <c r="D169" s="23">
        <v>361083</v>
      </c>
      <c r="E169" s="24">
        <v>44341.356192129628</v>
      </c>
      <c r="F169" s="190">
        <v>7204</v>
      </c>
    </row>
    <row r="170" spans="1:6" x14ac:dyDescent="0.25">
      <c r="A170" s="23" t="str">
        <f>"3920348"</f>
        <v>3920348</v>
      </c>
      <c r="B170" s="23" t="s">
        <v>3746</v>
      </c>
      <c r="C170" s="23">
        <v>8.3800000000000008</v>
      </c>
      <c r="D170" s="23">
        <v>360875</v>
      </c>
      <c r="E170" s="24">
        <v>44341.490983796299</v>
      </c>
      <c r="F170" s="190">
        <v>7205</v>
      </c>
    </row>
    <row r="171" spans="1:6" x14ac:dyDescent="0.25">
      <c r="A171" s="23" t="str">
        <f>"3945048"</f>
        <v>3945048</v>
      </c>
      <c r="B171" s="23" t="s">
        <v>3768</v>
      </c>
      <c r="C171" s="23">
        <v>25.14</v>
      </c>
      <c r="D171" s="23">
        <v>360880</v>
      </c>
      <c r="E171" s="24">
        <v>44341.500034722223</v>
      </c>
      <c r="F171" s="190">
        <v>7206</v>
      </c>
    </row>
    <row r="172" spans="1:6" x14ac:dyDescent="0.25">
      <c r="A172" s="23" t="str">
        <f>"3945401"</f>
        <v>3945401</v>
      </c>
      <c r="B172" s="23" t="s">
        <v>633</v>
      </c>
      <c r="C172" s="23">
        <v>16.760000000000002</v>
      </c>
      <c r="D172" s="23">
        <v>360923</v>
      </c>
      <c r="E172" s="24">
        <v>44341.653831018521</v>
      </c>
      <c r="F172" s="190">
        <v>7207</v>
      </c>
    </row>
    <row r="173" spans="1:6" x14ac:dyDescent="0.25">
      <c r="A173" s="23" t="str">
        <f>"3930391"</f>
        <v>3930391</v>
      </c>
      <c r="B173" s="23" t="s">
        <v>1100</v>
      </c>
      <c r="C173" s="23">
        <v>1.68</v>
      </c>
      <c r="D173" s="23">
        <v>361728</v>
      </c>
      <c r="E173" s="24">
        <v>44341.480324074073</v>
      </c>
      <c r="F173" s="190">
        <v>7208</v>
      </c>
    </row>
    <row r="174" spans="1:6" x14ac:dyDescent="0.25">
      <c r="A174" s="23" t="str">
        <f>"3908344"</f>
        <v>3908344</v>
      </c>
      <c r="B174" s="23" t="s">
        <v>1130</v>
      </c>
      <c r="C174" s="23">
        <v>2.15</v>
      </c>
      <c r="D174" s="23">
        <v>362502</v>
      </c>
      <c r="E174" s="24">
        <v>44341.505960648145</v>
      </c>
      <c r="F174" s="190">
        <v>7209</v>
      </c>
    </row>
    <row r="175" spans="1:6" x14ac:dyDescent="0.25">
      <c r="A175" s="23" t="str">
        <f>"3907618"</f>
        <v>3907618</v>
      </c>
      <c r="B175" s="23" t="s">
        <v>550</v>
      </c>
      <c r="C175" s="23">
        <v>4.88</v>
      </c>
      <c r="D175" s="23">
        <v>362330</v>
      </c>
      <c r="E175" s="24">
        <v>44341.506238425929</v>
      </c>
      <c r="F175" s="190">
        <v>7210</v>
      </c>
    </row>
    <row r="176" spans="1:6" x14ac:dyDescent="0.25">
      <c r="A176" s="23" t="str">
        <f>"3909033"</f>
        <v>3909033</v>
      </c>
      <c r="B176" s="23" t="s">
        <v>6091</v>
      </c>
      <c r="C176" s="23">
        <v>3.79</v>
      </c>
      <c r="D176" s="23">
        <v>361706</v>
      </c>
      <c r="E176" s="24">
        <v>44341.583460648151</v>
      </c>
      <c r="F176" s="190">
        <v>7211</v>
      </c>
    </row>
    <row r="177" spans="1:6" x14ac:dyDescent="0.25">
      <c r="A177" s="23" t="str">
        <f>"3900563"</f>
        <v>3900563</v>
      </c>
      <c r="B177" s="23" t="s">
        <v>3567</v>
      </c>
      <c r="C177" s="23">
        <v>3.9</v>
      </c>
      <c r="D177" s="23">
        <v>361992</v>
      </c>
      <c r="E177" s="24">
        <v>44341.586076388892</v>
      </c>
      <c r="F177" s="190">
        <v>7212</v>
      </c>
    </row>
    <row r="178" spans="1:6" x14ac:dyDescent="0.25">
      <c r="A178" s="23" t="str">
        <f>"3909239"</f>
        <v>3909239</v>
      </c>
      <c r="B178" s="23" t="s">
        <v>1087</v>
      </c>
      <c r="C178" s="23">
        <v>1.68</v>
      </c>
      <c r="D178" s="23">
        <v>361812</v>
      </c>
      <c r="E178" s="24">
        <v>44341.686238425929</v>
      </c>
      <c r="F178" s="190">
        <v>7213</v>
      </c>
    </row>
    <row r="179" spans="1:6" x14ac:dyDescent="0.25">
      <c r="A179" s="23"/>
      <c r="B179" s="190">
        <v>16</v>
      </c>
      <c r="C179" s="189">
        <f>SUM(C167:C178)</f>
        <v>86.930000000000035</v>
      </c>
      <c r="D179" s="23"/>
      <c r="E179" s="24"/>
      <c r="F179" s="190"/>
    </row>
    <row r="180" spans="1:6" x14ac:dyDescent="0.25">
      <c r="A180" s="23" t="str">
        <f>"3908129"</f>
        <v>3908129</v>
      </c>
      <c r="B180" s="23" t="s">
        <v>1105</v>
      </c>
      <c r="C180" s="23">
        <v>1.92</v>
      </c>
      <c r="D180" s="23">
        <v>362365</v>
      </c>
      <c r="E180" s="24">
        <v>44342.29996527778</v>
      </c>
      <c r="F180" s="190">
        <v>7319</v>
      </c>
    </row>
    <row r="181" spans="1:6" x14ac:dyDescent="0.25">
      <c r="A181" s="23" t="str">
        <f>"3908293"</f>
        <v>3908293</v>
      </c>
      <c r="B181" s="23" t="s">
        <v>1564</v>
      </c>
      <c r="C181" s="23">
        <v>1.68</v>
      </c>
      <c r="D181" s="23">
        <v>362449</v>
      </c>
      <c r="E181" s="24">
        <v>44342.350868055553</v>
      </c>
      <c r="F181" s="190">
        <v>7320</v>
      </c>
    </row>
    <row r="182" spans="1:6" x14ac:dyDescent="0.25">
      <c r="A182" s="23" t="str">
        <f>"3909157"</f>
        <v>3909157</v>
      </c>
      <c r="B182" s="23" t="s">
        <v>3799</v>
      </c>
      <c r="C182" s="23">
        <v>3.36</v>
      </c>
      <c r="D182" s="23">
        <v>361697</v>
      </c>
      <c r="E182" s="24">
        <v>44342.397453703707</v>
      </c>
      <c r="F182" s="190">
        <v>7321</v>
      </c>
    </row>
    <row r="183" spans="1:6" x14ac:dyDescent="0.25">
      <c r="A183" s="23" t="str">
        <f>"3900257"</f>
        <v>3900257</v>
      </c>
      <c r="B183" s="23" t="s">
        <v>3757</v>
      </c>
      <c r="C183" s="23">
        <v>4.6399999999999997</v>
      </c>
      <c r="D183" s="23">
        <v>361914</v>
      </c>
      <c r="E183" s="24">
        <v>44342.402326388888</v>
      </c>
      <c r="F183" s="190">
        <v>7322</v>
      </c>
    </row>
    <row r="184" spans="1:6" x14ac:dyDescent="0.25">
      <c r="A184" s="23" t="str">
        <f>"3903101"</f>
        <v>3903101</v>
      </c>
      <c r="B184" s="23" t="s">
        <v>6122</v>
      </c>
      <c r="C184" s="23">
        <v>13.16</v>
      </c>
      <c r="D184" s="23">
        <v>361091</v>
      </c>
      <c r="E184" s="24">
        <v>44342.429236111115</v>
      </c>
      <c r="F184" s="190">
        <v>7323</v>
      </c>
    </row>
    <row r="185" spans="1:6" x14ac:dyDescent="0.25">
      <c r="A185" s="23" t="str">
        <f>"3908340"</f>
        <v>3908340</v>
      </c>
      <c r="B185" s="23" t="s">
        <v>13189</v>
      </c>
      <c r="C185" s="23">
        <v>1.68</v>
      </c>
      <c r="D185" s="23">
        <v>362499</v>
      </c>
      <c r="E185" s="24">
        <v>44342.455243055556</v>
      </c>
      <c r="F185" s="190">
        <v>7324</v>
      </c>
    </row>
    <row r="186" spans="1:6" x14ac:dyDescent="0.25">
      <c r="A186" s="23" t="str">
        <f>"3920083"</f>
        <v>3920083</v>
      </c>
      <c r="B186" s="23" t="s">
        <v>630</v>
      </c>
      <c r="C186" s="23">
        <v>8.01</v>
      </c>
      <c r="D186" s="23">
        <v>360873</v>
      </c>
      <c r="E186" s="24">
        <v>44342.499722222223</v>
      </c>
      <c r="F186" s="190">
        <v>7325</v>
      </c>
    </row>
    <row r="187" spans="1:6" x14ac:dyDescent="0.25">
      <c r="A187" s="23" t="str">
        <f>"3908292"</f>
        <v>3908292</v>
      </c>
      <c r="B187" s="23" t="s">
        <v>1567</v>
      </c>
      <c r="C187" s="23">
        <v>2.08</v>
      </c>
      <c r="D187" s="23">
        <v>362448</v>
      </c>
      <c r="E187" s="24">
        <v>44342.541145833333</v>
      </c>
      <c r="F187" s="190">
        <v>7326</v>
      </c>
    </row>
    <row r="188" spans="1:6" x14ac:dyDescent="0.25">
      <c r="A188" s="23" t="str">
        <f>"3940102"</f>
        <v>3940102</v>
      </c>
      <c r="B188" s="23" t="s">
        <v>1081</v>
      </c>
      <c r="C188" s="23">
        <v>25.14</v>
      </c>
      <c r="D188" s="23">
        <v>360843</v>
      </c>
      <c r="E188" s="24">
        <v>44342.812141203707</v>
      </c>
      <c r="F188" s="190">
        <v>7327</v>
      </c>
    </row>
    <row r="189" spans="1:6" x14ac:dyDescent="0.25">
      <c r="A189" s="23" t="str">
        <f>"3960265"</f>
        <v>3960265</v>
      </c>
      <c r="B189" s="23" t="s">
        <v>638</v>
      </c>
      <c r="C189" s="23">
        <v>12.3</v>
      </c>
      <c r="D189" s="23">
        <v>360848</v>
      </c>
      <c r="E189" s="24">
        <v>44342.857129629629</v>
      </c>
      <c r="F189" s="190">
        <v>7328</v>
      </c>
    </row>
    <row r="190" spans="1:6" x14ac:dyDescent="0.25">
      <c r="A190" s="23"/>
      <c r="B190" s="190">
        <v>17</v>
      </c>
      <c r="C190" s="189">
        <f>SUM(C180:C189)</f>
        <v>73.97</v>
      </c>
      <c r="D190" s="23"/>
      <c r="E190" s="24"/>
      <c r="F190" s="190"/>
    </row>
    <row r="191" spans="1:6" x14ac:dyDescent="0.25">
      <c r="A191" s="23" t="str">
        <f>"3930280"</f>
        <v>3930280</v>
      </c>
      <c r="B191" s="23" t="s">
        <v>637</v>
      </c>
      <c r="C191" s="23">
        <v>3.36</v>
      </c>
      <c r="D191" s="23">
        <v>361602</v>
      </c>
      <c r="E191" s="24">
        <v>44343.372650462959</v>
      </c>
      <c r="F191" s="190">
        <v>7389</v>
      </c>
    </row>
    <row r="192" spans="1:6" x14ac:dyDescent="0.25">
      <c r="A192" s="23" t="str">
        <f>"3903204"</f>
        <v>3903204</v>
      </c>
      <c r="B192" s="23" t="s">
        <v>1101</v>
      </c>
      <c r="C192" s="23">
        <v>9.91</v>
      </c>
      <c r="D192" s="23">
        <v>361206</v>
      </c>
      <c r="E192" s="24">
        <v>44343.392777777779</v>
      </c>
      <c r="F192" s="190">
        <v>7390</v>
      </c>
    </row>
    <row r="193" spans="1:6" x14ac:dyDescent="0.25">
      <c r="A193" s="23" t="str">
        <f>"3903524"</f>
        <v>3903524</v>
      </c>
      <c r="B193" s="23" t="s">
        <v>11657</v>
      </c>
      <c r="C193" s="23">
        <v>15.31</v>
      </c>
      <c r="D193" s="23">
        <v>361502</v>
      </c>
      <c r="E193" s="24">
        <v>44343.441863425927</v>
      </c>
      <c r="F193" s="190">
        <v>7391</v>
      </c>
    </row>
    <row r="194" spans="1:6" x14ac:dyDescent="0.25">
      <c r="A194" s="23" t="str">
        <f>"3902767"</f>
        <v>3902767</v>
      </c>
      <c r="B194" s="23" t="s">
        <v>13188</v>
      </c>
      <c r="C194" s="23">
        <v>6.94</v>
      </c>
      <c r="D194" s="23">
        <v>362822</v>
      </c>
      <c r="E194" s="24">
        <v>44343.525891203702</v>
      </c>
      <c r="F194" s="190">
        <v>7392</v>
      </c>
    </row>
    <row r="195" spans="1:6" x14ac:dyDescent="0.25">
      <c r="A195" s="23" t="str">
        <f>"3940887"</f>
        <v>3940887</v>
      </c>
      <c r="B195" s="23" t="s">
        <v>623</v>
      </c>
      <c r="C195" s="23">
        <v>35.799999999999997</v>
      </c>
      <c r="D195" s="23">
        <v>360871</v>
      </c>
      <c r="E195" s="24">
        <v>44343.545763888891</v>
      </c>
      <c r="F195" s="190">
        <v>7393</v>
      </c>
    </row>
    <row r="196" spans="1:6" x14ac:dyDescent="0.25">
      <c r="A196" s="23" t="str">
        <f>"3909408"</f>
        <v>3909408</v>
      </c>
      <c r="B196" s="23" t="s">
        <v>13187</v>
      </c>
      <c r="C196" s="23">
        <v>7.1</v>
      </c>
      <c r="D196" s="23">
        <v>362800</v>
      </c>
      <c r="E196" s="24">
        <v>44343.571817129632</v>
      </c>
      <c r="F196" s="190">
        <v>7394</v>
      </c>
    </row>
    <row r="197" spans="1:6" x14ac:dyDescent="0.25">
      <c r="A197" s="23" t="str">
        <f>"3903544"</f>
        <v>3903544</v>
      </c>
      <c r="B197" s="23" t="s">
        <v>3785</v>
      </c>
      <c r="C197" s="23">
        <v>6.64</v>
      </c>
      <c r="D197" s="23">
        <v>361513</v>
      </c>
      <c r="E197" s="24">
        <v>44343.59134259259</v>
      </c>
      <c r="F197" s="190">
        <v>7395</v>
      </c>
    </row>
    <row r="198" spans="1:6" x14ac:dyDescent="0.25">
      <c r="A198" s="23" t="str">
        <f>"3903516"</f>
        <v>3903516</v>
      </c>
      <c r="B198" s="23" t="s">
        <v>3794</v>
      </c>
      <c r="C198" s="23">
        <v>1.72</v>
      </c>
      <c r="D198" s="23">
        <v>361702</v>
      </c>
      <c r="E198" s="24">
        <v>44343.599259259259</v>
      </c>
      <c r="F198" s="190">
        <v>7396</v>
      </c>
    </row>
    <row r="199" spans="1:6" x14ac:dyDescent="0.25">
      <c r="A199" s="23" t="str">
        <f>"3906033"</f>
        <v>3906033</v>
      </c>
      <c r="B199" s="23" t="s">
        <v>1099</v>
      </c>
      <c r="C199" s="23">
        <v>3.36</v>
      </c>
      <c r="D199" s="23">
        <v>362227</v>
      </c>
      <c r="E199" s="24">
        <v>44343.614027777781</v>
      </c>
      <c r="F199" s="190">
        <v>7397</v>
      </c>
    </row>
    <row r="200" spans="1:6" x14ac:dyDescent="0.25">
      <c r="A200" s="23" t="str">
        <f>"3907489"</f>
        <v>3907489</v>
      </c>
      <c r="B200" s="23" t="s">
        <v>1092</v>
      </c>
      <c r="C200" s="23">
        <v>13.88</v>
      </c>
      <c r="D200" s="23">
        <v>361100</v>
      </c>
      <c r="E200" s="24">
        <v>44343.630532407406</v>
      </c>
      <c r="F200" s="190">
        <v>7398</v>
      </c>
    </row>
    <row r="201" spans="1:6" x14ac:dyDescent="0.25">
      <c r="A201" s="23" t="str">
        <f>"3909479"</f>
        <v>3909479</v>
      </c>
      <c r="B201" s="23" t="s">
        <v>11659</v>
      </c>
      <c r="C201" s="23">
        <v>9.76</v>
      </c>
      <c r="D201" s="23">
        <v>362848</v>
      </c>
      <c r="E201" s="24">
        <v>44343.841064814813</v>
      </c>
      <c r="F201" s="190">
        <v>7429</v>
      </c>
    </row>
    <row r="202" spans="1:6" x14ac:dyDescent="0.25">
      <c r="A202" s="23" t="str">
        <f>"3900329"</f>
        <v>3900329</v>
      </c>
      <c r="B202" s="23" t="s">
        <v>1097</v>
      </c>
      <c r="C202" s="23">
        <v>4.24</v>
      </c>
      <c r="D202" s="23">
        <v>361929</v>
      </c>
      <c r="E202" s="24">
        <v>44343.856956018521</v>
      </c>
      <c r="F202" s="190">
        <v>7428</v>
      </c>
    </row>
    <row r="203" spans="1:6" x14ac:dyDescent="0.25">
      <c r="A203" s="23"/>
      <c r="B203" s="190">
        <v>18</v>
      </c>
      <c r="C203" s="189">
        <f>SUM(C191:C202)</f>
        <v>118.01999999999998</v>
      </c>
      <c r="D203" s="23"/>
      <c r="E203" s="24"/>
      <c r="F203" s="190"/>
    </row>
    <row r="204" spans="1:6" x14ac:dyDescent="0.25">
      <c r="A204" s="23" t="str">
        <f>"3908224"</f>
        <v>3908224</v>
      </c>
      <c r="B204" s="23" t="s">
        <v>1104</v>
      </c>
      <c r="C204" s="23">
        <v>5.95</v>
      </c>
      <c r="D204" s="23">
        <v>362407</v>
      </c>
      <c r="E204" s="24">
        <v>44344.516712962963</v>
      </c>
      <c r="F204" s="190">
        <v>7551</v>
      </c>
    </row>
    <row r="205" spans="1:6" x14ac:dyDescent="0.25">
      <c r="A205" s="23" t="str">
        <f>"3908939"</f>
        <v>3908939</v>
      </c>
      <c r="B205" s="23" t="s">
        <v>1119</v>
      </c>
      <c r="C205" s="23">
        <v>6.1</v>
      </c>
      <c r="D205" s="23">
        <v>360522</v>
      </c>
      <c r="E205" s="24">
        <v>44344.51898148148</v>
      </c>
      <c r="F205" s="190">
        <v>7552</v>
      </c>
    </row>
    <row r="206" spans="1:6" x14ac:dyDescent="0.25">
      <c r="A206" s="23" t="str">
        <f>"3906743"</f>
        <v>3906743</v>
      </c>
      <c r="B206" s="23" t="s">
        <v>13186</v>
      </c>
      <c r="C206" s="23">
        <v>7.96</v>
      </c>
      <c r="D206" s="23">
        <v>361542</v>
      </c>
      <c r="E206" s="24">
        <v>44344.536099537036</v>
      </c>
      <c r="F206" s="190">
        <v>7553</v>
      </c>
    </row>
    <row r="207" spans="1:6" x14ac:dyDescent="0.25">
      <c r="A207" s="23" t="str">
        <f>"3909109"</f>
        <v>3909109</v>
      </c>
      <c r="B207" s="23" t="s">
        <v>13185</v>
      </c>
      <c r="C207" s="23">
        <v>3.88</v>
      </c>
      <c r="D207" s="23">
        <v>360819</v>
      </c>
      <c r="E207" s="24">
        <v>44344.666203703702</v>
      </c>
      <c r="F207" s="190">
        <v>7554</v>
      </c>
    </row>
    <row r="208" spans="1:6" x14ac:dyDescent="0.25">
      <c r="A208" s="23" t="str">
        <f>"3909929"</f>
        <v>3909929</v>
      </c>
      <c r="B208" s="23" t="s">
        <v>13184</v>
      </c>
      <c r="C208" s="23">
        <v>3.29</v>
      </c>
      <c r="D208" s="23">
        <v>361165</v>
      </c>
      <c r="E208" s="24">
        <v>44344.754108796296</v>
      </c>
      <c r="F208" s="190">
        <v>7555</v>
      </c>
    </row>
    <row r="209" spans="1:9" x14ac:dyDescent="0.25">
      <c r="A209" s="23"/>
      <c r="B209" s="190">
        <v>19</v>
      </c>
      <c r="C209" s="189">
        <f>SUM(C204:C208)</f>
        <v>27.18</v>
      </c>
      <c r="D209" s="23"/>
      <c r="E209" s="24"/>
      <c r="F209" s="190"/>
    </row>
    <row r="210" spans="1:9" x14ac:dyDescent="0.25">
      <c r="A210" s="23" t="str">
        <f>"3902744"</f>
        <v>3902744</v>
      </c>
      <c r="B210" s="23" t="s">
        <v>3764</v>
      </c>
      <c r="C210" s="23">
        <v>11.28</v>
      </c>
      <c r="D210" s="23">
        <v>362139</v>
      </c>
      <c r="E210" s="24">
        <v>44347.508055555554</v>
      </c>
      <c r="F210" s="190">
        <v>7556</v>
      </c>
    </row>
    <row r="211" spans="1:9" x14ac:dyDescent="0.25">
      <c r="A211" s="23" t="str">
        <f>"3909086"</f>
        <v>3909086</v>
      </c>
      <c r="B211" s="23" t="s">
        <v>3759</v>
      </c>
      <c r="C211" s="23">
        <v>2.04</v>
      </c>
      <c r="D211" s="23">
        <v>361589</v>
      </c>
      <c r="E211" s="24">
        <v>44347.392488425925</v>
      </c>
      <c r="F211" s="190">
        <v>7557</v>
      </c>
    </row>
    <row r="212" spans="1:9" x14ac:dyDescent="0.25">
      <c r="A212" s="23" t="str">
        <f>"3908996"</f>
        <v>3908996</v>
      </c>
      <c r="B212" s="23" t="s">
        <v>1594</v>
      </c>
      <c r="C212" s="23">
        <v>11.56</v>
      </c>
      <c r="D212" s="23">
        <v>361440</v>
      </c>
      <c r="E212" s="24">
        <v>44347.40421296296</v>
      </c>
      <c r="F212" s="190">
        <v>7558</v>
      </c>
      <c r="I212" s="218"/>
    </row>
    <row r="213" spans="1:9" x14ac:dyDescent="0.25">
      <c r="A213" s="23" t="str">
        <f>"3908209"</f>
        <v>3908209</v>
      </c>
      <c r="B213" s="23" t="s">
        <v>1129</v>
      </c>
      <c r="C213" s="23">
        <v>3.69</v>
      </c>
      <c r="D213" s="23">
        <v>362401</v>
      </c>
      <c r="E213" s="24">
        <v>44347.443495370368</v>
      </c>
      <c r="F213" s="190">
        <v>7559</v>
      </c>
    </row>
    <row r="214" spans="1:9" x14ac:dyDescent="0.25">
      <c r="A214" s="23" t="str">
        <f>"3900576"</f>
        <v>3900576</v>
      </c>
      <c r="B214" s="23" t="s">
        <v>3791</v>
      </c>
      <c r="C214" s="23">
        <v>1.76</v>
      </c>
      <c r="D214" s="23">
        <v>362000</v>
      </c>
      <c r="E214" s="24">
        <v>44347.541354166664</v>
      </c>
      <c r="F214" s="190">
        <v>7560</v>
      </c>
    </row>
    <row r="215" spans="1:9" x14ac:dyDescent="0.25">
      <c r="A215" s="23" t="str">
        <f>"3909055"</f>
        <v>3909055</v>
      </c>
      <c r="B215" s="23" t="s">
        <v>6094</v>
      </c>
      <c r="C215" s="23">
        <v>5.04</v>
      </c>
      <c r="D215" s="23">
        <v>361587</v>
      </c>
      <c r="E215" s="24">
        <v>44347.612280092595</v>
      </c>
      <c r="F215" s="190">
        <v>7609</v>
      </c>
    </row>
    <row r="216" spans="1:9" x14ac:dyDescent="0.25">
      <c r="A216" s="23" t="str">
        <f>"3907331"</f>
        <v>3907331</v>
      </c>
      <c r="B216" s="23" t="s">
        <v>13183</v>
      </c>
      <c r="C216" s="23">
        <v>2.39</v>
      </c>
      <c r="D216" s="23">
        <v>360714</v>
      </c>
      <c r="E216" s="24">
        <v>44347.634270833332</v>
      </c>
      <c r="F216" s="190">
        <v>7562</v>
      </c>
    </row>
    <row r="217" spans="1:9" x14ac:dyDescent="0.25">
      <c r="A217" s="23" t="str">
        <f>"3907960"</f>
        <v>3907960</v>
      </c>
      <c r="B217" s="23" t="s">
        <v>618</v>
      </c>
      <c r="C217" s="23">
        <v>2.35</v>
      </c>
      <c r="D217" s="23">
        <v>361746</v>
      </c>
      <c r="E217" s="24">
        <v>44347.748217592591</v>
      </c>
      <c r="F217" s="190" t="s">
        <v>13182</v>
      </c>
    </row>
    <row r="218" spans="1:9" x14ac:dyDescent="0.25">
      <c r="A218" s="23" t="str">
        <f>"3900343"</f>
        <v>3900343</v>
      </c>
      <c r="B218" s="23" t="s">
        <v>3778</v>
      </c>
      <c r="C218" s="23">
        <v>5.77</v>
      </c>
      <c r="D218" s="23">
        <v>360656</v>
      </c>
      <c r="E218" s="24">
        <v>44347.80641203704</v>
      </c>
      <c r="F218" s="190">
        <v>7563</v>
      </c>
    </row>
    <row r="219" spans="1:9" x14ac:dyDescent="0.25">
      <c r="A219" s="23"/>
      <c r="B219" s="190">
        <v>20</v>
      </c>
      <c r="C219" s="189">
        <f>SUM(C210:C218)</f>
        <v>45.88000000000001</v>
      </c>
      <c r="D219" s="23"/>
      <c r="E219" s="24"/>
      <c r="F219" s="190"/>
    </row>
    <row r="220" spans="1:9" x14ac:dyDescent="0.25">
      <c r="A220" s="23"/>
      <c r="B220" s="23"/>
      <c r="C220" s="23"/>
      <c r="D220" s="23"/>
      <c r="E220" s="24"/>
      <c r="F220" s="190"/>
    </row>
    <row r="221" spans="1:9" x14ac:dyDescent="0.25">
      <c r="A221" s="23"/>
      <c r="B221" s="23"/>
      <c r="C221" s="23"/>
      <c r="D221" s="23"/>
      <c r="E221" s="24"/>
      <c r="F221" s="190"/>
    </row>
    <row r="222" spans="1:9" x14ac:dyDescent="0.25">
      <c r="A222" s="23"/>
      <c r="B222" s="23"/>
      <c r="C222" s="23"/>
      <c r="D222" s="23"/>
      <c r="E222" s="24"/>
      <c r="F222" s="190"/>
    </row>
    <row r="223" spans="1:9" x14ac:dyDescent="0.25">
      <c r="A223" s="23"/>
      <c r="B223" s="23"/>
      <c r="C223" s="23"/>
      <c r="D223" s="23"/>
      <c r="E223" s="24"/>
      <c r="F223" s="190"/>
    </row>
    <row r="224" spans="1:9" x14ac:dyDescent="0.25">
      <c r="A224" s="23"/>
      <c r="B224" s="23"/>
      <c r="C224" s="23"/>
      <c r="D224" s="23"/>
      <c r="E224" s="24"/>
      <c r="F224" s="190"/>
    </row>
    <row r="225" spans="1:6" x14ac:dyDescent="0.25">
      <c r="A225" s="23"/>
      <c r="B225" s="23"/>
      <c r="C225" s="23"/>
      <c r="D225" s="23"/>
      <c r="E225" s="24"/>
      <c r="F225" s="190"/>
    </row>
    <row r="226" spans="1:6" x14ac:dyDescent="0.25">
      <c r="A226" s="23"/>
      <c r="B226" s="23"/>
      <c r="C226" s="23"/>
      <c r="D226" s="23"/>
      <c r="E226" s="24"/>
      <c r="F226" s="190"/>
    </row>
    <row r="227" spans="1:6" x14ac:dyDescent="0.25">
      <c r="A227" s="23"/>
      <c r="B227" s="23"/>
      <c r="C227" s="23"/>
      <c r="D227" s="23"/>
      <c r="E227" s="24"/>
      <c r="F227" s="190"/>
    </row>
    <row r="228" spans="1:6" x14ac:dyDescent="0.25">
      <c r="A228" s="23"/>
      <c r="B228" s="23"/>
      <c r="C228" s="23"/>
      <c r="D228" s="23"/>
      <c r="E228" s="24"/>
      <c r="F228" s="190"/>
    </row>
    <row r="229" spans="1:6" x14ac:dyDescent="0.25">
      <c r="A229" s="23"/>
      <c r="B229" s="23"/>
      <c r="C229" s="23"/>
      <c r="D229" s="23"/>
      <c r="E229" s="24"/>
      <c r="F229" s="190"/>
    </row>
    <row r="230" spans="1:6" x14ac:dyDescent="0.25">
      <c r="A230" s="23"/>
      <c r="B230" s="23"/>
      <c r="C230" s="23"/>
      <c r="D230" s="23"/>
      <c r="E230" s="24"/>
      <c r="F230" s="190"/>
    </row>
    <row r="231" spans="1:6" x14ac:dyDescent="0.25">
      <c r="A231" s="23"/>
      <c r="B231" s="23"/>
      <c r="C231" s="23"/>
      <c r="D231" s="23"/>
      <c r="E231" s="24"/>
      <c r="F231" s="190"/>
    </row>
    <row r="232" spans="1:6" x14ac:dyDescent="0.25">
      <c r="A232" s="23"/>
      <c r="B232" s="23"/>
      <c r="C232" s="23"/>
      <c r="D232" s="23"/>
      <c r="E232" s="24"/>
      <c r="F232" s="190"/>
    </row>
    <row r="233" spans="1:6" x14ac:dyDescent="0.25">
      <c r="A233" s="23"/>
      <c r="B233" s="23"/>
      <c r="C233" s="23"/>
      <c r="D233" s="23"/>
      <c r="E233" s="24"/>
      <c r="F233" s="190"/>
    </row>
    <row r="234" spans="1:6" x14ac:dyDescent="0.25">
      <c r="A234" s="23"/>
      <c r="B234" s="23"/>
      <c r="C234" s="23"/>
      <c r="D234" s="23"/>
      <c r="E234" s="24"/>
      <c r="F234" s="190"/>
    </row>
    <row r="235" spans="1:6" x14ac:dyDescent="0.25">
      <c r="A235" s="23"/>
      <c r="B235" s="23"/>
      <c r="C235" s="23"/>
      <c r="D235" s="23"/>
      <c r="E235" s="24"/>
      <c r="F235" s="190"/>
    </row>
    <row r="236" spans="1:6" x14ac:dyDescent="0.25">
      <c r="A236" s="23"/>
      <c r="B236" s="23"/>
      <c r="C236" s="23"/>
      <c r="D236" s="23"/>
      <c r="E236" s="24"/>
      <c r="F236" s="190"/>
    </row>
    <row r="237" spans="1:6" x14ac:dyDescent="0.25">
      <c r="A237" s="23"/>
      <c r="B237" s="23"/>
      <c r="C237" s="23"/>
      <c r="D237" s="23"/>
      <c r="E237" s="24"/>
      <c r="F237" s="190"/>
    </row>
    <row r="238" spans="1:6" x14ac:dyDescent="0.25">
      <c r="A238" s="23"/>
      <c r="B238" s="23"/>
      <c r="C238" s="23"/>
      <c r="D238" s="23"/>
      <c r="E238" s="24"/>
      <c r="F238" s="190"/>
    </row>
    <row r="239" spans="1:6" x14ac:dyDescent="0.25">
      <c r="A239" s="23"/>
      <c r="B239" s="23"/>
      <c r="C239" s="23"/>
      <c r="D239" s="23"/>
      <c r="E239" s="24"/>
      <c r="F239" s="190"/>
    </row>
    <row r="240" spans="1:6" x14ac:dyDescent="0.25">
      <c r="A240" s="23"/>
      <c r="B240" s="23"/>
      <c r="C240" s="23"/>
      <c r="D240" s="23"/>
      <c r="E240" s="24"/>
      <c r="F240" s="190"/>
    </row>
    <row r="241" spans="1:6" x14ac:dyDescent="0.25">
      <c r="A241" s="23"/>
      <c r="B241" s="23"/>
      <c r="C241" s="23"/>
      <c r="D241" s="23"/>
      <c r="E241" s="24"/>
      <c r="F241" s="190"/>
    </row>
    <row r="242" spans="1:6" x14ac:dyDescent="0.25">
      <c r="A242" s="23"/>
      <c r="B242" s="23"/>
      <c r="C242" s="23"/>
      <c r="D242" s="23"/>
      <c r="E242" s="24"/>
      <c r="F242" s="190"/>
    </row>
    <row r="243" spans="1:6" x14ac:dyDescent="0.25">
      <c r="A243" s="23"/>
      <c r="B243" s="23"/>
      <c r="C243" s="23"/>
      <c r="D243" s="23"/>
      <c r="E243" s="24"/>
      <c r="F243" s="190"/>
    </row>
    <row r="244" spans="1:6" x14ac:dyDescent="0.25">
      <c r="A244" s="23"/>
      <c r="B244" s="23"/>
      <c r="C244" s="23"/>
      <c r="D244" s="23"/>
      <c r="E244" s="24"/>
      <c r="F244" s="190"/>
    </row>
    <row r="245" spans="1:6" x14ac:dyDescent="0.25">
      <c r="A245" s="23"/>
      <c r="B245" s="23"/>
      <c r="C245" s="23"/>
      <c r="D245" s="23"/>
      <c r="E245" s="24"/>
      <c r="F245" s="190"/>
    </row>
    <row r="246" spans="1:6" x14ac:dyDescent="0.25">
      <c r="A246" s="23"/>
      <c r="B246" s="23"/>
      <c r="C246" s="23"/>
      <c r="D246" s="23"/>
      <c r="E246" s="24"/>
      <c r="F246" s="190"/>
    </row>
    <row r="247" spans="1:6" x14ac:dyDescent="0.25">
      <c r="A247" s="23"/>
      <c r="B247" s="23"/>
      <c r="C247" s="23"/>
      <c r="D247" s="23"/>
      <c r="E247" s="24"/>
      <c r="F247" s="190"/>
    </row>
    <row r="248" spans="1:6" x14ac:dyDescent="0.25">
      <c r="A248" s="23"/>
      <c r="B248" s="23"/>
      <c r="C248" s="23"/>
      <c r="D248" s="23"/>
      <c r="E248" s="24"/>
      <c r="F248" s="190"/>
    </row>
    <row r="249" spans="1:6" x14ac:dyDescent="0.25">
      <c r="A249" s="23"/>
      <c r="B249" s="23"/>
      <c r="C249" s="23"/>
      <c r="D249" s="23"/>
      <c r="E249" s="24"/>
      <c r="F249" s="190"/>
    </row>
    <row r="250" spans="1:6" x14ac:dyDescent="0.25">
      <c r="A250" s="23"/>
      <c r="B250" s="23"/>
      <c r="C250" s="23"/>
      <c r="D250" s="23"/>
      <c r="E250" s="24"/>
      <c r="F250" s="190"/>
    </row>
    <row r="251" spans="1:6" x14ac:dyDescent="0.25">
      <c r="A251" s="23"/>
      <c r="B251" s="23"/>
      <c r="C251" s="23"/>
      <c r="D251" s="23"/>
      <c r="E251" s="24"/>
      <c r="F251" s="190"/>
    </row>
    <row r="252" spans="1:6" x14ac:dyDescent="0.25">
      <c r="A252" s="23"/>
      <c r="B252" s="23"/>
      <c r="C252" s="23"/>
      <c r="D252" s="23"/>
      <c r="E252" s="24"/>
      <c r="F252" s="190"/>
    </row>
    <row r="253" spans="1:6" x14ac:dyDescent="0.25">
      <c r="A253" s="23"/>
      <c r="B253" s="23"/>
      <c r="C253" s="23"/>
      <c r="D253" s="23"/>
      <c r="E253" s="24"/>
      <c r="F253" s="190"/>
    </row>
    <row r="254" spans="1:6" x14ac:dyDescent="0.25">
      <c r="A254" s="23"/>
      <c r="B254" s="23"/>
      <c r="C254" s="23"/>
      <c r="D254" s="23"/>
      <c r="E254" s="24"/>
      <c r="F254" s="190"/>
    </row>
    <row r="255" spans="1:6" x14ac:dyDescent="0.25">
      <c r="A255" s="23"/>
      <c r="B255" s="23"/>
      <c r="C255" s="23"/>
      <c r="D255" s="23"/>
      <c r="E255" s="24"/>
      <c r="F255" s="190"/>
    </row>
    <row r="256" spans="1:6" x14ac:dyDescent="0.25">
      <c r="A256" s="23"/>
      <c r="B256" s="23"/>
      <c r="C256" s="23"/>
      <c r="D256" s="23"/>
      <c r="E256" s="24"/>
      <c r="F256" s="190"/>
    </row>
    <row r="257" spans="1:6" x14ac:dyDescent="0.25">
      <c r="A257" s="23"/>
      <c r="B257" s="23"/>
      <c r="C257" s="23"/>
      <c r="D257" s="23"/>
      <c r="E257" s="24"/>
      <c r="F257" s="190"/>
    </row>
    <row r="258" spans="1:6" x14ac:dyDescent="0.25">
      <c r="A258" s="23"/>
      <c r="B258" s="23"/>
      <c r="C258" s="23"/>
      <c r="D258" s="23"/>
      <c r="E258" s="24"/>
      <c r="F258" s="190"/>
    </row>
    <row r="259" spans="1:6" x14ac:dyDescent="0.25">
      <c r="A259" s="23"/>
      <c r="B259" s="23"/>
      <c r="C259" s="23"/>
      <c r="D259" s="23"/>
      <c r="E259" s="24"/>
      <c r="F259" s="190"/>
    </row>
    <row r="260" spans="1:6" x14ac:dyDescent="0.25">
      <c r="A260" s="23"/>
      <c r="B260" s="23"/>
      <c r="C260" s="23"/>
      <c r="D260" s="23"/>
      <c r="E260" s="24"/>
      <c r="F260" s="190"/>
    </row>
    <row r="261" spans="1:6" x14ac:dyDescent="0.25">
      <c r="A261" s="23"/>
      <c r="B261" s="23"/>
      <c r="C261" s="23"/>
      <c r="D261" s="23"/>
      <c r="E261" s="24"/>
      <c r="F261" s="190"/>
    </row>
    <row r="262" spans="1:6" x14ac:dyDescent="0.25">
      <c r="A262" s="23"/>
      <c r="B262" s="23"/>
      <c r="C262" s="23"/>
      <c r="D262" s="23"/>
      <c r="E262" s="24"/>
      <c r="F262" s="190"/>
    </row>
    <row r="263" spans="1:6" x14ac:dyDescent="0.25">
      <c r="A263" s="23"/>
      <c r="B263" s="23"/>
      <c r="C263" s="23"/>
      <c r="D263" s="23"/>
      <c r="E263" s="24"/>
      <c r="F263" s="190"/>
    </row>
    <row r="264" spans="1:6" x14ac:dyDescent="0.25">
      <c r="A264" s="23"/>
      <c r="B264" s="23"/>
      <c r="C264" s="23"/>
      <c r="D264" s="23"/>
      <c r="E264" s="24"/>
      <c r="F264" s="190"/>
    </row>
    <row r="265" spans="1:6" x14ac:dyDescent="0.25">
      <c r="A265" s="23"/>
      <c r="B265" s="23"/>
      <c r="C265" s="23"/>
      <c r="D265" s="23"/>
      <c r="E265" s="24"/>
      <c r="F265" s="190"/>
    </row>
    <row r="266" spans="1:6" x14ac:dyDescent="0.25">
      <c r="A266" s="23"/>
      <c r="B266" s="23"/>
      <c r="C266" s="23"/>
      <c r="D266" s="23"/>
      <c r="E266" s="24"/>
      <c r="F266" s="190"/>
    </row>
    <row r="267" spans="1:6" x14ac:dyDescent="0.25">
      <c r="A267" s="23"/>
      <c r="B267" s="23"/>
      <c r="C267" s="23"/>
      <c r="D267" s="23"/>
      <c r="E267" s="24"/>
      <c r="F267" s="190"/>
    </row>
    <row r="268" spans="1:6" x14ac:dyDescent="0.25">
      <c r="A268" s="23"/>
      <c r="B268" s="23"/>
      <c r="C268" s="23"/>
      <c r="D268" s="23"/>
      <c r="E268" s="24"/>
      <c r="F268" s="190"/>
    </row>
    <row r="269" spans="1:6" x14ac:dyDescent="0.25">
      <c r="A269" s="23"/>
      <c r="B269" s="23"/>
      <c r="C269" s="23"/>
      <c r="D269" s="23"/>
      <c r="E269" s="24"/>
      <c r="F269" s="190"/>
    </row>
    <row r="270" spans="1:6" x14ac:dyDescent="0.25">
      <c r="A270" s="23"/>
      <c r="B270" s="23"/>
      <c r="C270" s="23"/>
      <c r="D270" s="23"/>
      <c r="E270" s="24"/>
      <c r="F270" s="190"/>
    </row>
    <row r="271" spans="1:6" x14ac:dyDescent="0.25">
      <c r="A271" s="23"/>
      <c r="B271" s="23"/>
      <c r="C271" s="23"/>
      <c r="D271" s="23"/>
      <c r="E271" s="24"/>
      <c r="F271" s="190"/>
    </row>
    <row r="272" spans="1:6" x14ac:dyDescent="0.25">
      <c r="A272" s="23"/>
      <c r="B272" s="23"/>
      <c r="C272" s="23"/>
      <c r="D272" s="23"/>
      <c r="E272" s="24"/>
      <c r="F272" s="190"/>
    </row>
    <row r="273" spans="1:6" x14ac:dyDescent="0.25">
      <c r="A273" s="23"/>
      <c r="B273" s="23"/>
      <c r="C273" s="23"/>
      <c r="D273" s="23"/>
      <c r="E273" s="24"/>
      <c r="F273" s="190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4C3D8-771D-433D-A891-6334FDD2CB4A}">
  <dimension ref="A3:I507"/>
  <sheetViews>
    <sheetView workbookViewId="0">
      <selection activeCell="E8" sqref="E8"/>
    </sheetView>
  </sheetViews>
  <sheetFormatPr baseColWidth="10" defaultRowHeight="15" x14ac:dyDescent="0.25"/>
  <cols>
    <col min="3" max="3" width="22.5703125" bestFit="1" customWidth="1"/>
  </cols>
  <sheetData>
    <row r="3" spans="1:9" x14ac:dyDescent="0.25">
      <c r="A3" s="297" t="s">
        <v>14336</v>
      </c>
      <c r="B3" s="297"/>
      <c r="C3" s="297"/>
      <c r="D3" s="297"/>
      <c r="E3" s="297"/>
      <c r="F3" s="297"/>
      <c r="G3" s="297"/>
      <c r="H3" s="297"/>
      <c r="I3" s="210"/>
    </row>
    <row r="4" spans="1:9" x14ac:dyDescent="0.25">
      <c r="A4" s="189" t="s">
        <v>1080</v>
      </c>
      <c r="B4" s="189" t="s">
        <v>1079</v>
      </c>
      <c r="C4" s="189" t="s">
        <v>1078</v>
      </c>
      <c r="D4" s="189" t="s">
        <v>525</v>
      </c>
      <c r="E4" s="189" t="s">
        <v>1077</v>
      </c>
      <c r="F4" s="189" t="s">
        <v>1076</v>
      </c>
      <c r="G4" s="189" t="s">
        <v>1075</v>
      </c>
      <c r="H4" s="189" t="s">
        <v>545</v>
      </c>
      <c r="I4" s="210"/>
    </row>
    <row r="5" spans="1:9" x14ac:dyDescent="0.25">
      <c r="A5" t="s">
        <v>14295</v>
      </c>
      <c r="B5" t="s">
        <v>14335</v>
      </c>
      <c r="C5" t="s">
        <v>14334</v>
      </c>
      <c r="D5" t="s">
        <v>14333</v>
      </c>
      <c r="E5">
        <v>7.34</v>
      </c>
      <c r="F5" t="s">
        <v>14332</v>
      </c>
      <c r="G5" t="s">
        <v>640</v>
      </c>
      <c r="H5">
        <v>6023</v>
      </c>
    </row>
    <row r="6" spans="1:9" x14ac:dyDescent="0.25">
      <c r="A6" t="s">
        <v>14295</v>
      </c>
      <c r="B6" t="s">
        <v>14331</v>
      </c>
      <c r="C6" t="s">
        <v>14330</v>
      </c>
      <c r="D6" t="s">
        <v>3000</v>
      </c>
      <c r="E6">
        <v>4.5599999999999996</v>
      </c>
      <c r="F6" t="s">
        <v>3001</v>
      </c>
      <c r="G6" t="s">
        <v>640</v>
      </c>
      <c r="H6">
        <v>6024</v>
      </c>
    </row>
    <row r="7" spans="1:9" x14ac:dyDescent="0.25">
      <c r="A7" t="s">
        <v>14295</v>
      </c>
      <c r="B7" t="s">
        <v>14329</v>
      </c>
      <c r="C7" t="s">
        <v>14328</v>
      </c>
      <c r="D7" t="s">
        <v>4523</v>
      </c>
      <c r="E7">
        <v>10.51</v>
      </c>
      <c r="F7" t="s">
        <v>4524</v>
      </c>
      <c r="G7" t="s">
        <v>640</v>
      </c>
      <c r="H7">
        <v>6027</v>
      </c>
    </row>
    <row r="8" spans="1:9" x14ac:dyDescent="0.25">
      <c r="A8" t="s">
        <v>14295</v>
      </c>
      <c r="B8" t="s">
        <v>14327</v>
      </c>
      <c r="C8" t="s">
        <v>14326</v>
      </c>
      <c r="D8" t="s">
        <v>14325</v>
      </c>
      <c r="E8">
        <v>5.04</v>
      </c>
      <c r="F8" t="s">
        <v>14324</v>
      </c>
      <c r="G8" t="s">
        <v>640</v>
      </c>
      <c r="H8">
        <v>6028</v>
      </c>
    </row>
    <row r="9" spans="1:9" x14ac:dyDescent="0.25">
      <c r="A9" t="s">
        <v>14295</v>
      </c>
      <c r="B9" t="s">
        <v>14323</v>
      </c>
      <c r="C9" t="s">
        <v>14322</v>
      </c>
      <c r="D9" t="s">
        <v>698</v>
      </c>
      <c r="E9">
        <v>8.3800000000000008</v>
      </c>
      <c r="F9" t="s">
        <v>697</v>
      </c>
      <c r="G9" t="s">
        <v>640</v>
      </c>
      <c r="H9">
        <v>6029</v>
      </c>
    </row>
    <row r="10" spans="1:9" x14ac:dyDescent="0.25">
      <c r="A10" t="s">
        <v>14295</v>
      </c>
      <c r="B10" t="s">
        <v>14321</v>
      </c>
      <c r="C10" t="s">
        <v>14320</v>
      </c>
      <c r="D10" t="s">
        <v>853</v>
      </c>
      <c r="E10">
        <v>1.81</v>
      </c>
      <c r="F10" t="s">
        <v>852</v>
      </c>
      <c r="G10" t="s">
        <v>640</v>
      </c>
      <c r="H10">
        <v>6030</v>
      </c>
    </row>
    <row r="11" spans="1:9" x14ac:dyDescent="0.25">
      <c r="A11" t="s">
        <v>14295</v>
      </c>
      <c r="B11" t="s">
        <v>14319</v>
      </c>
      <c r="C11" t="s">
        <v>14318</v>
      </c>
      <c r="D11" t="s">
        <v>1285</v>
      </c>
      <c r="E11">
        <v>1.83</v>
      </c>
      <c r="F11" t="s">
        <v>1284</v>
      </c>
      <c r="G11" t="s">
        <v>640</v>
      </c>
      <c r="H11">
        <v>6031</v>
      </c>
    </row>
    <row r="12" spans="1:9" x14ac:dyDescent="0.25">
      <c r="A12" t="s">
        <v>14295</v>
      </c>
      <c r="B12" t="s">
        <v>14317</v>
      </c>
      <c r="C12" t="s">
        <v>14316</v>
      </c>
      <c r="D12" t="s">
        <v>1064</v>
      </c>
      <c r="E12">
        <v>1.68</v>
      </c>
      <c r="F12" t="s">
        <v>1063</v>
      </c>
      <c r="G12" t="s">
        <v>640</v>
      </c>
      <c r="H12">
        <v>6033</v>
      </c>
    </row>
    <row r="13" spans="1:9" x14ac:dyDescent="0.25">
      <c r="A13" t="s">
        <v>14295</v>
      </c>
      <c r="B13" t="s">
        <v>14315</v>
      </c>
      <c r="C13" t="s">
        <v>14314</v>
      </c>
      <c r="D13" t="s">
        <v>11513</v>
      </c>
      <c r="E13">
        <v>1.8</v>
      </c>
      <c r="F13" t="s">
        <v>11512</v>
      </c>
      <c r="G13" t="s">
        <v>640</v>
      </c>
      <c r="H13">
        <v>6049</v>
      </c>
    </row>
    <row r="14" spans="1:9" x14ac:dyDescent="0.25">
      <c r="A14" t="s">
        <v>14295</v>
      </c>
      <c r="B14" t="s">
        <v>14313</v>
      </c>
      <c r="C14" t="s">
        <v>14312</v>
      </c>
      <c r="D14" t="s">
        <v>928</v>
      </c>
      <c r="E14">
        <v>3.91</v>
      </c>
      <c r="F14" t="s">
        <v>927</v>
      </c>
      <c r="G14" t="s">
        <v>640</v>
      </c>
      <c r="H14">
        <v>6050</v>
      </c>
    </row>
    <row r="15" spans="1:9" x14ac:dyDescent="0.25">
      <c r="A15" t="s">
        <v>14295</v>
      </c>
      <c r="B15" t="s">
        <v>14311</v>
      </c>
      <c r="C15" t="s">
        <v>14310</v>
      </c>
      <c r="D15" t="s">
        <v>1371</v>
      </c>
      <c r="E15">
        <v>1.94</v>
      </c>
      <c r="F15" t="s">
        <v>1370</v>
      </c>
      <c r="G15" t="s">
        <v>640</v>
      </c>
      <c r="H15">
        <v>6051</v>
      </c>
    </row>
    <row r="16" spans="1:9" x14ac:dyDescent="0.25">
      <c r="A16" t="s">
        <v>14295</v>
      </c>
      <c r="B16" t="s">
        <v>14309</v>
      </c>
      <c r="C16" t="s">
        <v>14308</v>
      </c>
      <c r="D16" t="s">
        <v>1433</v>
      </c>
      <c r="E16">
        <v>1.68</v>
      </c>
      <c r="F16" t="s">
        <v>1432</v>
      </c>
      <c r="G16" t="s">
        <v>640</v>
      </c>
      <c r="H16">
        <v>6052</v>
      </c>
    </row>
    <row r="17" spans="1:8" x14ac:dyDescent="0.25">
      <c r="A17" t="s">
        <v>14295</v>
      </c>
      <c r="B17" t="s">
        <v>14307</v>
      </c>
      <c r="C17" t="s">
        <v>14306</v>
      </c>
      <c r="D17" t="s">
        <v>4506</v>
      </c>
      <c r="E17">
        <v>2</v>
      </c>
      <c r="F17" t="s">
        <v>4507</v>
      </c>
      <c r="G17" t="s">
        <v>640</v>
      </c>
      <c r="H17">
        <v>6053</v>
      </c>
    </row>
    <row r="18" spans="1:8" x14ac:dyDescent="0.25">
      <c r="A18" t="s">
        <v>14295</v>
      </c>
      <c r="B18" t="s">
        <v>14305</v>
      </c>
      <c r="C18" t="s">
        <v>14304</v>
      </c>
      <c r="D18" t="s">
        <v>4005</v>
      </c>
      <c r="E18">
        <v>5.61</v>
      </c>
      <c r="F18" t="s">
        <v>4006</v>
      </c>
      <c r="G18" t="s">
        <v>640</v>
      </c>
      <c r="H18">
        <v>6054</v>
      </c>
    </row>
    <row r="19" spans="1:8" x14ac:dyDescent="0.25">
      <c r="A19" t="s">
        <v>14295</v>
      </c>
      <c r="B19" t="s">
        <v>14303</v>
      </c>
      <c r="C19" t="s">
        <v>14302</v>
      </c>
      <c r="D19" t="s">
        <v>4911</v>
      </c>
      <c r="E19">
        <v>3.66</v>
      </c>
      <c r="F19" t="s">
        <v>4912</v>
      </c>
      <c r="G19" t="s">
        <v>640</v>
      </c>
      <c r="H19">
        <v>6055</v>
      </c>
    </row>
    <row r="20" spans="1:8" x14ac:dyDescent="0.25">
      <c r="A20" t="s">
        <v>14295</v>
      </c>
      <c r="B20" t="s">
        <v>14301</v>
      </c>
      <c r="C20" t="s">
        <v>14300</v>
      </c>
      <c r="D20" t="s">
        <v>1475</v>
      </c>
      <c r="E20">
        <v>1.86</v>
      </c>
      <c r="F20" t="s">
        <v>1474</v>
      </c>
      <c r="G20" t="s">
        <v>640</v>
      </c>
      <c r="H20">
        <v>6056</v>
      </c>
    </row>
    <row r="21" spans="1:8" x14ac:dyDescent="0.25">
      <c r="A21" t="s">
        <v>14295</v>
      </c>
      <c r="B21" t="s">
        <v>14299</v>
      </c>
      <c r="C21" t="s">
        <v>14298</v>
      </c>
      <c r="D21" t="s">
        <v>1377</v>
      </c>
      <c r="E21">
        <v>2.31</v>
      </c>
      <c r="F21" t="s">
        <v>1376</v>
      </c>
      <c r="G21" t="s">
        <v>640</v>
      </c>
      <c r="H21">
        <v>6057</v>
      </c>
    </row>
    <row r="22" spans="1:8" x14ac:dyDescent="0.25">
      <c r="A22" t="s">
        <v>14295</v>
      </c>
      <c r="B22" t="s">
        <v>14297</v>
      </c>
      <c r="C22" t="s">
        <v>14296</v>
      </c>
      <c r="D22" t="s">
        <v>3655</v>
      </c>
      <c r="E22">
        <v>21.58</v>
      </c>
      <c r="F22" t="s">
        <v>3656</v>
      </c>
      <c r="G22" t="s">
        <v>640</v>
      </c>
      <c r="H22">
        <v>6058</v>
      </c>
    </row>
    <row r="23" spans="1:8" x14ac:dyDescent="0.25">
      <c r="A23" t="s">
        <v>14295</v>
      </c>
      <c r="B23" t="s">
        <v>14294</v>
      </c>
      <c r="C23" t="s">
        <v>14293</v>
      </c>
      <c r="D23" t="s">
        <v>1046</v>
      </c>
      <c r="E23">
        <v>4.66</v>
      </c>
      <c r="F23" t="s">
        <v>1045</v>
      </c>
      <c r="G23" t="s">
        <v>640</v>
      </c>
      <c r="H23">
        <v>6059</v>
      </c>
    </row>
    <row r="24" spans="1:8" x14ac:dyDescent="0.25">
      <c r="C24" s="220" t="s">
        <v>3738</v>
      </c>
      <c r="D24" s="210"/>
      <c r="E24" s="219">
        <f>SUM(E5:E23)</f>
        <v>92.16</v>
      </c>
    </row>
    <row r="25" spans="1:8" x14ac:dyDescent="0.25">
      <c r="A25" t="s">
        <v>14216</v>
      </c>
      <c r="B25" t="s">
        <v>14292</v>
      </c>
      <c r="C25" t="s">
        <v>14291</v>
      </c>
      <c r="D25" t="s">
        <v>1024</v>
      </c>
      <c r="E25">
        <v>13.92</v>
      </c>
      <c r="F25" t="s">
        <v>1023</v>
      </c>
      <c r="G25" t="s">
        <v>640</v>
      </c>
      <c r="H25">
        <v>6138</v>
      </c>
    </row>
    <row r="26" spans="1:8" x14ac:dyDescent="0.25">
      <c r="A26" t="s">
        <v>14216</v>
      </c>
      <c r="B26" t="s">
        <v>14290</v>
      </c>
      <c r="C26" t="s">
        <v>14289</v>
      </c>
      <c r="D26" t="s">
        <v>966</v>
      </c>
      <c r="E26">
        <v>29.94</v>
      </c>
      <c r="F26" t="s">
        <v>965</v>
      </c>
      <c r="G26" t="s">
        <v>640</v>
      </c>
      <c r="H26">
        <v>6139</v>
      </c>
    </row>
    <row r="27" spans="1:8" x14ac:dyDescent="0.25">
      <c r="A27" t="s">
        <v>14216</v>
      </c>
      <c r="B27" t="s">
        <v>3294</v>
      </c>
      <c r="C27" t="s">
        <v>14288</v>
      </c>
      <c r="D27" t="s">
        <v>1195</v>
      </c>
      <c r="E27">
        <v>2.31</v>
      </c>
      <c r="F27" t="s">
        <v>1194</v>
      </c>
      <c r="G27" t="s">
        <v>640</v>
      </c>
      <c r="H27">
        <v>6140</v>
      </c>
    </row>
    <row r="28" spans="1:8" x14ac:dyDescent="0.25">
      <c r="A28" t="s">
        <v>14216</v>
      </c>
      <c r="B28" t="s">
        <v>5384</v>
      </c>
      <c r="C28" t="s">
        <v>14287</v>
      </c>
      <c r="D28" t="s">
        <v>1247</v>
      </c>
      <c r="E28">
        <v>6.38</v>
      </c>
      <c r="F28" t="s">
        <v>1246</v>
      </c>
      <c r="G28" t="s">
        <v>640</v>
      </c>
      <c r="H28">
        <v>6141</v>
      </c>
    </row>
    <row r="29" spans="1:8" x14ac:dyDescent="0.25">
      <c r="A29" t="s">
        <v>14216</v>
      </c>
      <c r="B29" t="s">
        <v>14286</v>
      </c>
      <c r="C29" t="s">
        <v>14285</v>
      </c>
      <c r="D29" t="s">
        <v>1062</v>
      </c>
      <c r="E29">
        <v>11.52</v>
      </c>
      <c r="F29" t="s">
        <v>1061</v>
      </c>
      <c r="G29" t="s">
        <v>640</v>
      </c>
      <c r="H29">
        <v>6142</v>
      </c>
    </row>
    <row r="30" spans="1:8" x14ac:dyDescent="0.25">
      <c r="A30" t="s">
        <v>14216</v>
      </c>
      <c r="B30" t="s">
        <v>14284</v>
      </c>
      <c r="C30" t="s">
        <v>14283</v>
      </c>
      <c r="D30" t="s">
        <v>4897</v>
      </c>
      <c r="E30">
        <v>6.02</v>
      </c>
      <c r="F30" t="s">
        <v>4898</v>
      </c>
      <c r="G30" t="s">
        <v>640</v>
      </c>
      <c r="H30">
        <v>6143</v>
      </c>
    </row>
    <row r="31" spans="1:8" x14ac:dyDescent="0.25">
      <c r="A31" t="s">
        <v>14216</v>
      </c>
      <c r="B31" t="s">
        <v>14282</v>
      </c>
      <c r="C31" t="s">
        <v>14281</v>
      </c>
      <c r="D31" t="s">
        <v>1034</v>
      </c>
      <c r="E31">
        <v>2.14</v>
      </c>
      <c r="F31" t="s">
        <v>1033</v>
      </c>
      <c r="G31" t="s">
        <v>640</v>
      </c>
      <c r="H31">
        <v>6144</v>
      </c>
    </row>
    <row r="32" spans="1:8" x14ac:dyDescent="0.25">
      <c r="A32" t="s">
        <v>14216</v>
      </c>
      <c r="B32" t="s">
        <v>14280</v>
      </c>
      <c r="C32" t="s">
        <v>14279</v>
      </c>
      <c r="D32" t="s">
        <v>5705</v>
      </c>
      <c r="E32">
        <v>5.16</v>
      </c>
      <c r="F32" t="s">
        <v>5706</v>
      </c>
      <c r="G32" t="s">
        <v>640</v>
      </c>
      <c r="H32">
        <v>6145</v>
      </c>
    </row>
    <row r="33" spans="1:8" x14ac:dyDescent="0.25">
      <c r="A33" t="s">
        <v>14216</v>
      </c>
      <c r="B33" t="s">
        <v>3335</v>
      </c>
      <c r="C33" t="s">
        <v>14278</v>
      </c>
      <c r="D33" t="s">
        <v>816</v>
      </c>
      <c r="E33">
        <v>2.25</v>
      </c>
      <c r="F33" t="s">
        <v>815</v>
      </c>
      <c r="G33" t="s">
        <v>640</v>
      </c>
      <c r="H33">
        <v>6146</v>
      </c>
    </row>
    <row r="34" spans="1:8" x14ac:dyDescent="0.25">
      <c r="A34" t="s">
        <v>14216</v>
      </c>
      <c r="B34" t="s">
        <v>14277</v>
      </c>
      <c r="C34" t="s">
        <v>14276</v>
      </c>
      <c r="D34" t="s">
        <v>1275</v>
      </c>
      <c r="E34">
        <v>6.78</v>
      </c>
      <c r="F34" t="s">
        <v>1274</v>
      </c>
      <c r="G34" t="s">
        <v>640</v>
      </c>
      <c r="H34">
        <v>6147</v>
      </c>
    </row>
    <row r="35" spans="1:8" x14ac:dyDescent="0.25">
      <c r="A35" t="s">
        <v>14216</v>
      </c>
      <c r="B35" t="s">
        <v>14275</v>
      </c>
      <c r="C35" t="s">
        <v>14274</v>
      </c>
      <c r="D35" t="s">
        <v>13545</v>
      </c>
      <c r="E35">
        <v>2.81</v>
      </c>
      <c r="F35" t="s">
        <v>13544</v>
      </c>
      <c r="G35" t="s">
        <v>640</v>
      </c>
      <c r="H35">
        <v>6148</v>
      </c>
    </row>
    <row r="36" spans="1:8" x14ac:dyDescent="0.25">
      <c r="A36" t="s">
        <v>14216</v>
      </c>
      <c r="B36" t="s">
        <v>14273</v>
      </c>
      <c r="C36" t="s">
        <v>14272</v>
      </c>
      <c r="D36" t="s">
        <v>4194</v>
      </c>
      <c r="E36">
        <v>2.39</v>
      </c>
      <c r="F36" t="s">
        <v>4195</v>
      </c>
      <c r="G36" t="s">
        <v>640</v>
      </c>
      <c r="H36">
        <v>6149</v>
      </c>
    </row>
    <row r="37" spans="1:8" x14ac:dyDescent="0.25">
      <c r="A37" t="s">
        <v>14216</v>
      </c>
      <c r="B37" t="s">
        <v>14271</v>
      </c>
      <c r="C37" t="s">
        <v>14270</v>
      </c>
      <c r="D37" t="s">
        <v>1405</v>
      </c>
      <c r="E37">
        <v>1.98</v>
      </c>
      <c r="F37" t="s">
        <v>1404</v>
      </c>
      <c r="G37" t="s">
        <v>640</v>
      </c>
      <c r="H37">
        <v>6151</v>
      </c>
    </row>
    <row r="38" spans="1:8" x14ac:dyDescent="0.25">
      <c r="A38" t="s">
        <v>14216</v>
      </c>
      <c r="B38" t="s">
        <v>14269</v>
      </c>
      <c r="C38" t="s">
        <v>14268</v>
      </c>
      <c r="D38" t="s">
        <v>798</v>
      </c>
      <c r="E38">
        <v>18.489999999999998</v>
      </c>
      <c r="F38" t="s">
        <v>797</v>
      </c>
      <c r="G38" t="s">
        <v>640</v>
      </c>
      <c r="H38">
        <v>6153</v>
      </c>
    </row>
    <row r="39" spans="1:8" x14ac:dyDescent="0.25">
      <c r="A39" t="s">
        <v>14216</v>
      </c>
      <c r="B39" t="s">
        <v>14267</v>
      </c>
      <c r="C39" t="s">
        <v>14266</v>
      </c>
      <c r="D39" t="s">
        <v>3605</v>
      </c>
      <c r="E39">
        <v>5.8</v>
      </c>
      <c r="F39" t="s">
        <v>3606</v>
      </c>
      <c r="G39" t="s">
        <v>640</v>
      </c>
      <c r="H39">
        <v>6154</v>
      </c>
    </row>
    <row r="40" spans="1:8" x14ac:dyDescent="0.25">
      <c r="A40" t="s">
        <v>14216</v>
      </c>
      <c r="B40" t="s">
        <v>14265</v>
      </c>
      <c r="C40" t="s">
        <v>14264</v>
      </c>
      <c r="D40" t="s">
        <v>6069</v>
      </c>
      <c r="E40">
        <v>3.02</v>
      </c>
      <c r="F40" t="s">
        <v>6070</v>
      </c>
      <c r="G40" t="s">
        <v>640</v>
      </c>
      <c r="H40">
        <v>6155</v>
      </c>
    </row>
    <row r="41" spans="1:8" x14ac:dyDescent="0.25">
      <c r="A41" t="s">
        <v>14216</v>
      </c>
      <c r="B41" t="s">
        <v>14263</v>
      </c>
      <c r="C41" t="s">
        <v>14262</v>
      </c>
      <c r="D41" t="s">
        <v>3637</v>
      </c>
      <c r="E41">
        <v>6.25</v>
      </c>
      <c r="F41" t="s">
        <v>3638</v>
      </c>
      <c r="G41" t="s">
        <v>640</v>
      </c>
      <c r="H41">
        <v>6156</v>
      </c>
    </row>
    <row r="42" spans="1:8" x14ac:dyDescent="0.25">
      <c r="A42" t="s">
        <v>14216</v>
      </c>
      <c r="B42" t="s">
        <v>14261</v>
      </c>
      <c r="C42" t="s">
        <v>14260</v>
      </c>
      <c r="D42" t="s">
        <v>1229</v>
      </c>
      <c r="E42">
        <v>1.68</v>
      </c>
      <c r="F42" t="s">
        <v>1228</v>
      </c>
      <c r="G42" t="s">
        <v>640</v>
      </c>
      <c r="H42">
        <v>6157</v>
      </c>
    </row>
    <row r="43" spans="1:8" x14ac:dyDescent="0.25">
      <c r="A43" t="s">
        <v>14216</v>
      </c>
      <c r="B43" t="s">
        <v>14259</v>
      </c>
      <c r="C43" t="s">
        <v>14258</v>
      </c>
      <c r="D43" t="s">
        <v>1387</v>
      </c>
      <c r="E43">
        <v>9.76</v>
      </c>
      <c r="F43" t="s">
        <v>1386</v>
      </c>
      <c r="G43" t="s">
        <v>640</v>
      </c>
      <c r="H43">
        <v>6158</v>
      </c>
    </row>
    <row r="44" spans="1:8" x14ac:dyDescent="0.25">
      <c r="A44" t="s">
        <v>14216</v>
      </c>
      <c r="B44" t="s">
        <v>14257</v>
      </c>
      <c r="C44" t="s">
        <v>14256</v>
      </c>
      <c r="D44" t="s">
        <v>1573</v>
      </c>
      <c r="E44">
        <v>8.69</v>
      </c>
      <c r="F44" t="s">
        <v>1572</v>
      </c>
      <c r="G44" t="s">
        <v>640</v>
      </c>
      <c r="H44">
        <v>6159</v>
      </c>
    </row>
    <row r="45" spans="1:8" x14ac:dyDescent="0.25">
      <c r="A45" t="s">
        <v>14216</v>
      </c>
      <c r="B45" t="s">
        <v>14255</v>
      </c>
      <c r="C45" t="s">
        <v>14254</v>
      </c>
      <c r="D45" t="s">
        <v>1066</v>
      </c>
      <c r="E45">
        <v>2.71</v>
      </c>
      <c r="F45" t="s">
        <v>1065</v>
      </c>
      <c r="G45" t="s">
        <v>640</v>
      </c>
      <c r="H45">
        <v>6160</v>
      </c>
    </row>
    <row r="46" spans="1:8" x14ac:dyDescent="0.25">
      <c r="A46" t="s">
        <v>14216</v>
      </c>
      <c r="B46" t="s">
        <v>14253</v>
      </c>
      <c r="C46" t="s">
        <v>14252</v>
      </c>
      <c r="D46" t="s">
        <v>1152</v>
      </c>
      <c r="E46">
        <v>2.84</v>
      </c>
      <c r="F46" t="s">
        <v>1151</v>
      </c>
      <c r="G46" t="s">
        <v>640</v>
      </c>
      <c r="H46">
        <v>6161</v>
      </c>
    </row>
    <row r="47" spans="1:8" x14ac:dyDescent="0.25">
      <c r="A47" t="s">
        <v>14216</v>
      </c>
      <c r="B47" t="s">
        <v>14251</v>
      </c>
      <c r="C47" t="s">
        <v>14250</v>
      </c>
      <c r="D47" t="s">
        <v>3962</v>
      </c>
      <c r="E47">
        <v>28.3</v>
      </c>
      <c r="F47" t="s">
        <v>3963</v>
      </c>
      <c r="G47" t="s">
        <v>640</v>
      </c>
      <c r="H47">
        <v>6162</v>
      </c>
    </row>
    <row r="48" spans="1:8" x14ac:dyDescent="0.25">
      <c r="A48" t="s">
        <v>14216</v>
      </c>
      <c r="B48" t="s">
        <v>11038</v>
      </c>
      <c r="C48" t="s">
        <v>14249</v>
      </c>
      <c r="D48" t="s">
        <v>3959</v>
      </c>
      <c r="E48">
        <v>3.56</v>
      </c>
      <c r="F48" t="s">
        <v>3960</v>
      </c>
      <c r="G48" t="s">
        <v>640</v>
      </c>
      <c r="H48">
        <v>6163</v>
      </c>
    </row>
    <row r="49" spans="1:8" x14ac:dyDescent="0.25">
      <c r="A49" t="s">
        <v>14216</v>
      </c>
      <c r="B49" t="s">
        <v>14248</v>
      </c>
      <c r="C49" t="s">
        <v>14247</v>
      </c>
      <c r="D49" t="s">
        <v>6054</v>
      </c>
      <c r="E49">
        <v>0.02</v>
      </c>
      <c r="F49" t="s">
        <v>6055</v>
      </c>
      <c r="G49" t="s">
        <v>640</v>
      </c>
      <c r="H49">
        <v>6164</v>
      </c>
    </row>
    <row r="50" spans="1:8" x14ac:dyDescent="0.25">
      <c r="A50" t="s">
        <v>14216</v>
      </c>
      <c r="B50" t="s">
        <v>14246</v>
      </c>
      <c r="C50" t="s">
        <v>14245</v>
      </c>
      <c r="D50" t="s">
        <v>14244</v>
      </c>
      <c r="E50">
        <v>9.1300000000000008</v>
      </c>
      <c r="F50" t="s">
        <v>14243</v>
      </c>
      <c r="G50" t="s">
        <v>640</v>
      </c>
      <c r="H50">
        <v>6165</v>
      </c>
    </row>
    <row r="51" spans="1:8" x14ac:dyDescent="0.25">
      <c r="A51" t="s">
        <v>14216</v>
      </c>
      <c r="B51" t="s">
        <v>14242</v>
      </c>
      <c r="C51" t="s">
        <v>14241</v>
      </c>
      <c r="D51" t="s">
        <v>13967</v>
      </c>
      <c r="E51">
        <v>0.9</v>
      </c>
      <c r="F51" t="s">
        <v>13966</v>
      </c>
      <c r="G51" t="s">
        <v>640</v>
      </c>
      <c r="H51">
        <v>6166</v>
      </c>
    </row>
    <row r="52" spans="1:8" x14ac:dyDescent="0.25">
      <c r="A52" t="s">
        <v>14216</v>
      </c>
      <c r="B52" t="s">
        <v>14240</v>
      </c>
      <c r="C52" t="s">
        <v>14239</v>
      </c>
      <c r="D52" t="s">
        <v>13430</v>
      </c>
      <c r="E52">
        <v>5.04</v>
      </c>
      <c r="F52" t="s">
        <v>13429</v>
      </c>
      <c r="G52" t="s">
        <v>640</v>
      </c>
      <c r="H52">
        <v>6167</v>
      </c>
    </row>
    <row r="53" spans="1:8" x14ac:dyDescent="0.25">
      <c r="A53" t="s">
        <v>14216</v>
      </c>
      <c r="B53" t="s">
        <v>14238</v>
      </c>
      <c r="C53" t="s">
        <v>14237</v>
      </c>
      <c r="D53" t="s">
        <v>3915</v>
      </c>
      <c r="E53">
        <v>10.72</v>
      </c>
      <c r="F53" t="s">
        <v>3916</v>
      </c>
      <c r="G53" t="s">
        <v>640</v>
      </c>
      <c r="H53">
        <v>6168</v>
      </c>
    </row>
    <row r="54" spans="1:8" x14ac:dyDescent="0.25">
      <c r="A54" t="s">
        <v>14216</v>
      </c>
      <c r="B54" t="s">
        <v>14236</v>
      </c>
      <c r="C54" t="s">
        <v>14235</v>
      </c>
      <c r="D54" t="s">
        <v>14234</v>
      </c>
      <c r="E54">
        <v>3.38</v>
      </c>
      <c r="F54" t="s">
        <v>14233</v>
      </c>
      <c r="G54" t="s">
        <v>640</v>
      </c>
      <c r="H54">
        <v>6170</v>
      </c>
    </row>
    <row r="55" spans="1:8" x14ac:dyDescent="0.25">
      <c r="A55" t="s">
        <v>14216</v>
      </c>
      <c r="B55" t="s">
        <v>14232</v>
      </c>
      <c r="C55" t="s">
        <v>14231</v>
      </c>
      <c r="D55" t="s">
        <v>683</v>
      </c>
      <c r="E55">
        <v>1.7</v>
      </c>
      <c r="F55" t="s">
        <v>682</v>
      </c>
      <c r="G55" t="s">
        <v>640</v>
      </c>
      <c r="H55">
        <v>6171</v>
      </c>
    </row>
    <row r="56" spans="1:8" x14ac:dyDescent="0.25">
      <c r="A56" t="s">
        <v>14216</v>
      </c>
      <c r="B56" t="s">
        <v>14230</v>
      </c>
      <c r="C56" t="s">
        <v>14229</v>
      </c>
      <c r="D56" t="s">
        <v>4494</v>
      </c>
      <c r="E56">
        <v>4.1900000000000004</v>
      </c>
      <c r="F56" t="s">
        <v>4495</v>
      </c>
      <c r="G56" t="s">
        <v>640</v>
      </c>
      <c r="H56">
        <v>6172</v>
      </c>
    </row>
    <row r="57" spans="1:8" x14ac:dyDescent="0.25">
      <c r="A57" t="s">
        <v>14216</v>
      </c>
      <c r="B57" t="s">
        <v>14228</v>
      </c>
      <c r="C57" t="s">
        <v>14227</v>
      </c>
      <c r="D57" t="s">
        <v>5787</v>
      </c>
      <c r="E57">
        <v>3.61</v>
      </c>
      <c r="F57" t="s">
        <v>5788</v>
      </c>
      <c r="G57" t="s">
        <v>640</v>
      </c>
      <c r="H57">
        <v>6173</v>
      </c>
    </row>
    <row r="58" spans="1:8" x14ac:dyDescent="0.25">
      <c r="A58" t="s">
        <v>14216</v>
      </c>
      <c r="B58" t="s">
        <v>14226</v>
      </c>
      <c r="C58" t="s">
        <v>14225</v>
      </c>
      <c r="D58" t="s">
        <v>4295</v>
      </c>
      <c r="E58">
        <v>15.01</v>
      </c>
      <c r="F58" t="s">
        <v>4296</v>
      </c>
      <c r="G58" t="s">
        <v>640</v>
      </c>
      <c r="H58">
        <v>6174</v>
      </c>
    </row>
    <row r="59" spans="1:8" x14ac:dyDescent="0.25">
      <c r="A59" t="s">
        <v>14216</v>
      </c>
      <c r="B59" t="s">
        <v>14224</v>
      </c>
      <c r="C59" t="s">
        <v>14223</v>
      </c>
      <c r="D59" t="s">
        <v>1439</v>
      </c>
      <c r="E59">
        <v>12.59</v>
      </c>
      <c r="F59" t="s">
        <v>1438</v>
      </c>
      <c r="G59" t="s">
        <v>640</v>
      </c>
      <c r="H59">
        <v>6176</v>
      </c>
    </row>
    <row r="60" spans="1:8" x14ac:dyDescent="0.25">
      <c r="A60" t="s">
        <v>14216</v>
      </c>
      <c r="B60" t="s">
        <v>14222</v>
      </c>
      <c r="C60" t="s">
        <v>14221</v>
      </c>
      <c r="D60" t="s">
        <v>790</v>
      </c>
      <c r="E60">
        <v>3.38</v>
      </c>
      <c r="F60" t="s">
        <v>1468</v>
      </c>
      <c r="G60" t="s">
        <v>640</v>
      </c>
      <c r="H60">
        <v>6177</v>
      </c>
    </row>
    <row r="61" spans="1:8" x14ac:dyDescent="0.25">
      <c r="A61" t="s">
        <v>14216</v>
      </c>
      <c r="B61" t="s">
        <v>14220</v>
      </c>
      <c r="C61" t="s">
        <v>14219</v>
      </c>
      <c r="D61" t="s">
        <v>13270</v>
      </c>
      <c r="E61">
        <v>8.35</v>
      </c>
      <c r="F61" t="s">
        <v>13269</v>
      </c>
      <c r="G61" t="s">
        <v>640</v>
      </c>
      <c r="H61">
        <v>6179</v>
      </c>
    </row>
    <row r="62" spans="1:8" x14ac:dyDescent="0.25">
      <c r="A62" t="s">
        <v>14216</v>
      </c>
      <c r="B62" t="s">
        <v>14218</v>
      </c>
      <c r="C62" t="s">
        <v>14217</v>
      </c>
      <c r="D62" t="s">
        <v>991</v>
      </c>
      <c r="E62">
        <v>3.27</v>
      </c>
      <c r="F62" t="s">
        <v>990</v>
      </c>
      <c r="G62" t="s">
        <v>640</v>
      </c>
      <c r="H62">
        <v>6180</v>
      </c>
    </row>
    <row r="63" spans="1:8" x14ac:dyDescent="0.25">
      <c r="A63" t="s">
        <v>14216</v>
      </c>
      <c r="B63" t="s">
        <v>14215</v>
      </c>
      <c r="C63" t="s">
        <v>14214</v>
      </c>
      <c r="D63" t="s">
        <v>5275</v>
      </c>
      <c r="E63">
        <v>8.02</v>
      </c>
      <c r="F63" t="s">
        <v>5276</v>
      </c>
      <c r="G63" t="s">
        <v>640</v>
      </c>
      <c r="H63">
        <v>6182</v>
      </c>
    </row>
    <row r="64" spans="1:8" x14ac:dyDescent="0.25">
      <c r="C64" s="220" t="s">
        <v>3738</v>
      </c>
      <c r="D64" s="210"/>
      <c r="E64" s="219">
        <f>SUM(E25:E63)</f>
        <v>274.01</v>
      </c>
    </row>
    <row r="65" spans="1:8" x14ac:dyDescent="0.25">
      <c r="A65" t="s">
        <v>14121</v>
      </c>
      <c r="B65" t="s">
        <v>14213</v>
      </c>
      <c r="C65" t="s">
        <v>14212</v>
      </c>
      <c r="D65" t="s">
        <v>4807</v>
      </c>
      <c r="E65">
        <v>8.3800000000000008</v>
      </c>
      <c r="F65" t="s">
        <v>4808</v>
      </c>
      <c r="G65" t="s">
        <v>640</v>
      </c>
      <c r="H65">
        <v>6183</v>
      </c>
    </row>
    <row r="66" spans="1:8" x14ac:dyDescent="0.25">
      <c r="A66" t="s">
        <v>14121</v>
      </c>
      <c r="B66" t="s">
        <v>14211</v>
      </c>
      <c r="C66" t="s">
        <v>14210</v>
      </c>
      <c r="D66" t="s">
        <v>1036</v>
      </c>
      <c r="E66">
        <v>3.79</v>
      </c>
      <c r="F66" t="s">
        <v>1035</v>
      </c>
      <c r="G66" t="s">
        <v>640</v>
      </c>
      <c r="H66">
        <v>6184</v>
      </c>
    </row>
    <row r="67" spans="1:8" x14ac:dyDescent="0.25">
      <c r="A67" t="s">
        <v>14121</v>
      </c>
      <c r="B67" t="s">
        <v>14209</v>
      </c>
      <c r="C67" t="s">
        <v>14208</v>
      </c>
      <c r="D67" t="s">
        <v>672</v>
      </c>
      <c r="E67">
        <v>5.31</v>
      </c>
      <c r="F67" t="s">
        <v>671</v>
      </c>
      <c r="G67" t="s">
        <v>640</v>
      </c>
      <c r="H67">
        <v>6185</v>
      </c>
    </row>
    <row r="68" spans="1:8" x14ac:dyDescent="0.25">
      <c r="A68" t="s">
        <v>14121</v>
      </c>
      <c r="B68" t="s">
        <v>14207</v>
      </c>
      <c r="C68" t="s">
        <v>14206</v>
      </c>
      <c r="D68" t="s">
        <v>1460</v>
      </c>
      <c r="E68">
        <v>18.22</v>
      </c>
      <c r="F68" t="s">
        <v>1459</v>
      </c>
      <c r="G68" t="s">
        <v>640</v>
      </c>
      <c r="H68">
        <v>6186</v>
      </c>
    </row>
    <row r="69" spans="1:8" x14ac:dyDescent="0.25">
      <c r="A69" t="s">
        <v>14121</v>
      </c>
      <c r="B69" t="s">
        <v>14205</v>
      </c>
      <c r="C69" t="s">
        <v>14204</v>
      </c>
      <c r="D69" t="s">
        <v>4220</v>
      </c>
      <c r="E69">
        <v>25.14</v>
      </c>
      <c r="F69" t="s">
        <v>4221</v>
      </c>
      <c r="G69" t="s">
        <v>640</v>
      </c>
      <c r="H69">
        <v>6187</v>
      </c>
    </row>
    <row r="70" spans="1:8" x14ac:dyDescent="0.25">
      <c r="A70" t="s">
        <v>14121</v>
      </c>
      <c r="B70" t="s">
        <v>14203</v>
      </c>
      <c r="C70" t="s">
        <v>14202</v>
      </c>
      <c r="D70" t="s">
        <v>11369</v>
      </c>
      <c r="E70">
        <v>1.8</v>
      </c>
      <c r="F70" t="s">
        <v>11365</v>
      </c>
      <c r="G70" t="s">
        <v>640</v>
      </c>
      <c r="H70">
        <v>6189</v>
      </c>
    </row>
    <row r="71" spans="1:8" x14ac:dyDescent="0.25">
      <c r="A71" t="s">
        <v>14121</v>
      </c>
      <c r="B71" t="s">
        <v>14201</v>
      </c>
      <c r="C71" t="s">
        <v>14200</v>
      </c>
      <c r="D71" t="s">
        <v>11366</v>
      </c>
      <c r="E71">
        <v>1.96</v>
      </c>
      <c r="F71" t="s">
        <v>11365</v>
      </c>
      <c r="G71" t="s">
        <v>640</v>
      </c>
      <c r="H71">
        <v>6188</v>
      </c>
    </row>
    <row r="72" spans="1:8" x14ac:dyDescent="0.25">
      <c r="A72" t="s">
        <v>14121</v>
      </c>
      <c r="B72" t="s">
        <v>14199</v>
      </c>
      <c r="C72" t="s">
        <v>14198</v>
      </c>
      <c r="D72" t="s">
        <v>1050</v>
      </c>
      <c r="E72">
        <v>1.68</v>
      </c>
      <c r="F72" t="s">
        <v>1049</v>
      </c>
      <c r="G72" t="s">
        <v>640</v>
      </c>
      <c r="H72">
        <v>6190</v>
      </c>
    </row>
    <row r="73" spans="1:8" x14ac:dyDescent="0.25">
      <c r="A73" t="s">
        <v>14121</v>
      </c>
      <c r="B73" t="s">
        <v>14197</v>
      </c>
      <c r="C73" t="s">
        <v>14196</v>
      </c>
      <c r="D73" t="s">
        <v>3937</v>
      </c>
      <c r="E73">
        <v>13.88</v>
      </c>
      <c r="F73" t="s">
        <v>3938</v>
      </c>
      <c r="G73" t="s">
        <v>640</v>
      </c>
      <c r="H73">
        <v>6191</v>
      </c>
    </row>
    <row r="74" spans="1:8" x14ac:dyDescent="0.25">
      <c r="A74" t="s">
        <v>14121</v>
      </c>
      <c r="B74" t="s">
        <v>14195</v>
      </c>
      <c r="C74" t="s">
        <v>14194</v>
      </c>
      <c r="D74" t="s">
        <v>4448</v>
      </c>
      <c r="E74">
        <v>13.08</v>
      </c>
      <c r="F74" t="s">
        <v>4449</v>
      </c>
      <c r="G74" t="s">
        <v>640</v>
      </c>
      <c r="H74">
        <v>6192</v>
      </c>
    </row>
    <row r="75" spans="1:8" x14ac:dyDescent="0.25">
      <c r="A75" t="s">
        <v>14121</v>
      </c>
      <c r="B75" t="s">
        <v>14193</v>
      </c>
      <c r="C75" t="s">
        <v>14192</v>
      </c>
      <c r="D75" t="s">
        <v>1070</v>
      </c>
      <c r="E75">
        <v>3.37</v>
      </c>
      <c r="F75" t="s">
        <v>1069</v>
      </c>
      <c r="G75" t="s">
        <v>640</v>
      </c>
      <c r="H75">
        <v>6193</v>
      </c>
    </row>
    <row r="76" spans="1:8" x14ac:dyDescent="0.25">
      <c r="A76" t="s">
        <v>14121</v>
      </c>
      <c r="B76" t="s">
        <v>14191</v>
      </c>
      <c r="C76" t="s">
        <v>14190</v>
      </c>
      <c r="D76" t="s">
        <v>14189</v>
      </c>
      <c r="E76">
        <v>3.24</v>
      </c>
      <c r="F76" t="s">
        <v>14188</v>
      </c>
      <c r="G76" t="s">
        <v>640</v>
      </c>
      <c r="H76">
        <v>6194</v>
      </c>
    </row>
    <row r="77" spans="1:8" x14ac:dyDescent="0.25">
      <c r="A77" t="s">
        <v>14121</v>
      </c>
      <c r="B77" t="s">
        <v>14187</v>
      </c>
      <c r="C77" t="s">
        <v>14186</v>
      </c>
      <c r="D77" t="s">
        <v>4285</v>
      </c>
      <c r="E77">
        <v>6.73</v>
      </c>
      <c r="F77" t="s">
        <v>4286</v>
      </c>
      <c r="G77" t="s">
        <v>640</v>
      </c>
      <c r="H77">
        <v>6195</v>
      </c>
    </row>
    <row r="78" spans="1:8" x14ac:dyDescent="0.25">
      <c r="A78" t="s">
        <v>14121</v>
      </c>
      <c r="B78" t="s">
        <v>14185</v>
      </c>
      <c r="C78" t="s">
        <v>14184</v>
      </c>
      <c r="D78" t="s">
        <v>4281</v>
      </c>
      <c r="E78">
        <v>3.36</v>
      </c>
      <c r="F78" t="s">
        <v>4282</v>
      </c>
      <c r="G78" t="s">
        <v>640</v>
      </c>
      <c r="H78">
        <v>6196</v>
      </c>
    </row>
    <row r="79" spans="1:8" x14ac:dyDescent="0.25">
      <c r="A79" t="s">
        <v>14121</v>
      </c>
      <c r="B79" t="s">
        <v>14183</v>
      </c>
      <c r="C79" t="s">
        <v>14182</v>
      </c>
      <c r="D79" t="s">
        <v>5572</v>
      </c>
      <c r="E79">
        <v>6.42</v>
      </c>
      <c r="F79" t="s">
        <v>5573</v>
      </c>
      <c r="G79" t="s">
        <v>640</v>
      </c>
      <c r="H79">
        <v>6197</v>
      </c>
    </row>
    <row r="80" spans="1:8" x14ac:dyDescent="0.25">
      <c r="A80" t="s">
        <v>14121</v>
      </c>
      <c r="B80" t="s">
        <v>14181</v>
      </c>
      <c r="C80" t="s">
        <v>14180</v>
      </c>
      <c r="D80" t="s">
        <v>4651</v>
      </c>
      <c r="E80">
        <v>2.12</v>
      </c>
      <c r="F80" t="s">
        <v>4652</v>
      </c>
      <c r="G80" t="s">
        <v>640</v>
      </c>
      <c r="H80">
        <v>6198</v>
      </c>
    </row>
    <row r="81" spans="1:8" x14ac:dyDescent="0.25">
      <c r="A81" t="s">
        <v>14121</v>
      </c>
      <c r="B81" t="s">
        <v>14179</v>
      </c>
      <c r="C81" t="s">
        <v>14178</v>
      </c>
      <c r="D81" t="s">
        <v>5928</v>
      </c>
      <c r="E81">
        <v>4</v>
      </c>
      <c r="F81" t="s">
        <v>5929</v>
      </c>
      <c r="G81" t="s">
        <v>640</v>
      </c>
      <c r="H81">
        <v>6199</v>
      </c>
    </row>
    <row r="82" spans="1:8" x14ac:dyDescent="0.25">
      <c r="A82" t="s">
        <v>14121</v>
      </c>
      <c r="B82" t="s">
        <v>14177</v>
      </c>
      <c r="C82" t="s">
        <v>14176</v>
      </c>
      <c r="D82" t="s">
        <v>4049</v>
      </c>
      <c r="E82">
        <v>10.84</v>
      </c>
      <c r="F82" t="s">
        <v>4050</v>
      </c>
      <c r="G82" t="s">
        <v>640</v>
      </c>
      <c r="H82">
        <v>6200</v>
      </c>
    </row>
    <row r="83" spans="1:8" x14ac:dyDescent="0.25">
      <c r="A83" t="s">
        <v>14121</v>
      </c>
      <c r="B83" t="s">
        <v>14175</v>
      </c>
      <c r="C83" t="s">
        <v>14174</v>
      </c>
      <c r="D83" t="s">
        <v>950</v>
      </c>
      <c r="E83">
        <v>1.68</v>
      </c>
      <c r="F83" t="s">
        <v>949</v>
      </c>
      <c r="G83" t="s">
        <v>640</v>
      </c>
      <c r="H83">
        <v>6201</v>
      </c>
    </row>
    <row r="84" spans="1:8" x14ac:dyDescent="0.25">
      <c r="A84" t="s">
        <v>14121</v>
      </c>
      <c r="B84" t="s">
        <v>14173</v>
      </c>
      <c r="C84" t="s">
        <v>14172</v>
      </c>
      <c r="D84" t="s">
        <v>11577</v>
      </c>
      <c r="E84">
        <v>3.56</v>
      </c>
      <c r="F84" t="s">
        <v>11576</v>
      </c>
      <c r="G84" t="s">
        <v>640</v>
      </c>
      <c r="H84">
        <v>6202</v>
      </c>
    </row>
    <row r="85" spans="1:8" x14ac:dyDescent="0.25">
      <c r="A85" t="s">
        <v>14121</v>
      </c>
      <c r="B85" t="s">
        <v>14171</v>
      </c>
      <c r="C85" t="s">
        <v>14170</v>
      </c>
      <c r="D85" t="s">
        <v>1592</v>
      </c>
      <c r="E85">
        <v>1.08</v>
      </c>
      <c r="F85" t="s">
        <v>1593</v>
      </c>
      <c r="G85" t="s">
        <v>640</v>
      </c>
      <c r="H85">
        <v>6203</v>
      </c>
    </row>
    <row r="86" spans="1:8" x14ac:dyDescent="0.25">
      <c r="A86" t="s">
        <v>14121</v>
      </c>
      <c r="B86" t="s">
        <v>14169</v>
      </c>
      <c r="C86" t="s">
        <v>14168</v>
      </c>
      <c r="D86" t="s">
        <v>2945</v>
      </c>
      <c r="E86">
        <v>3.66</v>
      </c>
      <c r="F86" t="s">
        <v>2946</v>
      </c>
      <c r="G86" t="s">
        <v>640</v>
      </c>
      <c r="H86">
        <v>6204</v>
      </c>
    </row>
    <row r="87" spans="1:8" x14ac:dyDescent="0.25">
      <c r="A87" t="s">
        <v>14121</v>
      </c>
      <c r="B87" t="s">
        <v>14167</v>
      </c>
      <c r="C87" t="s">
        <v>14166</v>
      </c>
      <c r="D87" t="s">
        <v>1042</v>
      </c>
      <c r="E87">
        <v>5.89</v>
      </c>
      <c r="F87" t="s">
        <v>1041</v>
      </c>
      <c r="G87" t="s">
        <v>640</v>
      </c>
      <c r="H87">
        <v>6205</v>
      </c>
    </row>
    <row r="88" spans="1:8" x14ac:dyDescent="0.25">
      <c r="A88" t="s">
        <v>14121</v>
      </c>
      <c r="B88" t="s">
        <v>14165</v>
      </c>
      <c r="C88" t="s">
        <v>14164</v>
      </c>
      <c r="D88" t="s">
        <v>964</v>
      </c>
      <c r="E88">
        <v>3.71</v>
      </c>
      <c r="F88" t="s">
        <v>963</v>
      </c>
      <c r="G88" t="s">
        <v>640</v>
      </c>
      <c r="H88">
        <v>6206</v>
      </c>
    </row>
    <row r="89" spans="1:8" x14ac:dyDescent="0.25">
      <c r="A89" t="s">
        <v>14121</v>
      </c>
      <c r="B89" t="s">
        <v>14163</v>
      </c>
      <c r="C89" t="s">
        <v>14162</v>
      </c>
      <c r="D89" t="s">
        <v>859</v>
      </c>
      <c r="E89">
        <v>5.28</v>
      </c>
      <c r="F89" t="s">
        <v>858</v>
      </c>
      <c r="G89" t="s">
        <v>640</v>
      </c>
      <c r="H89">
        <v>6207</v>
      </c>
    </row>
    <row r="90" spans="1:8" x14ac:dyDescent="0.25">
      <c r="A90" t="s">
        <v>14121</v>
      </c>
      <c r="B90" t="s">
        <v>14161</v>
      </c>
      <c r="C90" t="s">
        <v>14160</v>
      </c>
      <c r="D90" t="s">
        <v>4995</v>
      </c>
      <c r="E90">
        <v>3.96</v>
      </c>
      <c r="F90" t="s">
        <v>4996</v>
      </c>
      <c r="G90" t="s">
        <v>640</v>
      </c>
      <c r="H90">
        <v>6208</v>
      </c>
    </row>
    <row r="91" spans="1:8" x14ac:dyDescent="0.25">
      <c r="A91" t="s">
        <v>14121</v>
      </c>
      <c r="B91" t="s">
        <v>14159</v>
      </c>
      <c r="C91" t="s">
        <v>14158</v>
      </c>
      <c r="D91" t="s">
        <v>1178</v>
      </c>
      <c r="E91">
        <v>5.0199999999999996</v>
      </c>
      <c r="F91" t="s">
        <v>1177</v>
      </c>
      <c r="G91" t="s">
        <v>640</v>
      </c>
      <c r="H91">
        <v>6209</v>
      </c>
    </row>
    <row r="92" spans="1:8" x14ac:dyDescent="0.25">
      <c r="A92" t="s">
        <v>14121</v>
      </c>
      <c r="B92" t="s">
        <v>14157</v>
      </c>
      <c r="C92" t="s">
        <v>14156</v>
      </c>
      <c r="D92" t="s">
        <v>1199</v>
      </c>
      <c r="E92">
        <v>5.45</v>
      </c>
      <c r="F92" t="s">
        <v>1198</v>
      </c>
      <c r="G92" t="s">
        <v>640</v>
      </c>
      <c r="H92">
        <v>6210</v>
      </c>
    </row>
    <row r="93" spans="1:8" x14ac:dyDescent="0.25">
      <c r="A93" t="s">
        <v>14121</v>
      </c>
      <c r="B93" t="s">
        <v>14155</v>
      </c>
      <c r="C93" t="s">
        <v>14154</v>
      </c>
      <c r="D93" t="s">
        <v>883</v>
      </c>
      <c r="E93">
        <v>4.62</v>
      </c>
      <c r="F93" t="s">
        <v>882</v>
      </c>
      <c r="G93" t="s">
        <v>640</v>
      </c>
      <c r="H93">
        <v>6211</v>
      </c>
    </row>
    <row r="94" spans="1:8" x14ac:dyDescent="0.25">
      <c r="A94" t="s">
        <v>14121</v>
      </c>
      <c r="B94" t="s">
        <v>14153</v>
      </c>
      <c r="C94" t="s">
        <v>14152</v>
      </c>
      <c r="D94" t="s">
        <v>14151</v>
      </c>
      <c r="E94">
        <v>0.63</v>
      </c>
      <c r="F94" t="s">
        <v>14147</v>
      </c>
      <c r="G94" t="s">
        <v>640</v>
      </c>
      <c r="H94">
        <v>6212</v>
      </c>
    </row>
    <row r="95" spans="1:8" x14ac:dyDescent="0.25">
      <c r="A95" t="s">
        <v>14121</v>
      </c>
      <c r="B95" t="s">
        <v>14150</v>
      </c>
      <c r="C95" t="s">
        <v>14149</v>
      </c>
      <c r="D95" t="s">
        <v>14148</v>
      </c>
      <c r="E95">
        <v>5.04</v>
      </c>
      <c r="F95" t="s">
        <v>14147</v>
      </c>
      <c r="G95" t="s">
        <v>640</v>
      </c>
      <c r="H95">
        <v>6213</v>
      </c>
    </row>
    <row r="96" spans="1:8" x14ac:dyDescent="0.25">
      <c r="A96" t="s">
        <v>14121</v>
      </c>
      <c r="B96" t="s">
        <v>14146</v>
      </c>
      <c r="C96" t="s">
        <v>14145</v>
      </c>
      <c r="D96" t="s">
        <v>4550</v>
      </c>
      <c r="E96">
        <v>5.04</v>
      </c>
      <c r="F96" t="s">
        <v>4551</v>
      </c>
      <c r="G96" t="s">
        <v>640</v>
      </c>
      <c r="H96">
        <v>6214</v>
      </c>
    </row>
    <row r="97" spans="1:8" x14ac:dyDescent="0.25">
      <c r="A97" t="s">
        <v>14121</v>
      </c>
      <c r="B97" t="s">
        <v>14144</v>
      </c>
      <c r="C97" t="s">
        <v>14143</v>
      </c>
      <c r="D97" t="s">
        <v>14142</v>
      </c>
      <c r="E97">
        <v>19.14</v>
      </c>
      <c r="F97" t="s">
        <v>14141</v>
      </c>
      <c r="G97" t="s">
        <v>640</v>
      </c>
      <c r="H97">
        <v>6215</v>
      </c>
    </row>
    <row r="98" spans="1:8" x14ac:dyDescent="0.25">
      <c r="A98" t="s">
        <v>14121</v>
      </c>
      <c r="B98" t="s">
        <v>14140</v>
      </c>
      <c r="C98" t="s">
        <v>14139</v>
      </c>
      <c r="D98" t="s">
        <v>1314</v>
      </c>
      <c r="E98">
        <v>6.14</v>
      </c>
      <c r="F98" t="s">
        <v>1313</v>
      </c>
      <c r="G98" t="s">
        <v>640</v>
      </c>
      <c r="H98">
        <v>6216</v>
      </c>
    </row>
    <row r="99" spans="1:8" x14ac:dyDescent="0.25">
      <c r="A99" t="s">
        <v>14121</v>
      </c>
      <c r="B99" t="s">
        <v>14138</v>
      </c>
      <c r="C99" t="s">
        <v>14137</v>
      </c>
      <c r="D99" t="s">
        <v>3885</v>
      </c>
      <c r="E99">
        <v>2.31</v>
      </c>
      <c r="F99" t="s">
        <v>3886</v>
      </c>
      <c r="G99" t="s">
        <v>640</v>
      </c>
      <c r="H99">
        <v>6217</v>
      </c>
    </row>
    <row r="100" spans="1:8" x14ac:dyDescent="0.25">
      <c r="A100" t="s">
        <v>14121</v>
      </c>
      <c r="B100" t="s">
        <v>3374</v>
      </c>
      <c r="C100" t="s">
        <v>14136</v>
      </c>
      <c r="D100" t="s">
        <v>867</v>
      </c>
      <c r="E100">
        <v>2.63</v>
      </c>
      <c r="F100" t="s">
        <v>866</v>
      </c>
      <c r="G100" t="s">
        <v>640</v>
      </c>
      <c r="H100">
        <v>6218</v>
      </c>
    </row>
    <row r="101" spans="1:8" x14ac:dyDescent="0.25">
      <c r="A101" t="s">
        <v>14121</v>
      </c>
      <c r="B101" t="s">
        <v>14135</v>
      </c>
      <c r="C101" t="s">
        <v>14134</v>
      </c>
      <c r="D101" t="s">
        <v>1191</v>
      </c>
      <c r="E101">
        <v>3.36</v>
      </c>
      <c r="F101" t="s">
        <v>1190</v>
      </c>
      <c r="G101" t="s">
        <v>640</v>
      </c>
      <c r="H101">
        <v>6220</v>
      </c>
    </row>
    <row r="102" spans="1:8" x14ac:dyDescent="0.25">
      <c r="A102" t="s">
        <v>14121</v>
      </c>
      <c r="B102" t="s">
        <v>14133</v>
      </c>
      <c r="C102" t="s">
        <v>14132</v>
      </c>
      <c r="D102" t="s">
        <v>3945</v>
      </c>
      <c r="E102">
        <v>11.6</v>
      </c>
      <c r="F102" t="s">
        <v>3946</v>
      </c>
      <c r="G102" t="s">
        <v>640</v>
      </c>
      <c r="H102">
        <v>6221</v>
      </c>
    </row>
    <row r="103" spans="1:8" x14ac:dyDescent="0.25">
      <c r="A103" t="s">
        <v>14121</v>
      </c>
      <c r="B103" t="s">
        <v>14131</v>
      </c>
      <c r="C103" t="s">
        <v>14130</v>
      </c>
      <c r="D103" t="s">
        <v>1501</v>
      </c>
      <c r="E103">
        <v>23.45</v>
      </c>
      <c r="F103" t="s">
        <v>1500</v>
      </c>
      <c r="G103" t="s">
        <v>640</v>
      </c>
      <c r="H103">
        <v>6222</v>
      </c>
    </row>
    <row r="104" spans="1:8" x14ac:dyDescent="0.25">
      <c r="A104" t="s">
        <v>14121</v>
      </c>
      <c r="B104" t="s">
        <v>14129</v>
      </c>
      <c r="C104" t="s">
        <v>14128</v>
      </c>
      <c r="D104" t="s">
        <v>735</v>
      </c>
      <c r="E104">
        <v>4.4000000000000004</v>
      </c>
      <c r="F104" t="s">
        <v>734</v>
      </c>
      <c r="G104" t="s">
        <v>640</v>
      </c>
      <c r="H104">
        <v>6223</v>
      </c>
    </row>
    <row r="105" spans="1:8" x14ac:dyDescent="0.25">
      <c r="A105" t="s">
        <v>14121</v>
      </c>
      <c r="B105" t="s">
        <v>14127</v>
      </c>
      <c r="C105" t="s">
        <v>14126</v>
      </c>
      <c r="D105" t="s">
        <v>4774</v>
      </c>
      <c r="E105">
        <v>8.3800000000000008</v>
      </c>
      <c r="F105" t="s">
        <v>4775</v>
      </c>
      <c r="G105" t="s">
        <v>640</v>
      </c>
      <c r="H105">
        <v>6224</v>
      </c>
    </row>
    <row r="106" spans="1:8" x14ac:dyDescent="0.25">
      <c r="A106" t="s">
        <v>14121</v>
      </c>
      <c r="B106" t="s">
        <v>14125</v>
      </c>
      <c r="C106" t="s">
        <v>14124</v>
      </c>
      <c r="D106" t="s">
        <v>14123</v>
      </c>
      <c r="E106">
        <v>2.09</v>
      </c>
      <c r="F106" t="s">
        <v>14122</v>
      </c>
      <c r="G106" t="s">
        <v>640</v>
      </c>
      <c r="H106">
        <v>6225</v>
      </c>
    </row>
    <row r="107" spans="1:8" x14ac:dyDescent="0.25">
      <c r="A107" t="s">
        <v>14121</v>
      </c>
      <c r="B107" t="s">
        <v>14120</v>
      </c>
      <c r="C107" t="s">
        <v>14119</v>
      </c>
      <c r="D107" t="s">
        <v>14118</v>
      </c>
      <c r="E107">
        <v>4.79</v>
      </c>
      <c r="F107" t="s">
        <v>14117</v>
      </c>
      <c r="G107" t="s">
        <v>640</v>
      </c>
      <c r="H107">
        <v>6226</v>
      </c>
    </row>
    <row r="108" spans="1:8" x14ac:dyDescent="0.25">
      <c r="C108" s="220" t="s">
        <v>3738</v>
      </c>
      <c r="D108" s="210"/>
      <c r="E108" s="219">
        <f>SUM(E65:E107)</f>
        <v>276.22999999999996</v>
      </c>
    </row>
    <row r="109" spans="1:8" x14ac:dyDescent="0.25">
      <c r="A109" t="s">
        <v>14058</v>
      </c>
      <c r="B109" t="s">
        <v>14116</v>
      </c>
      <c r="C109" t="s">
        <v>14115</v>
      </c>
      <c r="D109" t="s">
        <v>4403</v>
      </c>
      <c r="E109">
        <v>7.4</v>
      </c>
      <c r="F109" t="s">
        <v>4404</v>
      </c>
      <c r="G109" t="s">
        <v>640</v>
      </c>
      <c r="H109">
        <v>6492</v>
      </c>
    </row>
    <row r="110" spans="1:8" x14ac:dyDescent="0.25">
      <c r="A110" t="s">
        <v>14058</v>
      </c>
      <c r="B110" t="s">
        <v>14114</v>
      </c>
      <c r="C110" t="s">
        <v>14113</v>
      </c>
      <c r="D110" t="s">
        <v>706</v>
      </c>
      <c r="E110">
        <v>8.3800000000000008</v>
      </c>
      <c r="F110" t="s">
        <v>705</v>
      </c>
      <c r="G110" t="s">
        <v>640</v>
      </c>
      <c r="H110">
        <v>6493</v>
      </c>
    </row>
    <row r="111" spans="1:8" x14ac:dyDescent="0.25">
      <c r="A111" t="s">
        <v>14058</v>
      </c>
      <c r="B111" t="s">
        <v>14112</v>
      </c>
      <c r="C111" t="s">
        <v>14111</v>
      </c>
      <c r="D111" t="s">
        <v>5422</v>
      </c>
      <c r="E111">
        <v>3.4</v>
      </c>
      <c r="F111" t="s">
        <v>5423</v>
      </c>
      <c r="G111" t="s">
        <v>640</v>
      </c>
      <c r="H111">
        <v>6494</v>
      </c>
    </row>
    <row r="112" spans="1:8" x14ac:dyDescent="0.25">
      <c r="A112" t="s">
        <v>14058</v>
      </c>
      <c r="B112" t="s">
        <v>14110</v>
      </c>
      <c r="C112" t="s">
        <v>14109</v>
      </c>
      <c r="D112" t="s">
        <v>894</v>
      </c>
      <c r="E112">
        <v>7.91</v>
      </c>
      <c r="F112" t="s">
        <v>893</v>
      </c>
      <c r="G112" t="s">
        <v>640</v>
      </c>
      <c r="H112">
        <v>6495</v>
      </c>
    </row>
    <row r="113" spans="1:8" x14ac:dyDescent="0.25">
      <c r="A113" t="s">
        <v>14058</v>
      </c>
      <c r="B113" t="s">
        <v>14108</v>
      </c>
      <c r="C113" t="s">
        <v>14107</v>
      </c>
      <c r="D113" t="s">
        <v>4169</v>
      </c>
      <c r="E113">
        <v>1.85</v>
      </c>
      <c r="F113" t="s">
        <v>4170</v>
      </c>
      <c r="G113" t="s">
        <v>640</v>
      </c>
      <c r="H113">
        <v>6496</v>
      </c>
    </row>
    <row r="114" spans="1:8" x14ac:dyDescent="0.25">
      <c r="A114" t="s">
        <v>14058</v>
      </c>
      <c r="B114" t="s">
        <v>14106</v>
      </c>
      <c r="C114" t="s">
        <v>14105</v>
      </c>
      <c r="D114" t="s">
        <v>11123</v>
      </c>
      <c r="E114">
        <v>2.46</v>
      </c>
      <c r="F114" t="s">
        <v>11122</v>
      </c>
      <c r="G114" t="s">
        <v>640</v>
      </c>
      <c r="H114">
        <v>6497</v>
      </c>
    </row>
    <row r="115" spans="1:8" x14ac:dyDescent="0.25">
      <c r="A115" t="s">
        <v>14058</v>
      </c>
      <c r="B115" t="s">
        <v>14104</v>
      </c>
      <c r="C115" t="s">
        <v>14103</v>
      </c>
      <c r="D115" t="s">
        <v>1384</v>
      </c>
      <c r="E115">
        <v>4.75</v>
      </c>
      <c r="F115" t="s">
        <v>1383</v>
      </c>
      <c r="G115" t="s">
        <v>640</v>
      </c>
      <c r="H115">
        <v>6498</v>
      </c>
    </row>
    <row r="116" spans="1:8" x14ac:dyDescent="0.25">
      <c r="A116" t="s">
        <v>14058</v>
      </c>
      <c r="B116" t="s">
        <v>14102</v>
      </c>
      <c r="C116" t="s">
        <v>14101</v>
      </c>
      <c r="D116" t="s">
        <v>14100</v>
      </c>
      <c r="E116">
        <v>7.02</v>
      </c>
      <c r="F116" t="s">
        <v>14099</v>
      </c>
      <c r="G116" t="s">
        <v>640</v>
      </c>
      <c r="H116">
        <v>6499</v>
      </c>
    </row>
    <row r="117" spans="1:8" x14ac:dyDescent="0.25">
      <c r="A117" t="s">
        <v>14058</v>
      </c>
      <c r="B117" t="s">
        <v>14098</v>
      </c>
      <c r="C117" t="s">
        <v>14097</v>
      </c>
      <c r="D117" t="s">
        <v>3866</v>
      </c>
      <c r="E117">
        <v>6.31</v>
      </c>
      <c r="F117" t="s">
        <v>3867</v>
      </c>
      <c r="G117" t="s">
        <v>640</v>
      </c>
      <c r="H117">
        <v>6500</v>
      </c>
    </row>
    <row r="118" spans="1:8" x14ac:dyDescent="0.25">
      <c r="A118" t="s">
        <v>14058</v>
      </c>
      <c r="B118" t="s">
        <v>14096</v>
      </c>
      <c r="C118" t="s">
        <v>14095</v>
      </c>
      <c r="D118" t="s">
        <v>934</v>
      </c>
      <c r="E118">
        <v>15.12</v>
      </c>
      <c r="F118" t="s">
        <v>933</v>
      </c>
      <c r="G118" t="s">
        <v>640</v>
      </c>
      <c r="H118">
        <v>6501</v>
      </c>
    </row>
    <row r="119" spans="1:8" x14ac:dyDescent="0.25">
      <c r="A119" t="s">
        <v>14058</v>
      </c>
      <c r="B119" t="s">
        <v>14094</v>
      </c>
      <c r="C119" t="s">
        <v>14093</v>
      </c>
      <c r="D119" t="s">
        <v>14092</v>
      </c>
      <c r="E119">
        <v>2.31</v>
      </c>
      <c r="F119" t="s">
        <v>14091</v>
      </c>
      <c r="G119" t="s">
        <v>640</v>
      </c>
      <c r="H119">
        <v>6502</v>
      </c>
    </row>
    <row r="120" spans="1:8" x14ac:dyDescent="0.25">
      <c r="A120" t="s">
        <v>14058</v>
      </c>
      <c r="B120" t="s">
        <v>14090</v>
      </c>
      <c r="C120" t="s">
        <v>14089</v>
      </c>
      <c r="D120" t="s">
        <v>905</v>
      </c>
      <c r="E120">
        <v>8.83</v>
      </c>
      <c r="F120" t="s">
        <v>904</v>
      </c>
      <c r="G120" t="s">
        <v>640</v>
      </c>
      <c r="H120">
        <v>6503</v>
      </c>
    </row>
    <row r="121" spans="1:8" x14ac:dyDescent="0.25">
      <c r="A121" t="s">
        <v>14058</v>
      </c>
      <c r="B121" t="s">
        <v>14088</v>
      </c>
      <c r="C121" t="s">
        <v>14087</v>
      </c>
      <c r="D121" t="s">
        <v>660</v>
      </c>
      <c r="E121">
        <v>4.88</v>
      </c>
      <c r="F121" t="s">
        <v>659</v>
      </c>
      <c r="G121" t="s">
        <v>640</v>
      </c>
      <c r="H121">
        <v>6504</v>
      </c>
    </row>
    <row r="122" spans="1:8" x14ac:dyDescent="0.25">
      <c r="A122" t="s">
        <v>14058</v>
      </c>
      <c r="B122" t="s">
        <v>14086</v>
      </c>
      <c r="C122" t="s">
        <v>14085</v>
      </c>
      <c r="D122" t="s">
        <v>3825</v>
      </c>
      <c r="E122">
        <v>2.21</v>
      </c>
      <c r="F122" t="s">
        <v>3826</v>
      </c>
      <c r="G122" t="s">
        <v>640</v>
      </c>
      <c r="H122">
        <v>6505</v>
      </c>
    </row>
    <row r="123" spans="1:8" x14ac:dyDescent="0.25">
      <c r="A123" t="s">
        <v>14058</v>
      </c>
      <c r="B123" t="s">
        <v>14084</v>
      </c>
      <c r="C123" t="s">
        <v>14083</v>
      </c>
      <c r="D123" t="s">
        <v>1335</v>
      </c>
      <c r="E123">
        <v>3.4</v>
      </c>
      <c r="F123" t="s">
        <v>1334</v>
      </c>
      <c r="G123" t="s">
        <v>640</v>
      </c>
      <c r="H123">
        <v>6506</v>
      </c>
    </row>
    <row r="124" spans="1:8" x14ac:dyDescent="0.25">
      <c r="A124" t="s">
        <v>14058</v>
      </c>
      <c r="B124" t="s">
        <v>14082</v>
      </c>
      <c r="C124" t="s">
        <v>14081</v>
      </c>
      <c r="D124" t="s">
        <v>14080</v>
      </c>
      <c r="E124">
        <v>12.78</v>
      </c>
      <c r="F124" t="s">
        <v>14079</v>
      </c>
      <c r="G124" t="s">
        <v>640</v>
      </c>
      <c r="H124">
        <v>6507</v>
      </c>
    </row>
    <row r="125" spans="1:8" x14ac:dyDescent="0.25">
      <c r="A125" t="s">
        <v>14058</v>
      </c>
      <c r="B125" t="s">
        <v>14078</v>
      </c>
      <c r="C125" t="s">
        <v>14077</v>
      </c>
      <c r="D125" t="s">
        <v>5056</v>
      </c>
      <c r="E125">
        <v>4.05</v>
      </c>
      <c r="F125" t="s">
        <v>5057</v>
      </c>
      <c r="G125" t="s">
        <v>640</v>
      </c>
      <c r="H125">
        <v>6508</v>
      </c>
    </row>
    <row r="126" spans="1:8" x14ac:dyDescent="0.25">
      <c r="A126" t="s">
        <v>14058</v>
      </c>
      <c r="B126" t="s">
        <v>14076</v>
      </c>
      <c r="C126" t="s">
        <v>14075</v>
      </c>
      <c r="D126" t="s">
        <v>4840</v>
      </c>
      <c r="E126">
        <v>4.5599999999999996</v>
      </c>
      <c r="F126" t="s">
        <v>4841</v>
      </c>
      <c r="G126" t="s">
        <v>640</v>
      </c>
      <c r="H126">
        <v>6509</v>
      </c>
    </row>
    <row r="127" spans="1:8" x14ac:dyDescent="0.25">
      <c r="A127" t="s">
        <v>14058</v>
      </c>
      <c r="B127" t="s">
        <v>14074</v>
      </c>
      <c r="C127" t="s">
        <v>14073</v>
      </c>
      <c r="D127" t="s">
        <v>1016</v>
      </c>
      <c r="E127">
        <v>14.37</v>
      </c>
      <c r="F127" t="s">
        <v>1015</v>
      </c>
      <c r="G127" t="s">
        <v>640</v>
      </c>
      <c r="H127">
        <v>6510</v>
      </c>
    </row>
    <row r="128" spans="1:8" x14ac:dyDescent="0.25">
      <c r="A128" t="s">
        <v>14058</v>
      </c>
      <c r="B128" t="s">
        <v>14072</v>
      </c>
      <c r="C128" t="s">
        <v>14071</v>
      </c>
      <c r="D128" t="s">
        <v>3687</v>
      </c>
      <c r="E128">
        <v>7.83</v>
      </c>
      <c r="F128" t="s">
        <v>3688</v>
      </c>
      <c r="G128" t="s">
        <v>640</v>
      </c>
      <c r="H128">
        <v>6511</v>
      </c>
    </row>
    <row r="129" spans="1:8" x14ac:dyDescent="0.25">
      <c r="A129" t="s">
        <v>14058</v>
      </c>
      <c r="B129" t="s">
        <v>14070</v>
      </c>
      <c r="C129" t="s">
        <v>14069</v>
      </c>
      <c r="D129" t="s">
        <v>13524</v>
      </c>
      <c r="E129">
        <v>5.44</v>
      </c>
      <c r="F129" t="s">
        <v>13523</v>
      </c>
      <c r="G129" t="s">
        <v>640</v>
      </c>
      <c r="H129">
        <v>6512</v>
      </c>
    </row>
    <row r="130" spans="1:8" x14ac:dyDescent="0.25">
      <c r="A130" t="s">
        <v>14058</v>
      </c>
      <c r="B130" t="s">
        <v>14068</v>
      </c>
      <c r="C130" t="s">
        <v>14067</v>
      </c>
      <c r="D130" t="s">
        <v>1382</v>
      </c>
      <c r="E130">
        <v>3.91</v>
      </c>
      <c r="F130" t="s">
        <v>1381</v>
      </c>
      <c r="G130" t="s">
        <v>640</v>
      </c>
      <c r="H130">
        <v>6513</v>
      </c>
    </row>
    <row r="131" spans="1:8" x14ac:dyDescent="0.25">
      <c r="A131" t="s">
        <v>14058</v>
      </c>
      <c r="B131" t="s">
        <v>14066</v>
      </c>
      <c r="C131" t="s">
        <v>14065</v>
      </c>
      <c r="D131" t="s">
        <v>1210</v>
      </c>
      <c r="E131">
        <v>10.94</v>
      </c>
      <c r="F131" t="s">
        <v>1209</v>
      </c>
      <c r="G131" t="s">
        <v>640</v>
      </c>
      <c r="H131">
        <v>6514</v>
      </c>
    </row>
    <row r="132" spans="1:8" x14ac:dyDescent="0.25">
      <c r="A132" t="s">
        <v>14058</v>
      </c>
      <c r="B132" t="s">
        <v>14064</v>
      </c>
      <c r="C132" t="s">
        <v>14063</v>
      </c>
      <c r="D132" t="s">
        <v>1150</v>
      </c>
      <c r="E132">
        <v>1.68</v>
      </c>
      <c r="F132" t="s">
        <v>1149</v>
      </c>
      <c r="G132" t="s">
        <v>640</v>
      </c>
      <c r="H132">
        <v>6515</v>
      </c>
    </row>
    <row r="133" spans="1:8" x14ac:dyDescent="0.25">
      <c r="A133" t="s">
        <v>14058</v>
      </c>
      <c r="B133" t="s">
        <v>14062</v>
      </c>
      <c r="C133" t="s">
        <v>14061</v>
      </c>
      <c r="D133" t="s">
        <v>652</v>
      </c>
      <c r="E133">
        <v>4.4000000000000004</v>
      </c>
      <c r="F133" t="s">
        <v>651</v>
      </c>
      <c r="G133" t="s">
        <v>640</v>
      </c>
      <c r="H133">
        <v>6516</v>
      </c>
    </row>
    <row r="134" spans="1:8" x14ac:dyDescent="0.25">
      <c r="A134" t="s">
        <v>14058</v>
      </c>
      <c r="B134" t="s">
        <v>14060</v>
      </c>
      <c r="C134" t="s">
        <v>14059</v>
      </c>
      <c r="D134" t="s">
        <v>4315</v>
      </c>
      <c r="E134">
        <v>5.75</v>
      </c>
      <c r="F134" t="s">
        <v>4316</v>
      </c>
      <c r="G134" t="s">
        <v>640</v>
      </c>
      <c r="H134">
        <v>6517</v>
      </c>
    </row>
    <row r="135" spans="1:8" x14ac:dyDescent="0.25">
      <c r="A135" t="s">
        <v>14058</v>
      </c>
      <c r="B135" t="s">
        <v>14057</v>
      </c>
      <c r="C135" t="s">
        <v>14056</v>
      </c>
      <c r="D135" t="s">
        <v>940</v>
      </c>
      <c r="E135">
        <v>25.5</v>
      </c>
      <c r="F135" t="s">
        <v>939</v>
      </c>
      <c r="G135" t="s">
        <v>640</v>
      </c>
      <c r="H135">
        <v>6518</v>
      </c>
    </row>
    <row r="136" spans="1:8" x14ac:dyDescent="0.25">
      <c r="C136" s="220" t="s">
        <v>3738</v>
      </c>
      <c r="D136" s="210"/>
      <c r="E136" s="219">
        <f>SUM(E109:E135)</f>
        <v>187.44000000000003</v>
      </c>
    </row>
    <row r="137" spans="1:8" x14ac:dyDescent="0.25">
      <c r="A137" t="s">
        <v>14015</v>
      </c>
      <c r="B137" t="s">
        <v>14055</v>
      </c>
      <c r="C137" t="s">
        <v>14054</v>
      </c>
      <c r="D137" t="s">
        <v>1454</v>
      </c>
      <c r="E137">
        <v>5.43</v>
      </c>
      <c r="F137" t="s">
        <v>1453</v>
      </c>
      <c r="G137" t="s">
        <v>640</v>
      </c>
      <c r="H137">
        <v>6634</v>
      </c>
    </row>
    <row r="138" spans="1:8" x14ac:dyDescent="0.25">
      <c r="A138" t="s">
        <v>14015</v>
      </c>
      <c r="B138" t="s">
        <v>14053</v>
      </c>
      <c r="C138" t="s">
        <v>14052</v>
      </c>
      <c r="D138" t="s">
        <v>1068</v>
      </c>
      <c r="E138">
        <v>1.68</v>
      </c>
      <c r="F138" t="s">
        <v>1067</v>
      </c>
      <c r="G138" t="s">
        <v>640</v>
      </c>
      <c r="H138">
        <v>6635</v>
      </c>
    </row>
    <row r="139" spans="1:8" x14ac:dyDescent="0.25">
      <c r="A139" t="s">
        <v>14015</v>
      </c>
      <c r="B139" t="s">
        <v>14051</v>
      </c>
      <c r="C139" t="s">
        <v>14050</v>
      </c>
      <c r="D139" t="s">
        <v>14049</v>
      </c>
      <c r="E139">
        <v>1.87</v>
      </c>
      <c r="F139" t="s">
        <v>14048</v>
      </c>
      <c r="G139" t="s">
        <v>640</v>
      </c>
      <c r="H139">
        <v>6636</v>
      </c>
    </row>
    <row r="140" spans="1:8" x14ac:dyDescent="0.25">
      <c r="A140" t="s">
        <v>14015</v>
      </c>
      <c r="B140" t="s">
        <v>14047</v>
      </c>
      <c r="C140" t="s">
        <v>14046</v>
      </c>
      <c r="D140" t="s">
        <v>4093</v>
      </c>
      <c r="E140">
        <v>1.72</v>
      </c>
      <c r="F140" t="s">
        <v>4094</v>
      </c>
      <c r="G140" t="s">
        <v>640</v>
      </c>
      <c r="H140">
        <v>6637</v>
      </c>
    </row>
    <row r="141" spans="1:8" x14ac:dyDescent="0.25">
      <c r="A141" t="s">
        <v>14015</v>
      </c>
      <c r="B141" t="s">
        <v>14045</v>
      </c>
      <c r="C141" t="s">
        <v>14044</v>
      </c>
      <c r="D141" t="s">
        <v>14043</v>
      </c>
      <c r="E141">
        <v>2.57</v>
      </c>
      <c r="F141" t="s">
        <v>14042</v>
      </c>
      <c r="G141" t="s">
        <v>640</v>
      </c>
      <c r="H141">
        <v>6638</v>
      </c>
    </row>
    <row r="142" spans="1:8" x14ac:dyDescent="0.25">
      <c r="A142" t="s">
        <v>14015</v>
      </c>
      <c r="B142" t="s">
        <v>13859</v>
      </c>
      <c r="C142" t="s">
        <v>14041</v>
      </c>
      <c r="D142" t="s">
        <v>14040</v>
      </c>
      <c r="E142">
        <v>3.53</v>
      </c>
      <c r="F142" t="s">
        <v>14039</v>
      </c>
      <c r="G142" t="s">
        <v>640</v>
      </c>
      <c r="H142">
        <v>6639</v>
      </c>
    </row>
    <row r="143" spans="1:8" x14ac:dyDescent="0.25">
      <c r="A143" t="s">
        <v>14015</v>
      </c>
      <c r="B143" t="s">
        <v>14038</v>
      </c>
      <c r="C143" t="s">
        <v>14037</v>
      </c>
      <c r="D143" t="s">
        <v>930</v>
      </c>
      <c r="E143">
        <v>41.47</v>
      </c>
      <c r="F143" t="s">
        <v>929</v>
      </c>
      <c r="G143" t="s">
        <v>640</v>
      </c>
      <c r="H143">
        <v>6640</v>
      </c>
    </row>
    <row r="144" spans="1:8" x14ac:dyDescent="0.25">
      <c r="A144" t="s">
        <v>14015</v>
      </c>
      <c r="B144" t="s">
        <v>14036</v>
      </c>
      <c r="C144" t="s">
        <v>14035</v>
      </c>
      <c r="D144" t="s">
        <v>644</v>
      </c>
      <c r="E144">
        <v>8.81</v>
      </c>
      <c r="F144" t="s">
        <v>643</v>
      </c>
      <c r="G144" t="s">
        <v>640</v>
      </c>
      <c r="H144">
        <v>6641</v>
      </c>
    </row>
    <row r="145" spans="1:8" x14ac:dyDescent="0.25">
      <c r="A145" t="s">
        <v>14015</v>
      </c>
      <c r="B145" t="s">
        <v>14034</v>
      </c>
      <c r="C145" t="s">
        <v>14033</v>
      </c>
      <c r="D145" t="s">
        <v>972</v>
      </c>
      <c r="E145">
        <v>1.72</v>
      </c>
      <c r="F145" t="s">
        <v>971</v>
      </c>
      <c r="G145" t="s">
        <v>640</v>
      </c>
      <c r="H145">
        <v>6642</v>
      </c>
    </row>
    <row r="146" spans="1:8" x14ac:dyDescent="0.25">
      <c r="A146" t="s">
        <v>14015</v>
      </c>
      <c r="B146" t="s">
        <v>14032</v>
      </c>
      <c r="C146" t="s">
        <v>14031</v>
      </c>
      <c r="D146" t="s">
        <v>1001</v>
      </c>
      <c r="E146">
        <v>3.41</v>
      </c>
      <c r="F146" t="s">
        <v>1000</v>
      </c>
      <c r="G146" t="s">
        <v>640</v>
      </c>
      <c r="H146">
        <v>6643</v>
      </c>
    </row>
    <row r="147" spans="1:8" x14ac:dyDescent="0.25">
      <c r="A147" t="s">
        <v>14015</v>
      </c>
      <c r="B147" t="s">
        <v>14030</v>
      </c>
      <c r="C147" t="s">
        <v>14029</v>
      </c>
      <c r="D147" t="s">
        <v>14028</v>
      </c>
      <c r="E147">
        <v>5.17</v>
      </c>
      <c r="F147" t="s">
        <v>14027</v>
      </c>
      <c r="G147" t="s">
        <v>640</v>
      </c>
      <c r="H147">
        <v>6644</v>
      </c>
    </row>
    <row r="148" spans="1:8" x14ac:dyDescent="0.25">
      <c r="A148" t="s">
        <v>14015</v>
      </c>
      <c r="B148" t="s">
        <v>14026</v>
      </c>
      <c r="C148" t="s">
        <v>14025</v>
      </c>
      <c r="D148" t="s">
        <v>741</v>
      </c>
      <c r="E148">
        <v>2.81</v>
      </c>
      <c r="F148" t="s">
        <v>740</v>
      </c>
      <c r="G148" t="s">
        <v>640</v>
      </c>
      <c r="H148">
        <v>6645</v>
      </c>
    </row>
    <row r="149" spans="1:8" x14ac:dyDescent="0.25">
      <c r="A149" t="s">
        <v>14015</v>
      </c>
      <c r="B149" t="s">
        <v>3548</v>
      </c>
      <c r="C149" t="s">
        <v>14024</v>
      </c>
      <c r="D149" t="s">
        <v>4479</v>
      </c>
      <c r="E149">
        <v>3.77</v>
      </c>
      <c r="F149" t="s">
        <v>4480</v>
      </c>
      <c r="G149" t="s">
        <v>640</v>
      </c>
      <c r="H149">
        <v>6646</v>
      </c>
    </row>
    <row r="150" spans="1:8" x14ac:dyDescent="0.25">
      <c r="A150" t="s">
        <v>14015</v>
      </c>
      <c r="B150" t="s">
        <v>14023</v>
      </c>
      <c r="C150" t="s">
        <v>14022</v>
      </c>
      <c r="D150" t="s">
        <v>1446</v>
      </c>
      <c r="E150">
        <v>13.88</v>
      </c>
      <c r="F150" t="s">
        <v>1445</v>
      </c>
      <c r="G150" t="s">
        <v>640</v>
      </c>
      <c r="H150">
        <v>6647</v>
      </c>
    </row>
    <row r="151" spans="1:8" x14ac:dyDescent="0.25">
      <c r="A151" t="s">
        <v>14015</v>
      </c>
      <c r="B151" t="s">
        <v>14021</v>
      </c>
      <c r="C151" t="s">
        <v>14020</v>
      </c>
      <c r="D151" t="s">
        <v>974</v>
      </c>
      <c r="E151">
        <v>8.69</v>
      </c>
      <c r="F151" t="s">
        <v>973</v>
      </c>
      <c r="G151" t="s">
        <v>640</v>
      </c>
      <c r="H151">
        <v>6648</v>
      </c>
    </row>
    <row r="152" spans="1:8" x14ac:dyDescent="0.25">
      <c r="A152" t="s">
        <v>14015</v>
      </c>
      <c r="B152" t="s">
        <v>14019</v>
      </c>
      <c r="C152" t="s">
        <v>14018</v>
      </c>
      <c r="D152" t="s">
        <v>14017</v>
      </c>
      <c r="E152">
        <v>5.8</v>
      </c>
      <c r="F152" t="s">
        <v>14016</v>
      </c>
      <c r="G152" t="s">
        <v>640</v>
      </c>
      <c r="H152">
        <v>6649</v>
      </c>
    </row>
    <row r="153" spans="1:8" x14ac:dyDescent="0.25">
      <c r="A153" t="s">
        <v>14015</v>
      </c>
      <c r="B153" t="s">
        <v>14014</v>
      </c>
      <c r="C153" t="s">
        <v>14013</v>
      </c>
      <c r="D153" t="s">
        <v>995</v>
      </c>
      <c r="E153">
        <v>2.35</v>
      </c>
      <c r="F153" t="s">
        <v>994</v>
      </c>
      <c r="G153" t="s">
        <v>640</v>
      </c>
      <c r="H153">
        <v>6650</v>
      </c>
    </row>
    <row r="154" spans="1:8" x14ac:dyDescent="0.25">
      <c r="C154" s="220" t="s">
        <v>3578</v>
      </c>
      <c r="D154" s="210"/>
      <c r="E154" s="219">
        <f>SUM(E137:E153)</f>
        <v>114.67999999999998</v>
      </c>
    </row>
    <row r="155" spans="1:8" x14ac:dyDescent="0.25">
      <c r="A155" t="s">
        <v>13960</v>
      </c>
      <c r="B155" t="s">
        <v>14012</v>
      </c>
      <c r="C155" t="s">
        <v>14011</v>
      </c>
      <c r="D155" t="s">
        <v>11103</v>
      </c>
      <c r="E155">
        <v>1.86</v>
      </c>
      <c r="F155" t="s">
        <v>11102</v>
      </c>
      <c r="G155" t="s">
        <v>640</v>
      </c>
      <c r="H155">
        <v>6680</v>
      </c>
    </row>
    <row r="156" spans="1:8" x14ac:dyDescent="0.25">
      <c r="A156" t="s">
        <v>13960</v>
      </c>
      <c r="B156" t="s">
        <v>14010</v>
      </c>
      <c r="C156" t="s">
        <v>14009</v>
      </c>
      <c r="D156" t="s">
        <v>5090</v>
      </c>
      <c r="E156">
        <v>8.85</v>
      </c>
      <c r="F156" t="s">
        <v>5091</v>
      </c>
      <c r="G156" t="s">
        <v>640</v>
      </c>
      <c r="H156">
        <v>6681</v>
      </c>
    </row>
    <row r="157" spans="1:8" x14ac:dyDescent="0.25">
      <c r="A157" t="s">
        <v>13960</v>
      </c>
      <c r="B157" t="s">
        <v>3887</v>
      </c>
      <c r="C157" t="s">
        <v>14008</v>
      </c>
      <c r="D157" t="s">
        <v>4735</v>
      </c>
      <c r="E157">
        <v>1.71</v>
      </c>
      <c r="F157" t="s">
        <v>4736</v>
      </c>
      <c r="G157" t="s">
        <v>640</v>
      </c>
      <c r="H157">
        <v>6682</v>
      </c>
    </row>
    <row r="158" spans="1:8" x14ac:dyDescent="0.25">
      <c r="A158" t="s">
        <v>13960</v>
      </c>
      <c r="B158" t="s">
        <v>2650</v>
      </c>
      <c r="C158" t="s">
        <v>14007</v>
      </c>
      <c r="D158" t="s">
        <v>3418</v>
      </c>
      <c r="E158">
        <v>1.23</v>
      </c>
      <c r="F158" t="s">
        <v>3419</v>
      </c>
      <c r="G158" t="s">
        <v>640</v>
      </c>
      <c r="H158">
        <v>6683</v>
      </c>
    </row>
    <row r="159" spans="1:8" x14ac:dyDescent="0.25">
      <c r="A159" t="s">
        <v>13960</v>
      </c>
      <c r="B159" t="s">
        <v>14006</v>
      </c>
      <c r="C159" t="s">
        <v>14005</v>
      </c>
      <c r="D159" t="s">
        <v>5875</v>
      </c>
      <c r="E159">
        <v>0.4</v>
      </c>
      <c r="F159" t="s">
        <v>5876</v>
      </c>
      <c r="G159" t="s">
        <v>640</v>
      </c>
      <c r="H159">
        <v>6684</v>
      </c>
    </row>
    <row r="160" spans="1:8" x14ac:dyDescent="0.25">
      <c r="A160" t="s">
        <v>13960</v>
      </c>
      <c r="B160" t="s">
        <v>14004</v>
      </c>
      <c r="C160" t="s">
        <v>14003</v>
      </c>
      <c r="D160" t="s">
        <v>1511</v>
      </c>
      <c r="E160">
        <v>2.25</v>
      </c>
      <c r="F160" t="s">
        <v>1510</v>
      </c>
      <c r="G160" t="s">
        <v>640</v>
      </c>
      <c r="H160">
        <v>6685</v>
      </c>
    </row>
    <row r="161" spans="1:8" x14ac:dyDescent="0.25">
      <c r="A161" t="s">
        <v>13960</v>
      </c>
      <c r="B161" t="s">
        <v>14002</v>
      </c>
      <c r="C161" t="s">
        <v>14001</v>
      </c>
      <c r="D161" t="s">
        <v>4471</v>
      </c>
      <c r="E161">
        <v>5.38</v>
      </c>
      <c r="F161" t="s">
        <v>4472</v>
      </c>
      <c r="G161" t="s">
        <v>640</v>
      </c>
      <c r="H161">
        <v>6686</v>
      </c>
    </row>
    <row r="162" spans="1:8" x14ac:dyDescent="0.25">
      <c r="A162" t="s">
        <v>13960</v>
      </c>
      <c r="B162" t="s">
        <v>14000</v>
      </c>
      <c r="C162" t="s">
        <v>13999</v>
      </c>
      <c r="D162" t="s">
        <v>4535</v>
      </c>
      <c r="E162">
        <v>5.89</v>
      </c>
      <c r="F162" t="s">
        <v>4536</v>
      </c>
      <c r="G162" t="s">
        <v>640</v>
      </c>
      <c r="H162">
        <v>6687</v>
      </c>
    </row>
    <row r="163" spans="1:8" x14ac:dyDescent="0.25">
      <c r="A163" t="s">
        <v>13960</v>
      </c>
      <c r="B163" t="s">
        <v>13998</v>
      </c>
      <c r="C163" t="s">
        <v>13997</v>
      </c>
      <c r="D163" t="s">
        <v>1481</v>
      </c>
      <c r="E163">
        <v>5.1100000000000003</v>
      </c>
      <c r="F163" t="s">
        <v>1479</v>
      </c>
      <c r="G163" t="s">
        <v>640</v>
      </c>
      <c r="H163">
        <v>6688</v>
      </c>
    </row>
    <row r="164" spans="1:8" x14ac:dyDescent="0.25">
      <c r="A164" t="s">
        <v>13960</v>
      </c>
      <c r="B164" t="s">
        <v>13996</v>
      </c>
      <c r="C164" t="s">
        <v>13995</v>
      </c>
      <c r="D164" t="s">
        <v>1480</v>
      </c>
      <c r="E164">
        <v>6.4</v>
      </c>
      <c r="F164" t="s">
        <v>1479</v>
      </c>
      <c r="G164" t="s">
        <v>640</v>
      </c>
      <c r="H164">
        <v>6689</v>
      </c>
    </row>
    <row r="165" spans="1:8" x14ac:dyDescent="0.25">
      <c r="A165" t="s">
        <v>13960</v>
      </c>
      <c r="B165" t="s">
        <v>13994</v>
      </c>
      <c r="C165" t="s">
        <v>13993</v>
      </c>
      <c r="D165" t="s">
        <v>13992</v>
      </c>
      <c r="E165">
        <v>7.82</v>
      </c>
      <c r="F165" t="s">
        <v>13991</v>
      </c>
      <c r="G165" t="s">
        <v>640</v>
      </c>
      <c r="H165">
        <v>6690</v>
      </c>
    </row>
    <row r="166" spans="1:8" x14ac:dyDescent="0.25">
      <c r="A166" t="s">
        <v>13960</v>
      </c>
      <c r="B166" t="s">
        <v>13990</v>
      </c>
      <c r="C166" t="s">
        <v>13989</v>
      </c>
      <c r="D166" t="s">
        <v>4801</v>
      </c>
      <c r="E166">
        <v>1.68</v>
      </c>
      <c r="F166" t="s">
        <v>4802</v>
      </c>
      <c r="G166" t="s">
        <v>640</v>
      </c>
      <c r="H166">
        <v>6691</v>
      </c>
    </row>
    <row r="167" spans="1:8" x14ac:dyDescent="0.25">
      <c r="A167" t="s">
        <v>13960</v>
      </c>
      <c r="B167" t="s">
        <v>13988</v>
      </c>
      <c r="C167" t="s">
        <v>13987</v>
      </c>
      <c r="D167" t="s">
        <v>4785</v>
      </c>
      <c r="E167">
        <v>3.74</v>
      </c>
      <c r="F167" t="s">
        <v>4786</v>
      </c>
      <c r="G167" t="s">
        <v>640</v>
      </c>
      <c r="H167">
        <v>6692</v>
      </c>
    </row>
    <row r="168" spans="1:8" x14ac:dyDescent="0.25">
      <c r="A168" t="s">
        <v>13960</v>
      </c>
      <c r="B168" t="s">
        <v>13986</v>
      </c>
      <c r="C168" t="s">
        <v>13985</v>
      </c>
      <c r="D168" t="s">
        <v>4560</v>
      </c>
      <c r="E168">
        <v>5.04</v>
      </c>
      <c r="F168" t="s">
        <v>4561</v>
      </c>
      <c r="G168" t="s">
        <v>640</v>
      </c>
      <c r="H168">
        <v>6693</v>
      </c>
    </row>
    <row r="169" spans="1:8" x14ac:dyDescent="0.25">
      <c r="A169" t="s">
        <v>13960</v>
      </c>
      <c r="B169" t="s">
        <v>13984</v>
      </c>
      <c r="C169" t="s">
        <v>13983</v>
      </c>
      <c r="D169" t="s">
        <v>1203</v>
      </c>
      <c r="E169">
        <v>5.04</v>
      </c>
      <c r="F169" t="s">
        <v>1202</v>
      </c>
      <c r="G169" t="s">
        <v>640</v>
      </c>
      <c r="H169">
        <v>6694</v>
      </c>
    </row>
    <row r="170" spans="1:8" x14ac:dyDescent="0.25">
      <c r="A170" t="s">
        <v>13960</v>
      </c>
      <c r="B170" t="s">
        <v>13982</v>
      </c>
      <c r="C170" t="s">
        <v>13981</v>
      </c>
      <c r="D170" t="s">
        <v>13980</v>
      </c>
      <c r="E170">
        <v>12.71</v>
      </c>
      <c r="F170" t="s">
        <v>13979</v>
      </c>
      <c r="G170" t="s">
        <v>640</v>
      </c>
      <c r="H170">
        <v>6695</v>
      </c>
    </row>
    <row r="171" spans="1:8" x14ac:dyDescent="0.25">
      <c r="A171" t="s">
        <v>13960</v>
      </c>
      <c r="B171" t="s">
        <v>13978</v>
      </c>
      <c r="C171" t="s">
        <v>13977</v>
      </c>
      <c r="D171" t="s">
        <v>4245</v>
      </c>
      <c r="E171">
        <v>15.79</v>
      </c>
      <c r="F171" t="s">
        <v>4246</v>
      </c>
      <c r="G171" t="s">
        <v>640</v>
      </c>
      <c r="H171">
        <v>6696</v>
      </c>
    </row>
    <row r="172" spans="1:8" x14ac:dyDescent="0.25">
      <c r="A172" t="s">
        <v>13960</v>
      </c>
      <c r="B172" t="s">
        <v>13976</v>
      </c>
      <c r="C172" t="s">
        <v>13975</v>
      </c>
      <c r="D172" t="s">
        <v>13974</v>
      </c>
      <c r="E172">
        <v>0.66</v>
      </c>
      <c r="F172" t="s">
        <v>4956</v>
      </c>
      <c r="G172" t="s">
        <v>640</v>
      </c>
      <c r="H172">
        <v>6697</v>
      </c>
    </row>
    <row r="173" spans="1:8" x14ac:dyDescent="0.25">
      <c r="A173" t="s">
        <v>13960</v>
      </c>
      <c r="B173" t="s">
        <v>13973</v>
      </c>
      <c r="C173" t="s">
        <v>13972</v>
      </c>
      <c r="D173" t="s">
        <v>982</v>
      </c>
      <c r="E173">
        <v>5.79</v>
      </c>
      <c r="F173" t="s">
        <v>981</v>
      </c>
      <c r="G173" t="s">
        <v>640</v>
      </c>
      <c r="H173">
        <v>6698</v>
      </c>
    </row>
    <row r="174" spans="1:8" x14ac:dyDescent="0.25">
      <c r="A174" t="s">
        <v>13960</v>
      </c>
      <c r="B174" t="s">
        <v>13971</v>
      </c>
      <c r="C174" t="s">
        <v>13970</v>
      </c>
      <c r="D174" t="s">
        <v>999</v>
      </c>
      <c r="E174">
        <v>1.89</v>
      </c>
      <c r="F174" t="s">
        <v>998</v>
      </c>
      <c r="G174" t="s">
        <v>640</v>
      </c>
      <c r="H174">
        <v>6699</v>
      </c>
    </row>
    <row r="175" spans="1:8" x14ac:dyDescent="0.25">
      <c r="A175" t="s">
        <v>13960</v>
      </c>
      <c r="B175" t="s">
        <v>13969</v>
      </c>
      <c r="C175" t="s">
        <v>13968</v>
      </c>
      <c r="D175" t="s">
        <v>13967</v>
      </c>
      <c r="E175">
        <v>0.9</v>
      </c>
      <c r="F175" t="s">
        <v>13966</v>
      </c>
      <c r="G175" t="s">
        <v>640</v>
      </c>
      <c r="H175" t="s">
        <v>13965</v>
      </c>
    </row>
    <row r="176" spans="1:8" x14ac:dyDescent="0.25">
      <c r="A176" t="s">
        <v>13960</v>
      </c>
      <c r="B176" t="s">
        <v>13964</v>
      </c>
      <c r="C176" t="s">
        <v>13963</v>
      </c>
      <c r="D176" t="s">
        <v>13962</v>
      </c>
      <c r="E176">
        <v>23.11</v>
      </c>
      <c r="F176" t="s">
        <v>13961</v>
      </c>
      <c r="G176" t="s">
        <v>640</v>
      </c>
      <c r="H176">
        <v>6701</v>
      </c>
    </row>
    <row r="177" spans="1:8" x14ac:dyDescent="0.25">
      <c r="A177" t="s">
        <v>13960</v>
      </c>
      <c r="B177" t="s">
        <v>13959</v>
      </c>
      <c r="C177" t="s">
        <v>13958</v>
      </c>
      <c r="D177" t="s">
        <v>980</v>
      </c>
      <c r="E177">
        <v>25.84</v>
      </c>
      <c r="F177" t="s">
        <v>979</v>
      </c>
      <c r="G177" t="s">
        <v>640</v>
      </c>
      <c r="H177">
        <v>6702</v>
      </c>
    </row>
    <row r="178" spans="1:8" x14ac:dyDescent="0.25">
      <c r="C178" s="220" t="s">
        <v>3578</v>
      </c>
      <c r="D178" s="210"/>
      <c r="E178" s="219">
        <f>SUM(E155:E177)</f>
        <v>149.09</v>
      </c>
    </row>
    <row r="179" spans="1:8" x14ac:dyDescent="0.25">
      <c r="A179" t="s">
        <v>13882</v>
      </c>
      <c r="B179" t="s">
        <v>13957</v>
      </c>
      <c r="C179" t="s">
        <v>13956</v>
      </c>
      <c r="D179" t="s">
        <v>13955</v>
      </c>
      <c r="E179">
        <v>1.78</v>
      </c>
      <c r="F179" t="s">
        <v>13954</v>
      </c>
      <c r="G179" t="s">
        <v>640</v>
      </c>
      <c r="H179">
        <v>6757</v>
      </c>
    </row>
    <row r="180" spans="1:8" x14ac:dyDescent="0.25">
      <c r="A180" t="s">
        <v>13882</v>
      </c>
      <c r="B180" t="s">
        <v>13953</v>
      </c>
      <c r="C180" t="s">
        <v>13952</v>
      </c>
      <c r="D180" t="s">
        <v>5229</v>
      </c>
      <c r="E180">
        <v>5.3</v>
      </c>
      <c r="F180" t="s">
        <v>5230</v>
      </c>
      <c r="G180" t="s">
        <v>640</v>
      </c>
      <c r="H180">
        <v>6758</v>
      </c>
    </row>
    <row r="181" spans="1:8" x14ac:dyDescent="0.25">
      <c r="A181" t="s">
        <v>13882</v>
      </c>
      <c r="B181" t="s">
        <v>13951</v>
      </c>
      <c r="C181" t="s">
        <v>13950</v>
      </c>
      <c r="D181" t="s">
        <v>731</v>
      </c>
      <c r="E181">
        <v>5.09</v>
      </c>
      <c r="F181" t="s">
        <v>730</v>
      </c>
      <c r="G181" t="s">
        <v>640</v>
      </c>
      <c r="H181">
        <v>6759</v>
      </c>
    </row>
    <row r="182" spans="1:8" x14ac:dyDescent="0.25">
      <c r="A182" t="s">
        <v>13882</v>
      </c>
      <c r="B182" t="s">
        <v>13949</v>
      </c>
      <c r="C182" t="s">
        <v>13948</v>
      </c>
      <c r="D182" t="s">
        <v>1325</v>
      </c>
      <c r="E182">
        <v>3.81</v>
      </c>
      <c r="F182" t="s">
        <v>1324</v>
      </c>
      <c r="G182" t="s">
        <v>640</v>
      </c>
      <c r="H182">
        <v>6760</v>
      </c>
    </row>
    <row r="183" spans="1:8" x14ac:dyDescent="0.25">
      <c r="A183" t="s">
        <v>13882</v>
      </c>
      <c r="B183" t="s">
        <v>13947</v>
      </c>
      <c r="C183" t="s">
        <v>13946</v>
      </c>
      <c r="D183" t="s">
        <v>4335</v>
      </c>
      <c r="E183">
        <v>5.68</v>
      </c>
      <c r="F183" t="s">
        <v>4336</v>
      </c>
      <c r="G183" t="s">
        <v>640</v>
      </c>
      <c r="H183">
        <v>6761</v>
      </c>
    </row>
    <row r="184" spans="1:8" x14ac:dyDescent="0.25">
      <c r="A184" t="s">
        <v>13882</v>
      </c>
      <c r="B184" t="s">
        <v>13945</v>
      </c>
      <c r="C184" t="s">
        <v>13944</v>
      </c>
      <c r="D184" t="s">
        <v>825</v>
      </c>
      <c r="E184">
        <v>4.96</v>
      </c>
      <c r="F184" t="s">
        <v>824</v>
      </c>
      <c r="G184" t="s">
        <v>640</v>
      </c>
      <c r="H184">
        <v>6762</v>
      </c>
    </row>
    <row r="185" spans="1:8" x14ac:dyDescent="0.25">
      <c r="A185" t="s">
        <v>13882</v>
      </c>
      <c r="B185" t="s">
        <v>13943</v>
      </c>
      <c r="C185" t="s">
        <v>13942</v>
      </c>
      <c r="D185" t="s">
        <v>4870</v>
      </c>
      <c r="E185">
        <v>3.42</v>
      </c>
      <c r="F185" t="s">
        <v>4871</v>
      </c>
      <c r="G185" t="s">
        <v>640</v>
      </c>
      <c r="H185">
        <v>6763</v>
      </c>
    </row>
    <row r="186" spans="1:8" x14ac:dyDescent="0.25">
      <c r="A186" t="s">
        <v>13882</v>
      </c>
      <c r="B186" t="s">
        <v>13941</v>
      </c>
      <c r="C186" t="s">
        <v>13940</v>
      </c>
      <c r="D186" t="s">
        <v>3981</v>
      </c>
      <c r="E186">
        <v>8.32</v>
      </c>
      <c r="F186" t="s">
        <v>3982</v>
      </c>
      <c r="G186" t="s">
        <v>640</v>
      </c>
      <c r="H186">
        <v>6764</v>
      </c>
    </row>
    <row r="187" spans="1:8" x14ac:dyDescent="0.25">
      <c r="A187" t="s">
        <v>13882</v>
      </c>
      <c r="B187" t="s">
        <v>13939</v>
      </c>
      <c r="C187" t="s">
        <v>13938</v>
      </c>
      <c r="D187" t="s">
        <v>1083</v>
      </c>
      <c r="E187">
        <v>33.06</v>
      </c>
      <c r="F187" t="s">
        <v>1385</v>
      </c>
      <c r="G187" t="s">
        <v>640</v>
      </c>
      <c r="H187">
        <v>6765</v>
      </c>
    </row>
    <row r="188" spans="1:8" x14ac:dyDescent="0.25">
      <c r="A188" t="s">
        <v>13882</v>
      </c>
      <c r="B188" t="s">
        <v>13937</v>
      </c>
      <c r="C188" t="s">
        <v>13936</v>
      </c>
      <c r="D188" t="s">
        <v>1233</v>
      </c>
      <c r="E188">
        <v>4.8099999999999996</v>
      </c>
      <c r="F188" t="s">
        <v>1232</v>
      </c>
      <c r="G188" t="s">
        <v>640</v>
      </c>
      <c r="H188">
        <v>6766</v>
      </c>
    </row>
    <row r="189" spans="1:8" x14ac:dyDescent="0.25">
      <c r="A189" t="s">
        <v>13882</v>
      </c>
      <c r="B189" t="s">
        <v>13935</v>
      </c>
      <c r="C189" t="s">
        <v>13934</v>
      </c>
      <c r="D189" t="s">
        <v>814</v>
      </c>
      <c r="E189">
        <v>10.01</v>
      </c>
      <c r="F189" t="s">
        <v>813</v>
      </c>
      <c r="G189" t="s">
        <v>640</v>
      </c>
      <c r="H189">
        <v>6767</v>
      </c>
    </row>
    <row r="190" spans="1:8" x14ac:dyDescent="0.25">
      <c r="A190" t="s">
        <v>13882</v>
      </c>
      <c r="B190" t="s">
        <v>13933</v>
      </c>
      <c r="C190" t="s">
        <v>13932</v>
      </c>
      <c r="D190" t="s">
        <v>745</v>
      </c>
      <c r="E190">
        <v>23.54</v>
      </c>
      <c r="F190" t="s">
        <v>744</v>
      </c>
      <c r="G190" t="s">
        <v>640</v>
      </c>
      <c r="H190">
        <v>6768</v>
      </c>
    </row>
    <row r="191" spans="1:8" x14ac:dyDescent="0.25">
      <c r="A191" t="s">
        <v>13882</v>
      </c>
      <c r="B191" t="s">
        <v>13931</v>
      </c>
      <c r="C191" t="s">
        <v>13930</v>
      </c>
      <c r="D191" t="s">
        <v>3324</v>
      </c>
      <c r="E191">
        <v>0.16</v>
      </c>
      <c r="F191" t="s">
        <v>3325</v>
      </c>
      <c r="G191" t="s">
        <v>640</v>
      </c>
      <c r="H191">
        <v>6770</v>
      </c>
    </row>
    <row r="192" spans="1:8" x14ac:dyDescent="0.25">
      <c r="A192" t="s">
        <v>13882</v>
      </c>
      <c r="B192" t="s">
        <v>13929</v>
      </c>
      <c r="C192" t="s">
        <v>13928</v>
      </c>
      <c r="D192" t="s">
        <v>4089</v>
      </c>
      <c r="E192">
        <v>17.96</v>
      </c>
      <c r="F192" t="s">
        <v>4090</v>
      </c>
      <c r="G192" t="s">
        <v>640</v>
      </c>
      <c r="H192">
        <v>6771</v>
      </c>
    </row>
    <row r="193" spans="1:8" x14ac:dyDescent="0.25">
      <c r="A193" t="s">
        <v>13882</v>
      </c>
      <c r="B193" t="s">
        <v>13927</v>
      </c>
      <c r="C193" t="s">
        <v>13926</v>
      </c>
      <c r="D193" t="s">
        <v>13925</v>
      </c>
      <c r="E193">
        <v>4.0199999999999996</v>
      </c>
      <c r="F193" t="s">
        <v>13924</v>
      </c>
      <c r="G193" t="s">
        <v>640</v>
      </c>
      <c r="H193">
        <v>6772</v>
      </c>
    </row>
    <row r="194" spans="1:8" x14ac:dyDescent="0.25">
      <c r="A194" t="s">
        <v>13882</v>
      </c>
      <c r="B194" t="s">
        <v>13923</v>
      </c>
      <c r="C194" t="s">
        <v>13922</v>
      </c>
      <c r="D194" t="s">
        <v>704</v>
      </c>
      <c r="E194">
        <v>18.54</v>
      </c>
      <c r="F194" t="s">
        <v>703</v>
      </c>
      <c r="G194" t="s">
        <v>640</v>
      </c>
      <c r="H194">
        <v>6774</v>
      </c>
    </row>
    <row r="195" spans="1:8" x14ac:dyDescent="0.25">
      <c r="A195" t="s">
        <v>13882</v>
      </c>
      <c r="B195" t="s">
        <v>13921</v>
      </c>
      <c r="C195" t="s">
        <v>13920</v>
      </c>
      <c r="D195" t="s">
        <v>960</v>
      </c>
      <c r="E195">
        <v>8.4700000000000006</v>
      </c>
      <c r="F195" t="s">
        <v>959</v>
      </c>
      <c r="G195" t="s">
        <v>640</v>
      </c>
      <c r="H195">
        <v>6775</v>
      </c>
    </row>
    <row r="196" spans="1:8" x14ac:dyDescent="0.25">
      <c r="A196" t="s">
        <v>13882</v>
      </c>
      <c r="B196" t="s">
        <v>13919</v>
      </c>
      <c r="C196" t="s">
        <v>13918</v>
      </c>
      <c r="D196" t="s">
        <v>4696</v>
      </c>
      <c r="E196">
        <v>23.73</v>
      </c>
      <c r="F196" t="s">
        <v>4697</v>
      </c>
      <c r="G196" t="s">
        <v>640</v>
      </c>
      <c r="H196">
        <v>6776</v>
      </c>
    </row>
    <row r="197" spans="1:8" x14ac:dyDescent="0.25">
      <c r="A197" t="s">
        <v>13882</v>
      </c>
      <c r="B197" t="s">
        <v>13917</v>
      </c>
      <c r="C197" t="s">
        <v>13916</v>
      </c>
      <c r="D197" t="s">
        <v>4097</v>
      </c>
      <c r="E197">
        <v>1.93</v>
      </c>
      <c r="F197" t="s">
        <v>4098</v>
      </c>
      <c r="G197" t="s">
        <v>640</v>
      </c>
      <c r="H197">
        <v>6777</v>
      </c>
    </row>
    <row r="198" spans="1:8" x14ac:dyDescent="0.25">
      <c r="A198" t="s">
        <v>13882</v>
      </c>
      <c r="B198" t="s">
        <v>13915</v>
      </c>
      <c r="C198" t="s">
        <v>13914</v>
      </c>
      <c r="D198" t="s">
        <v>6060</v>
      </c>
      <c r="E198">
        <v>1.84</v>
      </c>
      <c r="F198" t="s">
        <v>6061</v>
      </c>
      <c r="G198" t="s">
        <v>640</v>
      </c>
      <c r="H198">
        <v>6778</v>
      </c>
    </row>
    <row r="199" spans="1:8" x14ac:dyDescent="0.25">
      <c r="A199" t="s">
        <v>13882</v>
      </c>
      <c r="B199" t="s">
        <v>13913</v>
      </c>
      <c r="C199" t="s">
        <v>13912</v>
      </c>
      <c r="D199" t="s">
        <v>2868</v>
      </c>
      <c r="E199">
        <v>2.56</v>
      </c>
      <c r="F199" t="s">
        <v>2869</v>
      </c>
      <c r="G199" t="s">
        <v>640</v>
      </c>
      <c r="H199">
        <v>6790</v>
      </c>
    </row>
    <row r="200" spans="1:8" x14ac:dyDescent="0.25">
      <c r="A200" t="s">
        <v>13882</v>
      </c>
      <c r="B200" t="s">
        <v>13911</v>
      </c>
      <c r="C200" t="s">
        <v>13910</v>
      </c>
      <c r="D200" t="s">
        <v>1415</v>
      </c>
      <c r="E200">
        <v>4.1900000000000004</v>
      </c>
      <c r="F200" t="s">
        <v>1414</v>
      </c>
      <c r="G200" t="s">
        <v>640</v>
      </c>
      <c r="H200">
        <v>6791</v>
      </c>
    </row>
    <row r="201" spans="1:8" x14ac:dyDescent="0.25">
      <c r="A201" t="s">
        <v>13882</v>
      </c>
      <c r="B201" t="s">
        <v>13909</v>
      </c>
      <c r="C201" t="s">
        <v>13908</v>
      </c>
      <c r="D201" t="s">
        <v>5831</v>
      </c>
      <c r="E201">
        <v>3.36</v>
      </c>
      <c r="F201" t="s">
        <v>5832</v>
      </c>
      <c r="G201" t="s">
        <v>640</v>
      </c>
      <c r="H201">
        <v>6792</v>
      </c>
    </row>
    <row r="202" spans="1:8" x14ac:dyDescent="0.25">
      <c r="A202" t="s">
        <v>13882</v>
      </c>
      <c r="B202" t="s">
        <v>13907</v>
      </c>
      <c r="C202" t="s">
        <v>13906</v>
      </c>
      <c r="D202" t="s">
        <v>4928</v>
      </c>
      <c r="E202">
        <v>2.54</v>
      </c>
      <c r="F202" t="s">
        <v>4929</v>
      </c>
      <c r="G202" t="s">
        <v>640</v>
      </c>
      <c r="H202">
        <v>6793</v>
      </c>
    </row>
    <row r="203" spans="1:8" x14ac:dyDescent="0.25">
      <c r="A203" t="s">
        <v>13882</v>
      </c>
      <c r="B203" t="s">
        <v>13905</v>
      </c>
      <c r="C203" t="s">
        <v>13904</v>
      </c>
      <c r="D203" t="s">
        <v>716</v>
      </c>
      <c r="E203">
        <v>3.46</v>
      </c>
      <c r="F203" t="s">
        <v>715</v>
      </c>
      <c r="G203" t="s">
        <v>640</v>
      </c>
      <c r="H203">
        <v>6794</v>
      </c>
    </row>
    <row r="204" spans="1:8" x14ac:dyDescent="0.25">
      <c r="A204" t="s">
        <v>13882</v>
      </c>
      <c r="B204" t="s">
        <v>13903</v>
      </c>
      <c r="C204" t="s">
        <v>13902</v>
      </c>
      <c r="D204" t="s">
        <v>4638</v>
      </c>
      <c r="E204">
        <v>3.56</v>
      </c>
      <c r="F204" t="s">
        <v>4639</v>
      </c>
      <c r="G204" t="s">
        <v>640</v>
      </c>
      <c r="H204">
        <v>6795</v>
      </c>
    </row>
    <row r="205" spans="1:8" x14ac:dyDescent="0.25">
      <c r="A205" t="s">
        <v>13882</v>
      </c>
      <c r="B205" t="s">
        <v>13901</v>
      </c>
      <c r="C205" t="s">
        <v>13900</v>
      </c>
      <c r="D205" t="s">
        <v>1583</v>
      </c>
      <c r="E205">
        <v>53.57</v>
      </c>
      <c r="F205" t="s">
        <v>1584</v>
      </c>
      <c r="G205" t="s">
        <v>640</v>
      </c>
      <c r="H205">
        <v>6796</v>
      </c>
    </row>
    <row r="206" spans="1:8" x14ac:dyDescent="0.25">
      <c r="A206" t="s">
        <v>13882</v>
      </c>
      <c r="B206" t="s">
        <v>13899</v>
      </c>
      <c r="C206" t="s">
        <v>13898</v>
      </c>
      <c r="D206" t="s">
        <v>4228</v>
      </c>
      <c r="E206">
        <v>7.15</v>
      </c>
      <c r="F206" t="s">
        <v>4229</v>
      </c>
      <c r="G206" t="s">
        <v>640</v>
      </c>
      <c r="H206">
        <v>6797</v>
      </c>
    </row>
    <row r="207" spans="1:8" x14ac:dyDescent="0.25">
      <c r="A207" t="s">
        <v>13882</v>
      </c>
      <c r="B207" t="s">
        <v>13897</v>
      </c>
      <c r="C207" t="s">
        <v>13896</v>
      </c>
      <c r="D207" t="s">
        <v>5569</v>
      </c>
      <c r="E207">
        <v>11.38</v>
      </c>
      <c r="F207" t="s">
        <v>5566</v>
      </c>
      <c r="G207" t="s">
        <v>640</v>
      </c>
      <c r="H207">
        <v>6798</v>
      </c>
    </row>
    <row r="208" spans="1:8" x14ac:dyDescent="0.25">
      <c r="A208" t="s">
        <v>13882</v>
      </c>
      <c r="B208" t="s">
        <v>5202</v>
      </c>
      <c r="C208" t="s">
        <v>13895</v>
      </c>
      <c r="D208" t="s">
        <v>5565</v>
      </c>
      <c r="E208">
        <v>4.26</v>
      </c>
      <c r="F208" t="s">
        <v>5566</v>
      </c>
      <c r="G208" t="s">
        <v>640</v>
      </c>
      <c r="H208">
        <v>6799</v>
      </c>
    </row>
    <row r="209" spans="1:8" x14ac:dyDescent="0.25">
      <c r="A209" t="s">
        <v>13882</v>
      </c>
      <c r="B209" t="s">
        <v>13894</v>
      </c>
      <c r="C209" t="s">
        <v>13893</v>
      </c>
      <c r="D209" t="s">
        <v>5799</v>
      </c>
      <c r="E209">
        <v>12.46</v>
      </c>
      <c r="F209" t="s">
        <v>5800</v>
      </c>
      <c r="G209" t="s">
        <v>640</v>
      </c>
      <c r="H209">
        <v>6800</v>
      </c>
    </row>
    <row r="210" spans="1:8" x14ac:dyDescent="0.25">
      <c r="A210" t="s">
        <v>13882</v>
      </c>
      <c r="B210" t="s">
        <v>13892</v>
      </c>
      <c r="C210" t="s">
        <v>13891</v>
      </c>
      <c r="D210" t="s">
        <v>1291</v>
      </c>
      <c r="E210">
        <v>3</v>
      </c>
      <c r="F210" t="s">
        <v>1290</v>
      </c>
      <c r="G210" t="s">
        <v>640</v>
      </c>
      <c r="H210">
        <v>6801</v>
      </c>
    </row>
    <row r="211" spans="1:8" x14ac:dyDescent="0.25">
      <c r="A211" t="s">
        <v>13882</v>
      </c>
      <c r="B211" t="s">
        <v>13890</v>
      </c>
      <c r="C211" t="s">
        <v>13889</v>
      </c>
      <c r="D211" t="s">
        <v>1392</v>
      </c>
      <c r="E211">
        <v>4.05</v>
      </c>
      <c r="F211" t="s">
        <v>1391</v>
      </c>
      <c r="G211" t="s">
        <v>640</v>
      </c>
      <c r="H211">
        <v>6802</v>
      </c>
    </row>
    <row r="212" spans="1:8" x14ac:dyDescent="0.25">
      <c r="A212" t="s">
        <v>13882</v>
      </c>
      <c r="B212" t="s">
        <v>13888</v>
      </c>
      <c r="C212" t="s">
        <v>13887</v>
      </c>
      <c r="D212" t="s">
        <v>1245</v>
      </c>
      <c r="E212">
        <v>5.04</v>
      </c>
      <c r="F212" t="s">
        <v>1244</v>
      </c>
      <c r="G212" t="s">
        <v>640</v>
      </c>
      <c r="H212">
        <v>6803</v>
      </c>
    </row>
    <row r="213" spans="1:8" x14ac:dyDescent="0.25">
      <c r="A213" t="s">
        <v>13882</v>
      </c>
      <c r="B213" t="s">
        <v>13886</v>
      </c>
      <c r="C213" t="s">
        <v>13885</v>
      </c>
      <c r="D213" t="s">
        <v>4769</v>
      </c>
      <c r="E213">
        <v>6.08</v>
      </c>
      <c r="F213" t="s">
        <v>4770</v>
      </c>
      <c r="G213" t="s">
        <v>640</v>
      </c>
      <c r="H213">
        <v>6804</v>
      </c>
    </row>
    <row r="214" spans="1:8" x14ac:dyDescent="0.25">
      <c r="A214" t="s">
        <v>13882</v>
      </c>
      <c r="B214" t="s">
        <v>13884</v>
      </c>
      <c r="C214" t="s">
        <v>13883</v>
      </c>
      <c r="D214" t="s">
        <v>4475</v>
      </c>
      <c r="E214">
        <v>39.5</v>
      </c>
      <c r="F214" t="s">
        <v>4476</v>
      </c>
      <c r="G214" t="s">
        <v>640</v>
      </c>
      <c r="H214">
        <v>6805</v>
      </c>
    </row>
    <row r="215" spans="1:8" x14ac:dyDescent="0.25">
      <c r="A215" t="s">
        <v>13882</v>
      </c>
      <c r="B215" t="s">
        <v>13881</v>
      </c>
      <c r="C215" t="s">
        <v>13880</v>
      </c>
      <c r="D215" t="s">
        <v>1487</v>
      </c>
      <c r="E215">
        <v>5.04</v>
      </c>
      <c r="F215" t="s">
        <v>1486</v>
      </c>
      <c r="G215" t="s">
        <v>640</v>
      </c>
      <c r="H215">
        <v>6806</v>
      </c>
    </row>
    <row r="216" spans="1:8" x14ac:dyDescent="0.25">
      <c r="C216" s="220" t="s">
        <v>3578</v>
      </c>
      <c r="D216" s="210"/>
      <c r="E216" s="219">
        <f>SUM(E179:E215)</f>
        <v>357.63</v>
      </c>
    </row>
    <row r="217" spans="1:8" x14ac:dyDescent="0.25">
      <c r="A217" t="s">
        <v>13827</v>
      </c>
      <c r="B217" t="s">
        <v>13879</v>
      </c>
      <c r="C217" t="s">
        <v>13878</v>
      </c>
      <c r="D217" t="s">
        <v>1304</v>
      </c>
      <c r="E217">
        <v>5.04</v>
      </c>
      <c r="F217" t="s">
        <v>1303</v>
      </c>
      <c r="G217" t="s">
        <v>640</v>
      </c>
      <c r="H217">
        <v>6817</v>
      </c>
    </row>
    <row r="218" spans="1:8" x14ac:dyDescent="0.25">
      <c r="A218" t="s">
        <v>13827</v>
      </c>
      <c r="B218" t="s">
        <v>13877</v>
      </c>
      <c r="C218" t="s">
        <v>13876</v>
      </c>
      <c r="D218" t="s">
        <v>11570</v>
      </c>
      <c r="E218">
        <v>3.43</v>
      </c>
      <c r="F218" t="s">
        <v>11569</v>
      </c>
      <c r="G218" t="s">
        <v>640</v>
      </c>
      <c r="H218">
        <v>6818</v>
      </c>
    </row>
    <row r="219" spans="1:8" x14ac:dyDescent="0.25">
      <c r="A219" t="s">
        <v>13827</v>
      </c>
      <c r="B219" t="s">
        <v>13875</v>
      </c>
      <c r="C219" t="s">
        <v>13874</v>
      </c>
      <c r="D219" t="s">
        <v>871</v>
      </c>
      <c r="E219">
        <v>3.1</v>
      </c>
      <c r="F219" t="s">
        <v>870</v>
      </c>
      <c r="G219" t="s">
        <v>640</v>
      </c>
      <c r="H219">
        <v>6819</v>
      </c>
    </row>
    <row r="220" spans="1:8" x14ac:dyDescent="0.25">
      <c r="A220" t="s">
        <v>13827</v>
      </c>
      <c r="B220" t="s">
        <v>13873</v>
      </c>
      <c r="C220" t="s">
        <v>13872</v>
      </c>
      <c r="D220" t="s">
        <v>13871</v>
      </c>
      <c r="E220">
        <v>2.16</v>
      </c>
      <c r="F220" t="s">
        <v>13870</v>
      </c>
      <c r="G220" t="s">
        <v>640</v>
      </c>
      <c r="H220">
        <v>6820</v>
      </c>
    </row>
    <row r="221" spans="1:8" x14ac:dyDescent="0.25">
      <c r="A221" t="s">
        <v>13827</v>
      </c>
      <c r="B221" t="s">
        <v>13869</v>
      </c>
      <c r="C221" t="s">
        <v>13868</v>
      </c>
      <c r="D221" t="s">
        <v>5554</v>
      </c>
      <c r="E221">
        <v>3.95</v>
      </c>
      <c r="F221" t="s">
        <v>5555</v>
      </c>
      <c r="G221" t="s">
        <v>640</v>
      </c>
      <c r="H221">
        <v>6821</v>
      </c>
    </row>
    <row r="222" spans="1:8" x14ac:dyDescent="0.25">
      <c r="A222" t="s">
        <v>13827</v>
      </c>
      <c r="B222" t="s">
        <v>13867</v>
      </c>
      <c r="C222" t="s">
        <v>13866</v>
      </c>
      <c r="D222" t="s">
        <v>812</v>
      </c>
      <c r="E222">
        <v>7.41</v>
      </c>
      <c r="F222" t="s">
        <v>811</v>
      </c>
      <c r="G222" t="s">
        <v>640</v>
      </c>
      <c r="H222">
        <v>6822</v>
      </c>
    </row>
    <row r="223" spans="1:8" x14ac:dyDescent="0.25">
      <c r="A223" t="s">
        <v>13827</v>
      </c>
      <c r="B223" t="s">
        <v>13865</v>
      </c>
      <c r="C223" t="s">
        <v>13864</v>
      </c>
      <c r="D223" t="s">
        <v>881</v>
      </c>
      <c r="E223">
        <v>7</v>
      </c>
      <c r="F223" t="s">
        <v>880</v>
      </c>
      <c r="G223" t="s">
        <v>640</v>
      </c>
      <c r="H223">
        <v>6823</v>
      </c>
    </row>
    <row r="224" spans="1:8" x14ac:dyDescent="0.25">
      <c r="A224" t="s">
        <v>13827</v>
      </c>
      <c r="B224" t="s">
        <v>13863</v>
      </c>
      <c r="C224" t="s">
        <v>13862</v>
      </c>
      <c r="D224" t="s">
        <v>13861</v>
      </c>
      <c r="E224">
        <v>7.77</v>
      </c>
      <c r="F224" t="s">
        <v>13860</v>
      </c>
      <c r="G224" t="s">
        <v>640</v>
      </c>
      <c r="H224">
        <v>6824</v>
      </c>
    </row>
    <row r="225" spans="1:8" x14ac:dyDescent="0.25">
      <c r="A225" t="s">
        <v>13827</v>
      </c>
      <c r="B225" t="s">
        <v>13859</v>
      </c>
      <c r="C225" t="s">
        <v>13858</v>
      </c>
      <c r="D225" t="s">
        <v>4618</v>
      </c>
      <c r="E225">
        <v>5.77</v>
      </c>
      <c r="F225" t="s">
        <v>4619</v>
      </c>
      <c r="G225" t="s">
        <v>640</v>
      </c>
      <c r="H225">
        <v>6825</v>
      </c>
    </row>
    <row r="226" spans="1:8" x14ac:dyDescent="0.25">
      <c r="A226" t="s">
        <v>13827</v>
      </c>
      <c r="B226" t="s">
        <v>13857</v>
      </c>
      <c r="C226" t="s">
        <v>13856</v>
      </c>
      <c r="D226" t="s">
        <v>3503</v>
      </c>
      <c r="E226">
        <v>2.64</v>
      </c>
      <c r="F226" t="s">
        <v>3504</v>
      </c>
      <c r="G226" t="s">
        <v>640</v>
      </c>
      <c r="H226">
        <v>6826</v>
      </c>
    </row>
    <row r="227" spans="1:8" x14ac:dyDescent="0.25">
      <c r="A227" t="s">
        <v>13827</v>
      </c>
      <c r="B227" t="s">
        <v>13855</v>
      </c>
      <c r="C227" t="s">
        <v>13854</v>
      </c>
      <c r="D227" t="s">
        <v>1005</v>
      </c>
      <c r="E227">
        <v>4.33</v>
      </c>
      <c r="F227" t="s">
        <v>1004</v>
      </c>
      <c r="G227" t="s">
        <v>640</v>
      </c>
      <c r="H227">
        <v>6827</v>
      </c>
    </row>
    <row r="228" spans="1:8" x14ac:dyDescent="0.25">
      <c r="A228" t="s">
        <v>13827</v>
      </c>
      <c r="B228" t="s">
        <v>13587</v>
      </c>
      <c r="C228" t="s">
        <v>13853</v>
      </c>
      <c r="D228" t="s">
        <v>696</v>
      </c>
      <c r="E228">
        <v>6.94</v>
      </c>
      <c r="F228" t="s">
        <v>695</v>
      </c>
      <c r="G228" t="s">
        <v>640</v>
      </c>
      <c r="H228">
        <v>6828</v>
      </c>
    </row>
    <row r="229" spans="1:8" x14ac:dyDescent="0.25">
      <c r="A229" t="s">
        <v>13827</v>
      </c>
      <c r="B229" t="s">
        <v>13852</v>
      </c>
      <c r="C229" t="s">
        <v>13851</v>
      </c>
      <c r="D229" t="s">
        <v>4403</v>
      </c>
      <c r="E229">
        <v>7.4</v>
      </c>
      <c r="F229" t="s">
        <v>4404</v>
      </c>
      <c r="G229" t="s">
        <v>640</v>
      </c>
      <c r="H229" t="s">
        <v>13850</v>
      </c>
    </row>
    <row r="230" spans="1:8" x14ac:dyDescent="0.25">
      <c r="A230" t="s">
        <v>13827</v>
      </c>
      <c r="B230" t="s">
        <v>13849</v>
      </c>
      <c r="C230" t="s">
        <v>13848</v>
      </c>
      <c r="D230" t="s">
        <v>4058</v>
      </c>
      <c r="E230">
        <v>8.59</v>
      </c>
      <c r="F230" t="s">
        <v>4059</v>
      </c>
      <c r="G230" t="s">
        <v>640</v>
      </c>
      <c r="H230">
        <v>6829</v>
      </c>
    </row>
    <row r="231" spans="1:8" x14ac:dyDescent="0.25">
      <c r="A231" t="s">
        <v>13827</v>
      </c>
      <c r="B231" t="s">
        <v>13847</v>
      </c>
      <c r="C231" t="s">
        <v>13846</v>
      </c>
      <c r="D231" t="s">
        <v>708</v>
      </c>
      <c r="E231">
        <v>5.04</v>
      </c>
      <c r="F231" t="s">
        <v>707</v>
      </c>
      <c r="G231" t="s">
        <v>640</v>
      </c>
      <c r="H231">
        <v>6831</v>
      </c>
    </row>
    <row r="232" spans="1:8" x14ac:dyDescent="0.25">
      <c r="A232" t="s">
        <v>13827</v>
      </c>
      <c r="B232" t="s">
        <v>13845</v>
      </c>
      <c r="C232" t="s">
        <v>13844</v>
      </c>
      <c r="D232" t="s">
        <v>692</v>
      </c>
      <c r="E232">
        <v>5.84</v>
      </c>
      <c r="F232" t="s">
        <v>691</v>
      </c>
      <c r="G232" t="s">
        <v>640</v>
      </c>
      <c r="H232">
        <v>6832</v>
      </c>
    </row>
    <row r="233" spans="1:8" x14ac:dyDescent="0.25">
      <c r="A233" t="s">
        <v>13827</v>
      </c>
      <c r="B233" t="s">
        <v>13843</v>
      </c>
      <c r="C233" t="s">
        <v>13842</v>
      </c>
      <c r="D233" t="s">
        <v>5940</v>
      </c>
      <c r="E233">
        <v>12.26</v>
      </c>
      <c r="F233" t="s">
        <v>5941</v>
      </c>
      <c r="G233" t="s">
        <v>640</v>
      </c>
      <c r="H233">
        <v>6833</v>
      </c>
    </row>
    <row r="234" spans="1:8" x14ac:dyDescent="0.25">
      <c r="A234" t="s">
        <v>13827</v>
      </c>
      <c r="B234" t="s">
        <v>13841</v>
      </c>
      <c r="C234" t="s">
        <v>13840</v>
      </c>
      <c r="D234" t="s">
        <v>1293</v>
      </c>
      <c r="E234">
        <v>4.38</v>
      </c>
      <c r="F234" t="s">
        <v>1292</v>
      </c>
      <c r="G234" t="s">
        <v>640</v>
      </c>
      <c r="H234">
        <v>6834</v>
      </c>
    </row>
    <row r="235" spans="1:8" x14ac:dyDescent="0.25">
      <c r="A235" t="s">
        <v>13827</v>
      </c>
      <c r="B235" t="s">
        <v>13839</v>
      </c>
      <c r="C235" t="s">
        <v>13838</v>
      </c>
      <c r="D235" t="s">
        <v>4531</v>
      </c>
      <c r="E235">
        <v>6.33</v>
      </c>
      <c r="F235" t="s">
        <v>4532</v>
      </c>
      <c r="G235" t="s">
        <v>640</v>
      </c>
      <c r="H235">
        <v>6835</v>
      </c>
    </row>
    <row r="236" spans="1:8" x14ac:dyDescent="0.25">
      <c r="A236" t="s">
        <v>13827</v>
      </c>
      <c r="B236" t="s">
        <v>13837</v>
      </c>
      <c r="C236" t="s">
        <v>13836</v>
      </c>
      <c r="D236" t="s">
        <v>13835</v>
      </c>
      <c r="E236">
        <v>23.51</v>
      </c>
      <c r="F236" t="s">
        <v>13834</v>
      </c>
      <c r="G236" t="s">
        <v>640</v>
      </c>
      <c r="H236">
        <v>6836</v>
      </c>
    </row>
    <row r="237" spans="1:8" x14ac:dyDescent="0.25">
      <c r="A237" t="s">
        <v>13827</v>
      </c>
      <c r="B237" t="s">
        <v>13833</v>
      </c>
      <c r="C237" t="s">
        <v>13832</v>
      </c>
      <c r="D237" t="s">
        <v>3716</v>
      </c>
      <c r="E237">
        <v>6.34</v>
      </c>
      <c r="F237" t="s">
        <v>3717</v>
      </c>
      <c r="G237" t="s">
        <v>640</v>
      </c>
      <c r="H237">
        <v>6837</v>
      </c>
    </row>
    <row r="238" spans="1:8" x14ac:dyDescent="0.25">
      <c r="A238" t="s">
        <v>13827</v>
      </c>
      <c r="B238" t="s">
        <v>13831</v>
      </c>
      <c r="C238" t="s">
        <v>13830</v>
      </c>
      <c r="D238" t="s">
        <v>13829</v>
      </c>
      <c r="E238">
        <v>0.65</v>
      </c>
      <c r="F238" t="s">
        <v>13828</v>
      </c>
      <c r="G238" t="s">
        <v>640</v>
      </c>
      <c r="H238">
        <v>6838</v>
      </c>
    </row>
    <row r="239" spans="1:8" x14ac:dyDescent="0.25">
      <c r="A239" t="s">
        <v>13827</v>
      </c>
      <c r="B239" t="s">
        <v>13826</v>
      </c>
      <c r="C239" t="s">
        <v>13825</v>
      </c>
      <c r="D239" t="s">
        <v>936</v>
      </c>
      <c r="E239">
        <v>2.08</v>
      </c>
      <c r="F239" t="s">
        <v>935</v>
      </c>
      <c r="G239" t="s">
        <v>640</v>
      </c>
      <c r="H239">
        <v>6839</v>
      </c>
    </row>
    <row r="240" spans="1:8" x14ac:dyDescent="0.25">
      <c r="C240" s="210" t="s">
        <v>3578</v>
      </c>
      <c r="D240" s="210"/>
      <c r="E240" s="219">
        <f>SUM(E217:E239)</f>
        <v>141.96000000000004</v>
      </c>
    </row>
    <row r="241" spans="1:8" x14ac:dyDescent="0.25">
      <c r="A241" t="s">
        <v>13791</v>
      </c>
      <c r="B241" t="s">
        <v>13824</v>
      </c>
      <c r="C241" t="s">
        <v>13823</v>
      </c>
      <c r="D241" t="s">
        <v>1182</v>
      </c>
      <c r="E241">
        <v>16.760000000000002</v>
      </c>
      <c r="F241" t="s">
        <v>1181</v>
      </c>
      <c r="G241" t="s">
        <v>640</v>
      </c>
      <c r="H241">
        <v>6870</v>
      </c>
    </row>
    <row r="242" spans="1:8" x14ac:dyDescent="0.25">
      <c r="A242" t="s">
        <v>13791</v>
      </c>
      <c r="B242" t="s">
        <v>13822</v>
      </c>
      <c r="C242" t="s">
        <v>13821</v>
      </c>
      <c r="D242" t="s">
        <v>5289</v>
      </c>
      <c r="E242">
        <v>5.0999999999999996</v>
      </c>
      <c r="F242" t="s">
        <v>5290</v>
      </c>
      <c r="G242" t="s">
        <v>640</v>
      </c>
      <c r="H242">
        <v>6871</v>
      </c>
    </row>
    <row r="243" spans="1:8" x14ac:dyDescent="0.25">
      <c r="A243" t="s">
        <v>13791</v>
      </c>
      <c r="B243" t="s">
        <v>13820</v>
      </c>
      <c r="C243" t="s">
        <v>13819</v>
      </c>
      <c r="D243" t="s">
        <v>4874</v>
      </c>
      <c r="E243">
        <v>8.3800000000000008</v>
      </c>
      <c r="F243" t="s">
        <v>4875</v>
      </c>
      <c r="G243" t="s">
        <v>640</v>
      </c>
      <c r="H243">
        <v>6874</v>
      </c>
    </row>
    <row r="244" spans="1:8" x14ac:dyDescent="0.25">
      <c r="A244" t="s">
        <v>13791</v>
      </c>
      <c r="B244" t="s">
        <v>13818</v>
      </c>
      <c r="C244" t="s">
        <v>13817</v>
      </c>
      <c r="D244" t="s">
        <v>840</v>
      </c>
      <c r="E244">
        <v>1.68</v>
      </c>
      <c r="F244" t="s">
        <v>839</v>
      </c>
      <c r="G244" t="s">
        <v>640</v>
      </c>
      <c r="H244">
        <v>6875</v>
      </c>
    </row>
    <row r="245" spans="1:8" x14ac:dyDescent="0.25">
      <c r="A245" t="s">
        <v>13791</v>
      </c>
      <c r="B245" t="s">
        <v>13816</v>
      </c>
      <c r="C245" t="s">
        <v>13815</v>
      </c>
      <c r="D245" t="s">
        <v>3933</v>
      </c>
      <c r="E245">
        <v>2.5099999999999998</v>
      </c>
      <c r="F245" t="s">
        <v>3934</v>
      </c>
      <c r="G245" t="s">
        <v>640</v>
      </c>
      <c r="H245">
        <v>6876</v>
      </c>
    </row>
    <row r="246" spans="1:8" x14ac:dyDescent="0.25">
      <c r="A246" t="s">
        <v>13791</v>
      </c>
      <c r="B246" t="s">
        <v>13814</v>
      </c>
      <c r="C246" t="s">
        <v>13813</v>
      </c>
      <c r="D246" t="s">
        <v>6066</v>
      </c>
      <c r="E246">
        <v>2.48</v>
      </c>
      <c r="F246" t="s">
        <v>6067</v>
      </c>
      <c r="G246" t="s">
        <v>640</v>
      </c>
      <c r="H246">
        <v>6877</v>
      </c>
    </row>
    <row r="247" spans="1:8" x14ac:dyDescent="0.25">
      <c r="A247" t="s">
        <v>13791</v>
      </c>
      <c r="B247" t="s">
        <v>13812</v>
      </c>
      <c r="C247" t="s">
        <v>13811</v>
      </c>
      <c r="D247" t="s">
        <v>4840</v>
      </c>
      <c r="E247">
        <v>4.5599999999999996</v>
      </c>
      <c r="F247" t="s">
        <v>4841</v>
      </c>
      <c r="G247" t="s">
        <v>640</v>
      </c>
      <c r="H247" t="s">
        <v>13810</v>
      </c>
    </row>
    <row r="248" spans="1:8" x14ac:dyDescent="0.25">
      <c r="A248" t="s">
        <v>13791</v>
      </c>
      <c r="B248" t="s">
        <v>13809</v>
      </c>
      <c r="C248" t="s">
        <v>13808</v>
      </c>
      <c r="D248" t="s">
        <v>4423</v>
      </c>
      <c r="E248">
        <v>16.11</v>
      </c>
      <c r="F248" t="s">
        <v>4424</v>
      </c>
      <c r="G248" t="s">
        <v>640</v>
      </c>
      <c r="H248">
        <v>6880</v>
      </c>
    </row>
    <row r="249" spans="1:8" x14ac:dyDescent="0.25">
      <c r="A249" t="s">
        <v>13791</v>
      </c>
      <c r="B249" t="s">
        <v>13807</v>
      </c>
      <c r="C249" t="s">
        <v>13806</v>
      </c>
      <c r="D249" t="s">
        <v>10765</v>
      </c>
      <c r="E249">
        <v>0.6</v>
      </c>
      <c r="F249" t="s">
        <v>10764</v>
      </c>
      <c r="G249" t="s">
        <v>640</v>
      </c>
      <c r="H249">
        <v>6881</v>
      </c>
    </row>
    <row r="250" spans="1:8" x14ac:dyDescent="0.25">
      <c r="A250" t="s">
        <v>13791</v>
      </c>
      <c r="B250" t="s">
        <v>13805</v>
      </c>
      <c r="C250" t="s">
        <v>13804</v>
      </c>
      <c r="D250" t="s">
        <v>830</v>
      </c>
      <c r="E250">
        <v>3.59</v>
      </c>
      <c r="F250" t="s">
        <v>829</v>
      </c>
      <c r="G250" t="s">
        <v>640</v>
      </c>
      <c r="H250">
        <v>6882</v>
      </c>
    </row>
    <row r="251" spans="1:8" x14ac:dyDescent="0.25">
      <c r="A251" t="s">
        <v>13791</v>
      </c>
      <c r="B251" t="s">
        <v>13803</v>
      </c>
      <c r="C251" t="s">
        <v>13802</v>
      </c>
      <c r="D251" t="s">
        <v>1218</v>
      </c>
      <c r="E251">
        <v>8.44</v>
      </c>
      <c r="F251" t="s">
        <v>1217</v>
      </c>
      <c r="G251" t="s">
        <v>640</v>
      </c>
      <c r="H251">
        <v>6883</v>
      </c>
    </row>
    <row r="252" spans="1:8" x14ac:dyDescent="0.25">
      <c r="A252" t="s">
        <v>13791</v>
      </c>
      <c r="B252" t="s">
        <v>13801</v>
      </c>
      <c r="C252" t="s">
        <v>13800</v>
      </c>
      <c r="D252" t="s">
        <v>1213</v>
      </c>
      <c r="E252">
        <v>6.1</v>
      </c>
      <c r="F252" t="s">
        <v>1212</v>
      </c>
      <c r="G252" t="s">
        <v>640</v>
      </c>
      <c r="H252">
        <v>6884</v>
      </c>
    </row>
    <row r="253" spans="1:8" x14ac:dyDescent="0.25">
      <c r="A253" t="s">
        <v>13791</v>
      </c>
      <c r="B253" t="s">
        <v>13799</v>
      </c>
      <c r="C253" t="s">
        <v>13798</v>
      </c>
      <c r="D253" t="s">
        <v>761</v>
      </c>
      <c r="E253">
        <v>1.68</v>
      </c>
      <c r="F253" t="s">
        <v>760</v>
      </c>
      <c r="G253" t="s">
        <v>640</v>
      </c>
      <c r="H253">
        <v>6885</v>
      </c>
    </row>
    <row r="254" spans="1:8" x14ac:dyDescent="0.25">
      <c r="A254" t="s">
        <v>13791</v>
      </c>
      <c r="B254" t="s">
        <v>13797</v>
      </c>
      <c r="C254" t="s">
        <v>13796</v>
      </c>
      <c r="D254" t="s">
        <v>970</v>
      </c>
      <c r="E254">
        <v>8.3800000000000008</v>
      </c>
      <c r="F254" t="s">
        <v>969</v>
      </c>
      <c r="G254" t="s">
        <v>640</v>
      </c>
      <c r="H254">
        <v>6886</v>
      </c>
    </row>
    <row r="255" spans="1:8" x14ac:dyDescent="0.25">
      <c r="A255" t="s">
        <v>13791</v>
      </c>
      <c r="B255" t="s">
        <v>13795</v>
      </c>
      <c r="C255" t="s">
        <v>13794</v>
      </c>
      <c r="D255" t="s">
        <v>3659</v>
      </c>
      <c r="E255">
        <v>2.54</v>
      </c>
      <c r="F255" t="s">
        <v>3660</v>
      </c>
      <c r="G255" t="s">
        <v>640</v>
      </c>
      <c r="H255">
        <v>6887</v>
      </c>
    </row>
    <row r="256" spans="1:8" x14ac:dyDescent="0.25">
      <c r="A256" t="s">
        <v>13791</v>
      </c>
      <c r="B256" t="s">
        <v>13793</v>
      </c>
      <c r="C256" t="s">
        <v>13792</v>
      </c>
      <c r="D256" t="s">
        <v>1141</v>
      </c>
      <c r="E256">
        <v>3.6</v>
      </c>
      <c r="F256" t="s">
        <v>1140</v>
      </c>
      <c r="G256" t="s">
        <v>640</v>
      </c>
      <c r="H256">
        <v>6888</v>
      </c>
    </row>
    <row r="257" spans="1:8" x14ac:dyDescent="0.25">
      <c r="A257" t="s">
        <v>13791</v>
      </c>
      <c r="B257" t="s">
        <v>13790</v>
      </c>
      <c r="C257" t="s">
        <v>13789</v>
      </c>
      <c r="D257" t="s">
        <v>4163</v>
      </c>
      <c r="E257">
        <v>6.53</v>
      </c>
      <c r="F257" t="s">
        <v>4164</v>
      </c>
      <c r="G257" t="s">
        <v>640</v>
      </c>
      <c r="H257">
        <v>6889</v>
      </c>
    </row>
    <row r="258" spans="1:8" x14ac:dyDescent="0.25">
      <c r="C258" s="210" t="s">
        <v>3578</v>
      </c>
      <c r="D258" s="210"/>
      <c r="E258" s="219">
        <f>SUM(E241:E257)</f>
        <v>99.039999999999992</v>
      </c>
    </row>
    <row r="259" spans="1:8" x14ac:dyDescent="0.25">
      <c r="A259" t="s">
        <v>13750</v>
      </c>
      <c r="B259" t="s">
        <v>13788</v>
      </c>
      <c r="C259" t="s">
        <v>13787</v>
      </c>
      <c r="D259" t="s">
        <v>10904</v>
      </c>
      <c r="E259">
        <v>2.78</v>
      </c>
      <c r="F259" t="s">
        <v>10903</v>
      </c>
      <c r="G259" t="s">
        <v>640</v>
      </c>
      <c r="H259">
        <v>6918</v>
      </c>
    </row>
    <row r="260" spans="1:8" x14ac:dyDescent="0.25">
      <c r="A260" t="s">
        <v>13750</v>
      </c>
      <c r="B260" t="s">
        <v>13786</v>
      </c>
      <c r="C260" t="s">
        <v>13785</v>
      </c>
      <c r="D260" t="s">
        <v>3881</v>
      </c>
      <c r="E260">
        <v>6.36</v>
      </c>
      <c r="F260" t="s">
        <v>3882</v>
      </c>
      <c r="G260" t="s">
        <v>640</v>
      </c>
      <c r="H260">
        <v>6919</v>
      </c>
    </row>
    <row r="261" spans="1:8" x14ac:dyDescent="0.25">
      <c r="A261" t="s">
        <v>13750</v>
      </c>
      <c r="B261" t="s">
        <v>13784</v>
      </c>
      <c r="C261" t="s">
        <v>13783</v>
      </c>
      <c r="D261" t="s">
        <v>13782</v>
      </c>
      <c r="E261">
        <v>16.97</v>
      </c>
      <c r="F261" t="s">
        <v>13781</v>
      </c>
      <c r="G261" t="s">
        <v>640</v>
      </c>
      <c r="H261">
        <v>6920</v>
      </c>
    </row>
    <row r="262" spans="1:8" x14ac:dyDescent="0.25">
      <c r="A262" t="s">
        <v>13750</v>
      </c>
      <c r="B262" t="s">
        <v>13780</v>
      </c>
      <c r="C262" t="s">
        <v>13779</v>
      </c>
      <c r="D262" t="s">
        <v>4001</v>
      </c>
      <c r="E262">
        <v>5.21</v>
      </c>
      <c r="F262" t="s">
        <v>4002</v>
      </c>
      <c r="G262" t="s">
        <v>640</v>
      </c>
      <c r="H262">
        <v>6921</v>
      </c>
    </row>
    <row r="263" spans="1:8" x14ac:dyDescent="0.25">
      <c r="A263" t="s">
        <v>13750</v>
      </c>
      <c r="B263" t="s">
        <v>13778</v>
      </c>
      <c r="C263" t="s">
        <v>13777</v>
      </c>
      <c r="D263" t="s">
        <v>11060</v>
      </c>
      <c r="E263">
        <v>1.75</v>
      </c>
      <c r="F263" t="s">
        <v>11059</v>
      </c>
      <c r="G263" t="s">
        <v>640</v>
      </c>
      <c r="H263">
        <v>6922</v>
      </c>
    </row>
    <row r="264" spans="1:8" x14ac:dyDescent="0.25">
      <c r="A264" t="s">
        <v>13750</v>
      </c>
      <c r="B264" t="s">
        <v>13776</v>
      </c>
      <c r="C264" t="s">
        <v>13775</v>
      </c>
      <c r="D264" t="s">
        <v>1275</v>
      </c>
      <c r="E264">
        <v>6.78</v>
      </c>
      <c r="F264" t="s">
        <v>1274</v>
      </c>
      <c r="G264" t="s">
        <v>640</v>
      </c>
      <c r="H264" t="s">
        <v>13774</v>
      </c>
    </row>
    <row r="265" spans="1:8" x14ac:dyDescent="0.25">
      <c r="A265" t="s">
        <v>13750</v>
      </c>
      <c r="B265" t="s">
        <v>13773</v>
      </c>
      <c r="C265" t="s">
        <v>13772</v>
      </c>
      <c r="D265" t="s">
        <v>3829</v>
      </c>
      <c r="E265">
        <v>6.69</v>
      </c>
      <c r="F265" t="s">
        <v>3830</v>
      </c>
      <c r="G265" t="s">
        <v>640</v>
      </c>
      <c r="H265">
        <v>6923</v>
      </c>
    </row>
    <row r="266" spans="1:8" x14ac:dyDescent="0.25">
      <c r="A266" t="s">
        <v>13750</v>
      </c>
      <c r="B266" t="s">
        <v>10525</v>
      </c>
      <c r="C266" t="s">
        <v>13771</v>
      </c>
      <c r="D266" t="s">
        <v>1255</v>
      </c>
      <c r="E266">
        <v>14.87</v>
      </c>
      <c r="F266" t="s">
        <v>1254</v>
      </c>
      <c r="G266" t="s">
        <v>640</v>
      </c>
      <c r="H266">
        <v>6924</v>
      </c>
    </row>
    <row r="267" spans="1:8" x14ac:dyDescent="0.25">
      <c r="A267" t="s">
        <v>13750</v>
      </c>
      <c r="B267" t="s">
        <v>13770</v>
      </c>
      <c r="C267" t="s">
        <v>13769</v>
      </c>
      <c r="D267" t="s">
        <v>1251</v>
      </c>
      <c r="E267">
        <v>6.42</v>
      </c>
      <c r="F267" t="s">
        <v>1250</v>
      </c>
      <c r="G267" t="s">
        <v>640</v>
      </c>
      <c r="H267">
        <v>6925</v>
      </c>
    </row>
    <row r="268" spans="1:8" x14ac:dyDescent="0.25">
      <c r="A268" t="s">
        <v>13750</v>
      </c>
      <c r="B268" t="s">
        <v>13768</v>
      </c>
      <c r="C268" t="s">
        <v>13767</v>
      </c>
      <c r="D268" t="s">
        <v>5102</v>
      </c>
      <c r="E268">
        <v>2.2200000000000002</v>
      </c>
      <c r="F268" t="s">
        <v>5103</v>
      </c>
      <c r="G268" t="s">
        <v>640</v>
      </c>
      <c r="H268">
        <v>6926</v>
      </c>
    </row>
    <row r="269" spans="1:8" x14ac:dyDescent="0.25">
      <c r="A269" t="s">
        <v>13750</v>
      </c>
      <c r="B269" t="s">
        <v>13766</v>
      </c>
      <c r="C269" t="s">
        <v>13765</v>
      </c>
      <c r="D269" t="s">
        <v>2919</v>
      </c>
      <c r="E269">
        <v>2.21</v>
      </c>
      <c r="F269" t="s">
        <v>2920</v>
      </c>
      <c r="G269" t="s">
        <v>640</v>
      </c>
      <c r="H269">
        <v>6927</v>
      </c>
    </row>
    <row r="270" spans="1:8" x14ac:dyDescent="0.25">
      <c r="A270" t="s">
        <v>13750</v>
      </c>
      <c r="B270" t="s">
        <v>13764</v>
      </c>
      <c r="C270" t="s">
        <v>13763</v>
      </c>
      <c r="D270" t="s">
        <v>1458</v>
      </c>
      <c r="E270">
        <v>6.91</v>
      </c>
      <c r="F270" t="s">
        <v>1457</v>
      </c>
      <c r="G270" t="s">
        <v>640</v>
      </c>
      <c r="H270">
        <v>6928</v>
      </c>
    </row>
    <row r="271" spans="1:8" x14ac:dyDescent="0.25">
      <c r="A271" t="s">
        <v>13750</v>
      </c>
      <c r="B271" t="s">
        <v>13762</v>
      </c>
      <c r="C271" t="s">
        <v>13761</v>
      </c>
      <c r="D271" t="s">
        <v>1243</v>
      </c>
      <c r="E271">
        <v>4.45</v>
      </c>
      <c r="F271" t="s">
        <v>1242</v>
      </c>
      <c r="G271" t="s">
        <v>640</v>
      </c>
      <c r="H271">
        <v>6929</v>
      </c>
    </row>
    <row r="272" spans="1:8" x14ac:dyDescent="0.25">
      <c r="A272" t="s">
        <v>13750</v>
      </c>
      <c r="B272" t="s">
        <v>13760</v>
      </c>
      <c r="C272" t="s">
        <v>13759</v>
      </c>
      <c r="D272" t="s">
        <v>13758</v>
      </c>
      <c r="E272">
        <v>32.130000000000003</v>
      </c>
      <c r="F272" t="s">
        <v>13757</v>
      </c>
      <c r="G272" t="s">
        <v>640</v>
      </c>
      <c r="H272">
        <v>6930</v>
      </c>
    </row>
    <row r="273" spans="1:8" x14ac:dyDescent="0.25">
      <c r="A273" t="s">
        <v>13750</v>
      </c>
      <c r="B273" t="s">
        <v>13756</v>
      </c>
      <c r="C273" t="s">
        <v>13755</v>
      </c>
      <c r="D273" t="s">
        <v>917</v>
      </c>
      <c r="E273">
        <v>1.8</v>
      </c>
      <c r="F273" t="s">
        <v>916</v>
      </c>
      <c r="G273" t="s">
        <v>640</v>
      </c>
      <c r="H273">
        <v>6931</v>
      </c>
    </row>
    <row r="274" spans="1:8" x14ac:dyDescent="0.25">
      <c r="A274" t="s">
        <v>13750</v>
      </c>
      <c r="B274" t="s">
        <v>13754</v>
      </c>
      <c r="C274" t="s">
        <v>13753</v>
      </c>
      <c r="D274" t="s">
        <v>13752</v>
      </c>
      <c r="E274">
        <v>4.72</v>
      </c>
      <c r="F274" t="s">
        <v>13751</v>
      </c>
      <c r="G274" t="s">
        <v>640</v>
      </c>
      <c r="H274">
        <v>6932</v>
      </c>
    </row>
    <row r="275" spans="1:8" x14ac:dyDescent="0.25">
      <c r="A275" t="s">
        <v>13750</v>
      </c>
      <c r="B275" t="s">
        <v>13749</v>
      </c>
      <c r="C275" t="s">
        <v>13748</v>
      </c>
      <c r="D275" t="s">
        <v>13747</v>
      </c>
      <c r="E275">
        <v>1.85</v>
      </c>
      <c r="F275" t="s">
        <v>13746</v>
      </c>
      <c r="G275" t="s">
        <v>640</v>
      </c>
      <c r="H275">
        <v>6933</v>
      </c>
    </row>
    <row r="276" spans="1:8" x14ac:dyDescent="0.25">
      <c r="C276" s="210" t="s">
        <v>3579</v>
      </c>
      <c r="D276" s="210"/>
      <c r="E276" s="219">
        <f>SUM(E259:E275)</f>
        <v>124.11999999999999</v>
      </c>
    </row>
    <row r="277" spans="1:8" x14ac:dyDescent="0.25">
      <c r="A277" t="s">
        <v>13699</v>
      </c>
      <c r="B277" t="s">
        <v>13745</v>
      </c>
      <c r="C277" t="s">
        <v>13744</v>
      </c>
      <c r="D277" t="s">
        <v>712</v>
      </c>
      <c r="E277">
        <v>4.03</v>
      </c>
      <c r="F277" t="s">
        <v>711</v>
      </c>
      <c r="G277" t="s">
        <v>640</v>
      </c>
      <c r="H277">
        <v>6989</v>
      </c>
    </row>
    <row r="278" spans="1:8" x14ac:dyDescent="0.25">
      <c r="A278" t="s">
        <v>13699</v>
      </c>
      <c r="B278" t="s">
        <v>13743</v>
      </c>
      <c r="C278" t="s">
        <v>13742</v>
      </c>
      <c r="D278" t="s">
        <v>4676</v>
      </c>
      <c r="E278">
        <v>7.58</v>
      </c>
      <c r="F278" t="s">
        <v>4677</v>
      </c>
      <c r="G278" t="s">
        <v>640</v>
      </c>
      <c r="H278">
        <v>6990</v>
      </c>
    </row>
    <row r="279" spans="1:8" x14ac:dyDescent="0.25">
      <c r="A279" t="s">
        <v>13699</v>
      </c>
      <c r="B279" t="s">
        <v>13741</v>
      </c>
      <c r="C279" t="s">
        <v>13740</v>
      </c>
      <c r="D279" t="s">
        <v>1316</v>
      </c>
      <c r="E279">
        <v>1.68</v>
      </c>
      <c r="F279" t="s">
        <v>1315</v>
      </c>
      <c r="G279" t="s">
        <v>640</v>
      </c>
      <c r="H279">
        <v>6991</v>
      </c>
    </row>
    <row r="280" spans="1:8" x14ac:dyDescent="0.25">
      <c r="A280" t="s">
        <v>13699</v>
      </c>
      <c r="B280" t="s">
        <v>13739</v>
      </c>
      <c r="C280" t="s">
        <v>13738</v>
      </c>
      <c r="D280" t="s">
        <v>4379</v>
      </c>
      <c r="E280">
        <v>3.36</v>
      </c>
      <c r="F280" t="s">
        <v>4380</v>
      </c>
      <c r="G280" t="s">
        <v>640</v>
      </c>
      <c r="H280">
        <v>6992</v>
      </c>
    </row>
    <row r="281" spans="1:8" x14ac:dyDescent="0.25">
      <c r="A281" t="s">
        <v>13699</v>
      </c>
      <c r="B281" t="s">
        <v>13737</v>
      </c>
      <c r="C281" t="s">
        <v>13736</v>
      </c>
      <c r="D281" t="s">
        <v>968</v>
      </c>
      <c r="E281">
        <v>3.51</v>
      </c>
      <c r="F281" t="s">
        <v>967</v>
      </c>
      <c r="G281" t="s">
        <v>640</v>
      </c>
      <c r="H281">
        <v>6993</v>
      </c>
    </row>
    <row r="282" spans="1:8" x14ac:dyDescent="0.25">
      <c r="A282" t="s">
        <v>13699</v>
      </c>
      <c r="B282" t="s">
        <v>13735</v>
      </c>
      <c r="C282" t="s">
        <v>13734</v>
      </c>
      <c r="D282" t="s">
        <v>938</v>
      </c>
      <c r="E282">
        <v>1.68</v>
      </c>
      <c r="F282" t="s">
        <v>937</v>
      </c>
      <c r="G282" t="s">
        <v>640</v>
      </c>
      <c r="H282">
        <v>6994</v>
      </c>
    </row>
    <row r="283" spans="1:8" x14ac:dyDescent="0.25">
      <c r="A283" t="s">
        <v>13699</v>
      </c>
      <c r="B283" t="s">
        <v>13733</v>
      </c>
      <c r="C283" t="s">
        <v>13732</v>
      </c>
      <c r="D283" t="s">
        <v>1176</v>
      </c>
      <c r="E283">
        <v>4.43</v>
      </c>
      <c r="F283" t="s">
        <v>1175</v>
      </c>
      <c r="G283" t="s">
        <v>640</v>
      </c>
      <c r="H283">
        <v>6995</v>
      </c>
    </row>
    <row r="284" spans="1:8" x14ac:dyDescent="0.25">
      <c r="A284" t="s">
        <v>13699</v>
      </c>
      <c r="B284" t="s">
        <v>13731</v>
      </c>
      <c r="C284" t="s">
        <v>13730</v>
      </c>
      <c r="D284" t="s">
        <v>5644</v>
      </c>
      <c r="E284">
        <v>3.36</v>
      </c>
      <c r="F284" t="s">
        <v>5645</v>
      </c>
      <c r="G284" t="s">
        <v>640</v>
      </c>
      <c r="H284">
        <v>6996</v>
      </c>
    </row>
    <row r="285" spans="1:8" x14ac:dyDescent="0.25">
      <c r="A285" t="s">
        <v>13699</v>
      </c>
      <c r="B285" t="s">
        <v>13729</v>
      </c>
      <c r="C285" t="s">
        <v>13728</v>
      </c>
      <c r="D285" t="s">
        <v>1580</v>
      </c>
      <c r="E285">
        <v>14.95</v>
      </c>
      <c r="F285" t="s">
        <v>1581</v>
      </c>
      <c r="G285" t="s">
        <v>640</v>
      </c>
      <c r="H285">
        <v>6997</v>
      </c>
    </row>
    <row r="286" spans="1:8" x14ac:dyDescent="0.25">
      <c r="A286" t="s">
        <v>13699</v>
      </c>
      <c r="B286" t="s">
        <v>13727</v>
      </c>
      <c r="C286" t="s">
        <v>13726</v>
      </c>
      <c r="D286" t="s">
        <v>786</v>
      </c>
      <c r="E286">
        <v>2.35</v>
      </c>
      <c r="F286" t="s">
        <v>785</v>
      </c>
      <c r="G286" t="s">
        <v>640</v>
      </c>
      <c r="H286">
        <v>6998</v>
      </c>
    </row>
    <row r="287" spans="1:8" x14ac:dyDescent="0.25">
      <c r="A287" t="s">
        <v>13699</v>
      </c>
      <c r="B287" t="s">
        <v>13725</v>
      </c>
      <c r="C287" t="s">
        <v>13724</v>
      </c>
      <c r="D287" t="s">
        <v>787</v>
      </c>
      <c r="E287">
        <v>6.17</v>
      </c>
      <c r="F287" t="s">
        <v>785</v>
      </c>
      <c r="G287" t="s">
        <v>640</v>
      </c>
      <c r="H287">
        <v>6999</v>
      </c>
    </row>
    <row r="288" spans="1:8" x14ac:dyDescent="0.25">
      <c r="A288" t="s">
        <v>13699</v>
      </c>
      <c r="B288" t="s">
        <v>13723</v>
      </c>
      <c r="C288" t="s">
        <v>13722</v>
      </c>
      <c r="D288" t="s">
        <v>1442</v>
      </c>
      <c r="E288">
        <v>8.3800000000000008</v>
      </c>
      <c r="F288" t="s">
        <v>1441</v>
      </c>
      <c r="G288" t="s">
        <v>640</v>
      </c>
      <c r="H288">
        <v>7000</v>
      </c>
    </row>
    <row r="289" spans="1:8" x14ac:dyDescent="0.25">
      <c r="A289" t="s">
        <v>13699</v>
      </c>
      <c r="B289" t="s">
        <v>13721</v>
      </c>
      <c r="C289" t="s">
        <v>13720</v>
      </c>
      <c r="D289" t="s">
        <v>4396</v>
      </c>
      <c r="E289">
        <v>5.36</v>
      </c>
      <c r="F289" t="s">
        <v>4397</v>
      </c>
      <c r="G289" t="s">
        <v>640</v>
      </c>
      <c r="H289">
        <v>7001</v>
      </c>
    </row>
    <row r="290" spans="1:8" x14ac:dyDescent="0.25">
      <c r="A290" t="s">
        <v>13699</v>
      </c>
      <c r="B290" t="s">
        <v>13719</v>
      </c>
      <c r="C290" t="s">
        <v>13718</v>
      </c>
      <c r="D290" t="s">
        <v>670</v>
      </c>
      <c r="E290">
        <v>6.06</v>
      </c>
      <c r="F290" t="s">
        <v>669</v>
      </c>
      <c r="G290" t="s">
        <v>640</v>
      </c>
      <c r="H290">
        <v>7002</v>
      </c>
    </row>
    <row r="291" spans="1:8" x14ac:dyDescent="0.25">
      <c r="A291" t="s">
        <v>13699</v>
      </c>
      <c r="B291" t="s">
        <v>13717</v>
      </c>
      <c r="C291" t="s">
        <v>13716</v>
      </c>
      <c r="D291" t="s">
        <v>3907</v>
      </c>
      <c r="E291">
        <v>7</v>
      </c>
      <c r="F291" t="s">
        <v>3908</v>
      </c>
      <c r="G291" t="s">
        <v>640</v>
      </c>
      <c r="H291">
        <v>7003</v>
      </c>
    </row>
    <row r="292" spans="1:8" x14ac:dyDescent="0.25">
      <c r="A292" t="s">
        <v>13699</v>
      </c>
      <c r="B292" t="s">
        <v>13715</v>
      </c>
      <c r="C292" t="s">
        <v>13714</v>
      </c>
      <c r="D292" t="s">
        <v>1009</v>
      </c>
      <c r="E292">
        <v>1.86</v>
      </c>
      <c r="F292" t="s">
        <v>1008</v>
      </c>
      <c r="G292" t="s">
        <v>640</v>
      </c>
      <c r="H292">
        <v>7004</v>
      </c>
    </row>
    <row r="293" spans="1:8" x14ac:dyDescent="0.25">
      <c r="A293" t="s">
        <v>13699</v>
      </c>
      <c r="B293" t="s">
        <v>6044</v>
      </c>
      <c r="C293" t="s">
        <v>13713</v>
      </c>
      <c r="D293" t="s">
        <v>5728</v>
      </c>
      <c r="E293">
        <v>1.68</v>
      </c>
      <c r="F293" t="s">
        <v>5729</v>
      </c>
      <c r="G293" t="s">
        <v>640</v>
      </c>
      <c r="H293">
        <v>7005</v>
      </c>
    </row>
    <row r="294" spans="1:8" x14ac:dyDescent="0.25">
      <c r="A294" t="s">
        <v>13699</v>
      </c>
      <c r="B294" t="s">
        <v>13712</v>
      </c>
      <c r="C294" t="s">
        <v>13711</v>
      </c>
      <c r="D294" t="s">
        <v>11290</v>
      </c>
      <c r="E294">
        <v>7.54</v>
      </c>
      <c r="F294" t="s">
        <v>11289</v>
      </c>
      <c r="G294" t="s">
        <v>640</v>
      </c>
      <c r="H294">
        <v>7006</v>
      </c>
    </row>
    <row r="295" spans="1:8" x14ac:dyDescent="0.25">
      <c r="A295" t="s">
        <v>13699</v>
      </c>
      <c r="B295" t="s">
        <v>10520</v>
      </c>
      <c r="C295" t="s">
        <v>13710</v>
      </c>
      <c r="D295" t="s">
        <v>844</v>
      </c>
      <c r="E295">
        <v>2.52</v>
      </c>
      <c r="F295" t="s">
        <v>843</v>
      </c>
      <c r="G295" t="s">
        <v>640</v>
      </c>
      <c r="H295">
        <v>7007</v>
      </c>
    </row>
    <row r="296" spans="1:8" x14ac:dyDescent="0.25">
      <c r="A296" t="s">
        <v>13699</v>
      </c>
      <c r="B296" t="s">
        <v>13709</v>
      </c>
      <c r="C296" t="s">
        <v>13708</v>
      </c>
      <c r="D296" t="s">
        <v>3835</v>
      </c>
      <c r="E296">
        <v>6.04</v>
      </c>
      <c r="F296" t="s">
        <v>3836</v>
      </c>
      <c r="G296" t="s">
        <v>640</v>
      </c>
      <c r="H296">
        <v>7008</v>
      </c>
    </row>
    <row r="297" spans="1:8" x14ac:dyDescent="0.25">
      <c r="A297" t="s">
        <v>13699</v>
      </c>
      <c r="B297" t="s">
        <v>13707</v>
      </c>
      <c r="C297" t="s">
        <v>13706</v>
      </c>
      <c r="D297" t="s">
        <v>1375</v>
      </c>
      <c r="E297">
        <v>1.79</v>
      </c>
      <c r="F297" t="s">
        <v>1374</v>
      </c>
      <c r="G297" t="s">
        <v>640</v>
      </c>
      <c r="H297">
        <v>7009</v>
      </c>
    </row>
    <row r="298" spans="1:8" x14ac:dyDescent="0.25">
      <c r="A298" t="s">
        <v>13699</v>
      </c>
      <c r="B298" t="s">
        <v>13705</v>
      </c>
      <c r="C298" t="s">
        <v>13704</v>
      </c>
      <c r="D298" t="s">
        <v>794</v>
      </c>
      <c r="E298">
        <v>8.3800000000000008</v>
      </c>
      <c r="F298" t="s">
        <v>793</v>
      </c>
      <c r="G298" t="s">
        <v>640</v>
      </c>
      <c r="H298">
        <v>7010</v>
      </c>
    </row>
    <row r="299" spans="1:8" x14ac:dyDescent="0.25">
      <c r="A299" t="s">
        <v>13699</v>
      </c>
      <c r="B299" t="s">
        <v>13703</v>
      </c>
      <c r="C299" t="s">
        <v>13702</v>
      </c>
      <c r="D299" t="s">
        <v>13701</v>
      </c>
      <c r="E299">
        <v>5.97</v>
      </c>
      <c r="F299" t="s">
        <v>13700</v>
      </c>
      <c r="G299" t="s">
        <v>640</v>
      </c>
      <c r="H299">
        <v>7011</v>
      </c>
    </row>
    <row r="300" spans="1:8" x14ac:dyDescent="0.25">
      <c r="A300" t="s">
        <v>13699</v>
      </c>
      <c r="B300" t="s">
        <v>13698</v>
      </c>
      <c r="C300" t="s">
        <v>13697</v>
      </c>
      <c r="D300" t="s">
        <v>3720</v>
      </c>
      <c r="E300">
        <v>1.88</v>
      </c>
      <c r="F300" t="s">
        <v>3721</v>
      </c>
      <c r="G300" t="s">
        <v>640</v>
      </c>
      <c r="H300">
        <v>7012</v>
      </c>
    </row>
    <row r="301" spans="1:8" x14ac:dyDescent="0.25">
      <c r="C301" s="210" t="s">
        <v>3579</v>
      </c>
      <c r="E301" s="219">
        <f>SUM(E277:E300)</f>
        <v>117.56000000000002</v>
      </c>
    </row>
    <row r="302" spans="1:8" x14ac:dyDescent="0.25">
      <c r="A302" t="s">
        <v>13651</v>
      </c>
      <c r="B302" t="s">
        <v>13696</v>
      </c>
      <c r="C302" t="s">
        <v>13695</v>
      </c>
      <c r="D302" t="s">
        <v>664</v>
      </c>
      <c r="E302">
        <v>9.51</v>
      </c>
      <c r="F302" t="s">
        <v>663</v>
      </c>
      <c r="G302" t="s">
        <v>640</v>
      </c>
      <c r="H302">
        <v>7049</v>
      </c>
    </row>
    <row r="303" spans="1:8" x14ac:dyDescent="0.25">
      <c r="A303" t="s">
        <v>13651</v>
      </c>
      <c r="B303" t="s">
        <v>13694</v>
      </c>
      <c r="C303" t="s">
        <v>13693</v>
      </c>
      <c r="D303" t="s">
        <v>962</v>
      </c>
      <c r="E303">
        <v>4.18</v>
      </c>
      <c r="F303" t="s">
        <v>961</v>
      </c>
      <c r="G303" t="s">
        <v>640</v>
      </c>
      <c r="H303">
        <v>7050</v>
      </c>
    </row>
    <row r="304" spans="1:8" x14ac:dyDescent="0.25">
      <c r="A304" t="s">
        <v>13651</v>
      </c>
      <c r="B304" t="s">
        <v>13692</v>
      </c>
      <c r="C304" t="s">
        <v>13691</v>
      </c>
      <c r="D304" t="s">
        <v>668</v>
      </c>
      <c r="E304">
        <v>1.68</v>
      </c>
      <c r="F304" t="s">
        <v>667</v>
      </c>
      <c r="G304" t="s">
        <v>640</v>
      </c>
      <c r="H304">
        <v>7051</v>
      </c>
    </row>
    <row r="305" spans="1:8" x14ac:dyDescent="0.25">
      <c r="A305" t="s">
        <v>13651</v>
      </c>
      <c r="B305" t="s">
        <v>13690</v>
      </c>
      <c r="C305" t="s">
        <v>13689</v>
      </c>
      <c r="D305" t="s">
        <v>5823</v>
      </c>
      <c r="E305">
        <v>15.06</v>
      </c>
      <c r="F305" t="s">
        <v>5824</v>
      </c>
      <c r="G305" t="s">
        <v>640</v>
      </c>
      <c r="H305">
        <v>7052</v>
      </c>
    </row>
    <row r="306" spans="1:8" x14ac:dyDescent="0.25">
      <c r="A306" t="s">
        <v>13651</v>
      </c>
      <c r="B306" t="s">
        <v>13688</v>
      </c>
      <c r="C306" t="s">
        <v>13687</v>
      </c>
      <c r="D306" t="s">
        <v>5386</v>
      </c>
      <c r="E306">
        <v>4.03</v>
      </c>
      <c r="F306" t="s">
        <v>5387</v>
      </c>
      <c r="G306" t="s">
        <v>640</v>
      </c>
      <c r="H306">
        <v>7053</v>
      </c>
    </row>
    <row r="307" spans="1:8" x14ac:dyDescent="0.25">
      <c r="A307" t="s">
        <v>13651</v>
      </c>
      <c r="B307" t="s">
        <v>13686</v>
      </c>
      <c r="C307" t="s">
        <v>13685</v>
      </c>
      <c r="D307" t="s">
        <v>1483</v>
      </c>
      <c r="E307">
        <v>1.94</v>
      </c>
      <c r="F307" t="s">
        <v>1482</v>
      </c>
      <c r="G307" t="s">
        <v>640</v>
      </c>
      <c r="H307">
        <v>7054</v>
      </c>
    </row>
    <row r="308" spans="1:8" x14ac:dyDescent="0.25">
      <c r="A308" t="s">
        <v>13651</v>
      </c>
      <c r="B308" t="s">
        <v>13684</v>
      </c>
      <c r="C308" t="s">
        <v>13683</v>
      </c>
      <c r="D308" t="s">
        <v>13682</v>
      </c>
      <c r="E308">
        <v>0.19</v>
      </c>
      <c r="F308" t="s">
        <v>13681</v>
      </c>
      <c r="G308" t="s">
        <v>640</v>
      </c>
      <c r="H308">
        <v>7055</v>
      </c>
    </row>
    <row r="309" spans="1:8" x14ac:dyDescent="0.25">
      <c r="A309" t="s">
        <v>13651</v>
      </c>
      <c r="B309" t="s">
        <v>13680</v>
      </c>
      <c r="C309" t="s">
        <v>13679</v>
      </c>
      <c r="D309" t="s">
        <v>13678</v>
      </c>
      <c r="E309">
        <v>0.76</v>
      </c>
      <c r="F309" t="s">
        <v>13677</v>
      </c>
      <c r="G309" t="s">
        <v>640</v>
      </c>
      <c r="H309">
        <v>7056</v>
      </c>
    </row>
    <row r="310" spans="1:8" x14ac:dyDescent="0.25">
      <c r="A310" t="s">
        <v>13651</v>
      </c>
      <c r="B310" t="s">
        <v>13676</v>
      </c>
      <c r="C310" t="s">
        <v>13675</v>
      </c>
      <c r="D310" t="s">
        <v>1367</v>
      </c>
      <c r="E310">
        <v>2.58</v>
      </c>
      <c r="F310" t="s">
        <v>1366</v>
      </c>
      <c r="G310" t="s">
        <v>640</v>
      </c>
      <c r="H310">
        <v>7057</v>
      </c>
    </row>
    <row r="311" spans="1:8" x14ac:dyDescent="0.25">
      <c r="A311" t="s">
        <v>13651</v>
      </c>
      <c r="B311" t="s">
        <v>11483</v>
      </c>
      <c r="C311" t="s">
        <v>13674</v>
      </c>
      <c r="D311" t="s">
        <v>4604</v>
      </c>
      <c r="E311">
        <v>4.1399999999999997</v>
      </c>
      <c r="F311" t="s">
        <v>4605</v>
      </c>
      <c r="G311" t="s">
        <v>640</v>
      </c>
      <c r="H311">
        <v>7058</v>
      </c>
    </row>
    <row r="312" spans="1:8" x14ac:dyDescent="0.25">
      <c r="A312" t="s">
        <v>13651</v>
      </c>
      <c r="B312" t="s">
        <v>13673</v>
      </c>
      <c r="C312" t="s">
        <v>13672</v>
      </c>
      <c r="D312" t="s">
        <v>13671</v>
      </c>
      <c r="E312">
        <v>8.59</v>
      </c>
      <c r="F312" t="s">
        <v>13670</v>
      </c>
      <c r="G312" t="s">
        <v>640</v>
      </c>
      <c r="H312">
        <v>7059</v>
      </c>
    </row>
    <row r="313" spans="1:8" x14ac:dyDescent="0.25">
      <c r="A313" t="s">
        <v>13651</v>
      </c>
      <c r="B313" t="s">
        <v>13669</v>
      </c>
      <c r="C313" t="s">
        <v>13668</v>
      </c>
      <c r="D313" t="s">
        <v>4384</v>
      </c>
      <c r="E313">
        <v>3.45</v>
      </c>
      <c r="F313" t="s">
        <v>4385</v>
      </c>
      <c r="G313" t="s">
        <v>640</v>
      </c>
      <c r="H313">
        <v>7060</v>
      </c>
    </row>
    <row r="314" spans="1:8" x14ac:dyDescent="0.25">
      <c r="A314" t="s">
        <v>13651</v>
      </c>
      <c r="B314" t="s">
        <v>13667</v>
      </c>
      <c r="C314" t="s">
        <v>13666</v>
      </c>
      <c r="D314" t="s">
        <v>1517</v>
      </c>
      <c r="E314">
        <v>5.04</v>
      </c>
      <c r="F314" t="s">
        <v>1516</v>
      </c>
      <c r="G314" t="s">
        <v>640</v>
      </c>
      <c r="H314">
        <v>7061</v>
      </c>
    </row>
    <row r="315" spans="1:8" x14ac:dyDescent="0.25">
      <c r="A315" t="s">
        <v>13651</v>
      </c>
      <c r="B315" t="s">
        <v>13665</v>
      </c>
      <c r="C315" t="s">
        <v>13664</v>
      </c>
      <c r="D315" t="s">
        <v>1361</v>
      </c>
      <c r="E315">
        <v>12.3</v>
      </c>
      <c r="F315" t="s">
        <v>1360</v>
      </c>
      <c r="G315" t="s">
        <v>640</v>
      </c>
      <c r="H315">
        <v>7062</v>
      </c>
    </row>
    <row r="316" spans="1:8" x14ac:dyDescent="0.25">
      <c r="A316" t="s">
        <v>13651</v>
      </c>
      <c r="B316" t="s">
        <v>13663</v>
      </c>
      <c r="C316" t="s">
        <v>13662</v>
      </c>
      <c r="D316" t="s">
        <v>1241</v>
      </c>
      <c r="E316">
        <v>2.79</v>
      </c>
      <c r="F316" t="s">
        <v>1240</v>
      </c>
      <c r="G316" t="s">
        <v>640</v>
      </c>
      <c r="H316">
        <v>7063</v>
      </c>
    </row>
    <row r="317" spans="1:8" x14ac:dyDescent="0.25">
      <c r="A317" t="s">
        <v>13651</v>
      </c>
      <c r="B317" t="s">
        <v>13661</v>
      </c>
      <c r="C317" t="s">
        <v>13660</v>
      </c>
      <c r="D317" t="s">
        <v>857</v>
      </c>
      <c r="E317">
        <v>1.9</v>
      </c>
      <c r="F317" t="s">
        <v>856</v>
      </c>
      <c r="G317" t="s">
        <v>640</v>
      </c>
      <c r="H317">
        <v>7064</v>
      </c>
    </row>
    <row r="318" spans="1:8" x14ac:dyDescent="0.25">
      <c r="A318" t="s">
        <v>13651</v>
      </c>
      <c r="B318" t="s">
        <v>13659</v>
      </c>
      <c r="C318" t="s">
        <v>13658</v>
      </c>
      <c r="D318" t="s">
        <v>13657</v>
      </c>
      <c r="E318">
        <v>5.48</v>
      </c>
      <c r="F318" t="s">
        <v>13656</v>
      </c>
      <c r="G318" t="s">
        <v>640</v>
      </c>
      <c r="H318">
        <v>7065</v>
      </c>
    </row>
    <row r="319" spans="1:8" x14ac:dyDescent="0.25">
      <c r="A319" t="s">
        <v>13651</v>
      </c>
      <c r="B319" t="s">
        <v>13655</v>
      </c>
      <c r="C319" t="s">
        <v>13654</v>
      </c>
      <c r="D319" t="s">
        <v>13653</v>
      </c>
      <c r="E319">
        <v>31.82</v>
      </c>
      <c r="F319" t="s">
        <v>13652</v>
      </c>
      <c r="G319" t="s">
        <v>640</v>
      </c>
      <c r="H319">
        <v>7066</v>
      </c>
    </row>
    <row r="320" spans="1:8" x14ac:dyDescent="0.25">
      <c r="A320" t="s">
        <v>13651</v>
      </c>
      <c r="B320" t="s">
        <v>13650</v>
      </c>
      <c r="C320" t="s">
        <v>13649</v>
      </c>
      <c r="D320" t="s">
        <v>13648</v>
      </c>
      <c r="E320">
        <v>26.3</v>
      </c>
      <c r="F320" t="s">
        <v>13647</v>
      </c>
      <c r="G320" t="s">
        <v>640</v>
      </c>
      <c r="H320">
        <v>7075</v>
      </c>
    </row>
    <row r="321" spans="1:8" x14ac:dyDescent="0.25">
      <c r="C321" s="210" t="s">
        <v>3579</v>
      </c>
      <c r="E321" s="219">
        <f>SUM(E302:E320)</f>
        <v>141.74000000000004</v>
      </c>
    </row>
    <row r="322" spans="1:8" x14ac:dyDescent="0.25">
      <c r="A322" t="s">
        <v>13609</v>
      </c>
      <c r="B322" t="s">
        <v>13646</v>
      </c>
      <c r="C322" t="s">
        <v>13645</v>
      </c>
      <c r="D322" t="s">
        <v>855</v>
      </c>
      <c r="E322">
        <v>30.48</v>
      </c>
      <c r="F322" t="s">
        <v>854</v>
      </c>
      <c r="G322" t="s">
        <v>640</v>
      </c>
      <c r="H322">
        <v>7092</v>
      </c>
    </row>
    <row r="323" spans="1:8" x14ac:dyDescent="0.25">
      <c r="A323" t="s">
        <v>13609</v>
      </c>
      <c r="B323" t="s">
        <v>13644</v>
      </c>
      <c r="C323" t="s">
        <v>13643</v>
      </c>
      <c r="D323" t="s">
        <v>819</v>
      </c>
      <c r="E323">
        <v>3.83</v>
      </c>
      <c r="F323" t="s">
        <v>818</v>
      </c>
      <c r="G323" t="s">
        <v>640</v>
      </c>
      <c r="H323">
        <v>7093</v>
      </c>
    </row>
    <row r="324" spans="1:8" x14ac:dyDescent="0.25">
      <c r="A324" t="s">
        <v>13609</v>
      </c>
      <c r="B324" t="s">
        <v>13642</v>
      </c>
      <c r="C324" t="s">
        <v>13641</v>
      </c>
      <c r="D324" t="s">
        <v>13640</v>
      </c>
      <c r="E324">
        <v>20.38</v>
      </c>
      <c r="F324" t="s">
        <v>13639</v>
      </c>
      <c r="G324" t="s">
        <v>640</v>
      </c>
      <c r="H324">
        <v>7094</v>
      </c>
    </row>
    <row r="325" spans="1:8" x14ac:dyDescent="0.25">
      <c r="A325" t="s">
        <v>13609</v>
      </c>
      <c r="B325" t="s">
        <v>13638</v>
      </c>
      <c r="C325" t="s">
        <v>13637</v>
      </c>
      <c r="D325" t="s">
        <v>1357</v>
      </c>
      <c r="E325">
        <v>3.74</v>
      </c>
      <c r="F325" t="s">
        <v>1356</v>
      </c>
      <c r="G325" t="s">
        <v>640</v>
      </c>
      <c r="H325">
        <v>7095</v>
      </c>
    </row>
    <row r="326" spans="1:8" x14ac:dyDescent="0.25">
      <c r="A326" t="s">
        <v>13609</v>
      </c>
      <c r="B326" t="s">
        <v>13636</v>
      </c>
      <c r="C326" t="s">
        <v>13635</v>
      </c>
      <c r="D326" t="s">
        <v>5333</v>
      </c>
      <c r="E326">
        <v>30.6</v>
      </c>
      <c r="F326" t="s">
        <v>5334</v>
      </c>
      <c r="G326" t="s">
        <v>640</v>
      </c>
      <c r="H326">
        <v>7098</v>
      </c>
    </row>
    <row r="327" spans="1:8" x14ac:dyDescent="0.25">
      <c r="A327" t="s">
        <v>13609</v>
      </c>
      <c r="B327" t="s">
        <v>13634</v>
      </c>
      <c r="C327" t="s">
        <v>13633</v>
      </c>
      <c r="D327" t="s">
        <v>3730</v>
      </c>
      <c r="E327">
        <v>1.68</v>
      </c>
      <c r="F327" t="s">
        <v>3731</v>
      </c>
      <c r="G327" t="s">
        <v>640</v>
      </c>
      <c r="H327">
        <v>7099</v>
      </c>
    </row>
    <row r="328" spans="1:8" x14ac:dyDescent="0.25">
      <c r="A328" t="s">
        <v>13609</v>
      </c>
      <c r="B328" t="s">
        <v>13632</v>
      </c>
      <c r="C328" t="s">
        <v>13631</v>
      </c>
      <c r="D328" t="s">
        <v>13630</v>
      </c>
      <c r="E328">
        <v>5.04</v>
      </c>
      <c r="F328" t="s">
        <v>13629</v>
      </c>
      <c r="G328" t="s">
        <v>640</v>
      </c>
      <c r="H328">
        <v>7100</v>
      </c>
    </row>
    <row r="329" spans="1:8" x14ac:dyDescent="0.25">
      <c r="A329" t="s">
        <v>13609</v>
      </c>
      <c r="B329" t="s">
        <v>13628</v>
      </c>
      <c r="C329" t="s">
        <v>13627</v>
      </c>
      <c r="D329" t="s">
        <v>1166</v>
      </c>
      <c r="E329">
        <v>10.94</v>
      </c>
      <c r="F329" t="s">
        <v>1165</v>
      </c>
      <c r="G329" t="s">
        <v>640</v>
      </c>
      <c r="H329">
        <v>7101</v>
      </c>
    </row>
    <row r="330" spans="1:8" x14ac:dyDescent="0.25">
      <c r="A330" t="s">
        <v>13609</v>
      </c>
      <c r="B330" t="s">
        <v>2751</v>
      </c>
      <c r="C330" t="s">
        <v>13626</v>
      </c>
      <c r="D330" t="s">
        <v>1184</v>
      </c>
      <c r="E330">
        <v>5.04</v>
      </c>
      <c r="F330" t="s">
        <v>1183</v>
      </c>
      <c r="G330" t="s">
        <v>640</v>
      </c>
      <c r="H330">
        <v>7102</v>
      </c>
    </row>
    <row r="331" spans="1:8" x14ac:dyDescent="0.25">
      <c r="A331" t="s">
        <v>13609</v>
      </c>
      <c r="B331" t="s">
        <v>13625</v>
      </c>
      <c r="C331" t="s">
        <v>13624</v>
      </c>
      <c r="D331" t="s">
        <v>13623</v>
      </c>
      <c r="E331">
        <v>2.64</v>
      </c>
      <c r="F331" t="s">
        <v>13622</v>
      </c>
      <c r="G331" t="s">
        <v>640</v>
      </c>
      <c r="H331">
        <v>7103</v>
      </c>
    </row>
    <row r="332" spans="1:8" x14ac:dyDescent="0.25">
      <c r="A332" t="s">
        <v>13609</v>
      </c>
      <c r="B332" t="s">
        <v>13621</v>
      </c>
      <c r="C332" t="s">
        <v>13620</v>
      </c>
      <c r="D332" t="s">
        <v>13619</v>
      </c>
      <c r="E332">
        <v>1.32</v>
      </c>
      <c r="F332" t="s">
        <v>13618</v>
      </c>
      <c r="G332" t="s">
        <v>640</v>
      </c>
      <c r="H332">
        <v>7104</v>
      </c>
    </row>
    <row r="333" spans="1:8" x14ac:dyDescent="0.25">
      <c r="A333" t="s">
        <v>13609</v>
      </c>
      <c r="B333" t="s">
        <v>13617</v>
      </c>
      <c r="C333" t="s">
        <v>13616</v>
      </c>
      <c r="D333" t="s">
        <v>1365</v>
      </c>
      <c r="E333">
        <v>7.83</v>
      </c>
      <c r="F333" t="s">
        <v>1364</v>
      </c>
      <c r="G333" t="s">
        <v>640</v>
      </c>
      <c r="H333">
        <v>7105</v>
      </c>
    </row>
    <row r="334" spans="1:8" x14ac:dyDescent="0.25">
      <c r="A334" t="s">
        <v>13609</v>
      </c>
      <c r="B334" t="s">
        <v>13615</v>
      </c>
      <c r="C334" t="s">
        <v>13614</v>
      </c>
      <c r="D334" t="s">
        <v>13613</v>
      </c>
      <c r="E334">
        <v>0.69</v>
      </c>
      <c r="F334" t="s">
        <v>13612</v>
      </c>
      <c r="G334" t="s">
        <v>640</v>
      </c>
      <c r="H334">
        <v>7106</v>
      </c>
    </row>
    <row r="335" spans="1:8" x14ac:dyDescent="0.25">
      <c r="A335" t="s">
        <v>13609</v>
      </c>
      <c r="B335" t="s">
        <v>13611</v>
      </c>
      <c r="C335" t="s">
        <v>13610</v>
      </c>
      <c r="D335" t="s">
        <v>5174</v>
      </c>
      <c r="E335">
        <v>4.3499999999999996</v>
      </c>
      <c r="F335" t="s">
        <v>5175</v>
      </c>
      <c r="G335" t="s">
        <v>640</v>
      </c>
      <c r="H335">
        <v>7107</v>
      </c>
    </row>
    <row r="336" spans="1:8" x14ac:dyDescent="0.25">
      <c r="A336" t="s">
        <v>13609</v>
      </c>
      <c r="B336" t="s">
        <v>13608</v>
      </c>
      <c r="C336" t="s">
        <v>13607</v>
      </c>
      <c r="D336" t="s">
        <v>729</v>
      </c>
      <c r="E336">
        <v>1.68</v>
      </c>
      <c r="F336" t="s">
        <v>728</v>
      </c>
      <c r="G336" t="s">
        <v>640</v>
      </c>
      <c r="H336">
        <v>7108</v>
      </c>
    </row>
    <row r="337" spans="1:8" x14ac:dyDescent="0.25">
      <c r="C337" s="210" t="s">
        <v>3579</v>
      </c>
      <c r="E337" s="219">
        <f>SUM(E322:E336)</f>
        <v>130.24</v>
      </c>
    </row>
    <row r="338" spans="1:8" x14ac:dyDescent="0.25">
      <c r="A338" t="s">
        <v>13581</v>
      </c>
      <c r="B338" t="s">
        <v>13606</v>
      </c>
      <c r="C338" t="s">
        <v>13605</v>
      </c>
      <c r="D338" t="s">
        <v>1146</v>
      </c>
      <c r="E338">
        <v>5.61</v>
      </c>
      <c r="F338" t="s">
        <v>673</v>
      </c>
      <c r="G338" t="s">
        <v>640</v>
      </c>
      <c r="H338">
        <v>7116</v>
      </c>
    </row>
    <row r="339" spans="1:8" x14ac:dyDescent="0.25">
      <c r="A339" t="s">
        <v>13581</v>
      </c>
      <c r="B339" t="s">
        <v>13604</v>
      </c>
      <c r="C339" t="s">
        <v>13603</v>
      </c>
      <c r="D339" t="s">
        <v>1269</v>
      </c>
      <c r="E339">
        <v>12.15</v>
      </c>
      <c r="F339" t="s">
        <v>1268</v>
      </c>
      <c r="G339" t="s">
        <v>640</v>
      </c>
      <c r="H339">
        <v>7117</v>
      </c>
    </row>
    <row r="340" spans="1:8" x14ac:dyDescent="0.25">
      <c r="A340" t="s">
        <v>13581</v>
      </c>
      <c r="B340" t="s">
        <v>13602</v>
      </c>
      <c r="C340" t="s">
        <v>13601</v>
      </c>
      <c r="D340" t="s">
        <v>922</v>
      </c>
      <c r="E340">
        <v>8.44</v>
      </c>
      <c r="F340" t="s">
        <v>921</v>
      </c>
      <c r="G340" t="s">
        <v>640</v>
      </c>
      <c r="H340">
        <v>7118</v>
      </c>
    </row>
    <row r="341" spans="1:8" x14ac:dyDescent="0.25">
      <c r="A341" t="s">
        <v>13581</v>
      </c>
      <c r="B341" t="s">
        <v>13600</v>
      </c>
      <c r="C341" t="s">
        <v>13599</v>
      </c>
      <c r="D341" t="s">
        <v>896</v>
      </c>
      <c r="E341">
        <v>4.5199999999999996</v>
      </c>
      <c r="F341" t="s">
        <v>895</v>
      </c>
      <c r="G341" t="s">
        <v>640</v>
      </c>
      <c r="H341" t="s">
        <v>13598</v>
      </c>
    </row>
    <row r="342" spans="1:8" x14ac:dyDescent="0.25">
      <c r="A342" t="s">
        <v>13581</v>
      </c>
      <c r="B342" t="s">
        <v>13597</v>
      </c>
      <c r="C342" t="s">
        <v>13596</v>
      </c>
      <c r="D342" t="s">
        <v>4339</v>
      </c>
      <c r="E342">
        <v>2.2400000000000002</v>
      </c>
      <c r="F342" t="s">
        <v>4340</v>
      </c>
      <c r="G342" t="s">
        <v>640</v>
      </c>
      <c r="H342">
        <v>7119</v>
      </c>
    </row>
    <row r="343" spans="1:8" x14ac:dyDescent="0.25">
      <c r="A343" t="s">
        <v>13581</v>
      </c>
      <c r="B343" t="s">
        <v>13595</v>
      </c>
      <c r="C343" t="s">
        <v>13594</v>
      </c>
      <c r="D343" t="s">
        <v>6048</v>
      </c>
      <c r="E343">
        <v>18.29</v>
      </c>
      <c r="F343" t="s">
        <v>6049</v>
      </c>
      <c r="G343" t="s">
        <v>640</v>
      </c>
      <c r="H343">
        <v>7120</v>
      </c>
    </row>
    <row r="344" spans="1:8" x14ac:dyDescent="0.25">
      <c r="A344" t="s">
        <v>13581</v>
      </c>
      <c r="B344" t="s">
        <v>13593</v>
      </c>
      <c r="C344" t="s">
        <v>13592</v>
      </c>
      <c r="D344" t="s">
        <v>4575</v>
      </c>
      <c r="E344">
        <v>10.16</v>
      </c>
      <c r="F344" t="s">
        <v>4576</v>
      </c>
      <c r="G344" t="s">
        <v>640</v>
      </c>
      <c r="H344">
        <v>7121</v>
      </c>
    </row>
    <row r="345" spans="1:8" x14ac:dyDescent="0.25">
      <c r="A345" t="s">
        <v>13581</v>
      </c>
      <c r="B345" t="s">
        <v>13591</v>
      </c>
      <c r="C345" t="s">
        <v>13590</v>
      </c>
      <c r="D345" t="s">
        <v>5322</v>
      </c>
      <c r="E345">
        <v>11.68</v>
      </c>
      <c r="F345" t="s">
        <v>5323</v>
      </c>
      <c r="G345" t="s">
        <v>640</v>
      </c>
      <c r="H345">
        <v>7122</v>
      </c>
    </row>
    <row r="346" spans="1:8" x14ac:dyDescent="0.25">
      <c r="A346" t="s">
        <v>13581</v>
      </c>
      <c r="B346" t="s">
        <v>13589</v>
      </c>
      <c r="C346" t="s">
        <v>13588</v>
      </c>
      <c r="D346" t="s">
        <v>4173</v>
      </c>
      <c r="E346">
        <v>3.05</v>
      </c>
      <c r="F346" t="s">
        <v>4174</v>
      </c>
      <c r="G346" t="s">
        <v>640</v>
      </c>
      <c r="H346">
        <v>7123</v>
      </c>
    </row>
    <row r="347" spans="1:8" x14ac:dyDescent="0.25">
      <c r="A347" t="s">
        <v>13581</v>
      </c>
      <c r="B347" t="s">
        <v>13587</v>
      </c>
      <c r="C347" t="s">
        <v>13586</v>
      </c>
      <c r="D347" t="s">
        <v>10838</v>
      </c>
      <c r="E347">
        <v>3.7</v>
      </c>
      <c r="F347" t="s">
        <v>10837</v>
      </c>
      <c r="G347" t="s">
        <v>640</v>
      </c>
      <c r="H347">
        <v>7124</v>
      </c>
    </row>
    <row r="348" spans="1:8" x14ac:dyDescent="0.25">
      <c r="A348" t="s">
        <v>13581</v>
      </c>
      <c r="B348" t="s">
        <v>13585</v>
      </c>
      <c r="C348" t="s">
        <v>13584</v>
      </c>
      <c r="D348" t="s">
        <v>4789</v>
      </c>
      <c r="E348">
        <v>4.3499999999999996</v>
      </c>
      <c r="F348" t="s">
        <v>4790</v>
      </c>
      <c r="G348" t="s">
        <v>640</v>
      </c>
      <c r="H348">
        <v>7125</v>
      </c>
    </row>
    <row r="349" spans="1:8" x14ac:dyDescent="0.25">
      <c r="A349" t="s">
        <v>13581</v>
      </c>
      <c r="B349" t="s">
        <v>13583</v>
      </c>
      <c r="C349" t="s">
        <v>13582</v>
      </c>
      <c r="D349" t="s">
        <v>903</v>
      </c>
      <c r="E349">
        <v>4.22</v>
      </c>
      <c r="F349" t="s">
        <v>902</v>
      </c>
      <c r="G349" t="s">
        <v>640</v>
      </c>
      <c r="H349">
        <v>7126</v>
      </c>
    </row>
    <row r="350" spans="1:8" x14ac:dyDescent="0.25">
      <c r="A350" t="s">
        <v>13581</v>
      </c>
      <c r="B350" t="s">
        <v>13580</v>
      </c>
      <c r="C350" t="s">
        <v>13579</v>
      </c>
      <c r="D350" t="s">
        <v>1145</v>
      </c>
      <c r="E350">
        <v>2.58</v>
      </c>
      <c r="F350" t="s">
        <v>1144</v>
      </c>
      <c r="G350" t="s">
        <v>640</v>
      </c>
      <c r="H350">
        <v>7127</v>
      </c>
    </row>
    <row r="351" spans="1:8" x14ac:dyDescent="0.25">
      <c r="C351" s="210" t="s">
        <v>3579</v>
      </c>
      <c r="E351" s="219">
        <f>SUM(E338:E350)</f>
        <v>90.99</v>
      </c>
    </row>
    <row r="352" spans="1:8" x14ac:dyDescent="0.25">
      <c r="A352" t="s">
        <v>13578</v>
      </c>
      <c r="B352" t="s">
        <v>13577</v>
      </c>
      <c r="C352" t="s">
        <v>13576</v>
      </c>
      <c r="D352" t="s">
        <v>13575</v>
      </c>
      <c r="E352">
        <v>5.33</v>
      </c>
      <c r="F352" t="s">
        <v>13574</v>
      </c>
      <c r="G352" t="s">
        <v>640</v>
      </c>
      <c r="H352">
        <v>7158</v>
      </c>
    </row>
    <row r="353" spans="1:8" x14ac:dyDescent="0.25">
      <c r="C353" s="210" t="s">
        <v>3740</v>
      </c>
      <c r="E353" s="219">
        <f>SUM(E352)</f>
        <v>5.33</v>
      </c>
    </row>
    <row r="354" spans="1:8" x14ac:dyDescent="0.25">
      <c r="A354" t="s">
        <v>13573</v>
      </c>
      <c r="B354" t="s">
        <v>13572</v>
      </c>
      <c r="C354" t="s">
        <v>13571</v>
      </c>
      <c r="D354" t="s">
        <v>1253</v>
      </c>
      <c r="E354">
        <v>18.66</v>
      </c>
      <c r="F354" t="s">
        <v>1252</v>
      </c>
      <c r="G354" t="s">
        <v>640</v>
      </c>
      <c r="H354">
        <v>7159</v>
      </c>
    </row>
    <row r="355" spans="1:8" x14ac:dyDescent="0.25">
      <c r="C355" s="210" t="s">
        <v>3740</v>
      </c>
      <c r="E355" s="219">
        <f>SUM(E354)</f>
        <v>18.66</v>
      </c>
    </row>
    <row r="356" spans="1:8" x14ac:dyDescent="0.25">
      <c r="A356" t="s">
        <v>13558</v>
      </c>
      <c r="B356" t="s">
        <v>13570</v>
      </c>
      <c r="C356" t="s">
        <v>13569</v>
      </c>
      <c r="D356" t="s">
        <v>5033</v>
      </c>
      <c r="E356">
        <v>5.18</v>
      </c>
      <c r="F356" t="s">
        <v>5034</v>
      </c>
      <c r="G356" t="s">
        <v>640</v>
      </c>
      <c r="H356">
        <v>7162</v>
      </c>
    </row>
    <row r="357" spans="1:8" x14ac:dyDescent="0.25">
      <c r="A357" t="s">
        <v>13558</v>
      </c>
      <c r="B357" t="s">
        <v>13568</v>
      </c>
      <c r="C357" t="s">
        <v>13567</v>
      </c>
      <c r="D357" t="s">
        <v>5052</v>
      </c>
      <c r="E357">
        <v>5.04</v>
      </c>
      <c r="F357" t="s">
        <v>5053</v>
      </c>
      <c r="G357" t="s">
        <v>640</v>
      </c>
      <c r="H357">
        <v>7163</v>
      </c>
    </row>
    <row r="358" spans="1:8" x14ac:dyDescent="0.25">
      <c r="A358" t="s">
        <v>13558</v>
      </c>
      <c r="B358" t="s">
        <v>13566</v>
      </c>
      <c r="C358" t="s">
        <v>13565</v>
      </c>
      <c r="D358" t="s">
        <v>942</v>
      </c>
      <c r="E358">
        <v>1.68</v>
      </c>
      <c r="F358" t="s">
        <v>941</v>
      </c>
      <c r="G358" t="s">
        <v>640</v>
      </c>
      <c r="H358">
        <v>7165</v>
      </c>
    </row>
    <row r="359" spans="1:8" x14ac:dyDescent="0.25">
      <c r="A359" t="s">
        <v>13558</v>
      </c>
      <c r="B359" t="s">
        <v>13564</v>
      </c>
      <c r="C359" t="s">
        <v>13563</v>
      </c>
      <c r="D359" t="s">
        <v>13562</v>
      </c>
      <c r="E359">
        <v>7.25</v>
      </c>
      <c r="F359" t="s">
        <v>13561</v>
      </c>
      <c r="G359" t="s">
        <v>640</v>
      </c>
      <c r="H359">
        <v>7164</v>
      </c>
    </row>
    <row r="360" spans="1:8" x14ac:dyDescent="0.25">
      <c r="A360" t="s">
        <v>13558</v>
      </c>
      <c r="B360" t="s">
        <v>13560</v>
      </c>
      <c r="C360" t="s">
        <v>13559</v>
      </c>
      <c r="D360" t="s">
        <v>3724</v>
      </c>
      <c r="E360">
        <v>9.23</v>
      </c>
      <c r="F360" t="s">
        <v>3725</v>
      </c>
      <c r="G360" t="s">
        <v>640</v>
      </c>
      <c r="H360">
        <v>7166</v>
      </c>
    </row>
    <row r="361" spans="1:8" x14ac:dyDescent="0.25">
      <c r="A361" t="s">
        <v>13558</v>
      </c>
      <c r="B361" t="s">
        <v>13557</v>
      </c>
      <c r="C361" t="s">
        <v>13556</v>
      </c>
      <c r="D361" t="s">
        <v>5251</v>
      </c>
      <c r="E361">
        <v>5.18</v>
      </c>
      <c r="F361" t="s">
        <v>5252</v>
      </c>
      <c r="G361" t="s">
        <v>640</v>
      </c>
      <c r="H361">
        <v>7167</v>
      </c>
    </row>
    <row r="362" spans="1:8" x14ac:dyDescent="0.25">
      <c r="C362" s="210" t="s">
        <v>3740</v>
      </c>
      <c r="E362" s="219">
        <f>SUM(E356:E361)</f>
        <v>33.56</v>
      </c>
    </row>
    <row r="363" spans="1:8" x14ac:dyDescent="0.25">
      <c r="A363" t="s">
        <v>13506</v>
      </c>
      <c r="B363" t="s">
        <v>13555</v>
      </c>
      <c r="C363" t="s">
        <v>13554</v>
      </c>
      <c r="D363" t="s">
        <v>1525</v>
      </c>
      <c r="E363">
        <v>17.850000000000001</v>
      </c>
      <c r="F363" t="s">
        <v>1524</v>
      </c>
      <c r="G363" t="s">
        <v>640</v>
      </c>
      <c r="H363">
        <v>7214</v>
      </c>
    </row>
    <row r="364" spans="1:8" x14ac:dyDescent="0.25">
      <c r="A364" t="s">
        <v>13506</v>
      </c>
      <c r="B364" t="s">
        <v>13553</v>
      </c>
      <c r="C364" t="s">
        <v>13552</v>
      </c>
      <c r="D364" t="s">
        <v>5718</v>
      </c>
      <c r="E364">
        <v>5.68</v>
      </c>
      <c r="F364" t="s">
        <v>5719</v>
      </c>
      <c r="G364" t="s">
        <v>640</v>
      </c>
      <c r="H364">
        <v>7215</v>
      </c>
    </row>
    <row r="365" spans="1:8" x14ac:dyDescent="0.25">
      <c r="A365" t="s">
        <v>13506</v>
      </c>
      <c r="B365" t="s">
        <v>13551</v>
      </c>
      <c r="C365" t="s">
        <v>13550</v>
      </c>
      <c r="D365" t="s">
        <v>3621</v>
      </c>
      <c r="E365">
        <v>3.32</v>
      </c>
      <c r="F365" t="s">
        <v>3622</v>
      </c>
      <c r="G365" t="s">
        <v>640</v>
      </c>
      <c r="H365">
        <v>7216</v>
      </c>
    </row>
    <row r="366" spans="1:8" x14ac:dyDescent="0.25">
      <c r="A366" t="s">
        <v>13506</v>
      </c>
      <c r="B366" t="s">
        <v>13549</v>
      </c>
      <c r="C366" t="s">
        <v>13548</v>
      </c>
      <c r="D366" t="s">
        <v>714</v>
      </c>
      <c r="E366">
        <v>4.92</v>
      </c>
      <c r="F366" t="s">
        <v>713</v>
      </c>
      <c r="G366" t="s">
        <v>640</v>
      </c>
      <c r="H366">
        <v>7217</v>
      </c>
    </row>
    <row r="367" spans="1:8" x14ac:dyDescent="0.25">
      <c r="A367" t="s">
        <v>13506</v>
      </c>
      <c r="B367" t="s">
        <v>13547</v>
      </c>
      <c r="C367" t="s">
        <v>13546</v>
      </c>
      <c r="D367" t="s">
        <v>13545</v>
      </c>
      <c r="E367">
        <v>3.24</v>
      </c>
      <c r="F367" t="s">
        <v>13544</v>
      </c>
      <c r="G367" t="s">
        <v>640</v>
      </c>
      <c r="H367">
        <v>7218</v>
      </c>
    </row>
    <row r="368" spans="1:8" x14ac:dyDescent="0.25">
      <c r="A368" t="s">
        <v>13506</v>
      </c>
      <c r="B368" t="s">
        <v>13543</v>
      </c>
      <c r="C368" t="s">
        <v>13542</v>
      </c>
      <c r="D368" t="s">
        <v>710</v>
      </c>
      <c r="E368">
        <v>10.52</v>
      </c>
      <c r="F368" t="s">
        <v>709</v>
      </c>
      <c r="G368" t="s">
        <v>640</v>
      </c>
      <c r="H368">
        <v>7219</v>
      </c>
    </row>
    <row r="369" spans="1:8" x14ac:dyDescent="0.25">
      <c r="A369" t="s">
        <v>13506</v>
      </c>
      <c r="B369" t="s">
        <v>13541</v>
      </c>
      <c r="C369" t="s">
        <v>13540</v>
      </c>
      <c r="D369" t="s">
        <v>5917</v>
      </c>
      <c r="E369">
        <v>2.0699999999999998</v>
      </c>
      <c r="F369" t="s">
        <v>5918</v>
      </c>
      <c r="G369" t="s">
        <v>640</v>
      </c>
      <c r="H369">
        <v>7220</v>
      </c>
    </row>
    <row r="370" spans="1:8" x14ac:dyDescent="0.25">
      <c r="A370" t="s">
        <v>13506</v>
      </c>
      <c r="B370" t="s">
        <v>13539</v>
      </c>
      <c r="C370" t="s">
        <v>13538</v>
      </c>
      <c r="D370" t="s">
        <v>725</v>
      </c>
      <c r="E370">
        <v>12.36</v>
      </c>
      <c r="F370" t="s">
        <v>724</v>
      </c>
      <c r="G370" t="s">
        <v>640</v>
      </c>
      <c r="H370">
        <v>7221</v>
      </c>
    </row>
    <row r="371" spans="1:8" x14ac:dyDescent="0.25">
      <c r="A371" t="s">
        <v>13506</v>
      </c>
      <c r="B371" t="s">
        <v>13537</v>
      </c>
      <c r="C371" t="s">
        <v>13536</v>
      </c>
      <c r="D371" t="s">
        <v>751</v>
      </c>
      <c r="E371">
        <v>1.68</v>
      </c>
      <c r="F371" t="s">
        <v>750</v>
      </c>
      <c r="G371" t="s">
        <v>640</v>
      </c>
      <c r="H371">
        <v>7222</v>
      </c>
    </row>
    <row r="372" spans="1:8" x14ac:dyDescent="0.25">
      <c r="A372" t="s">
        <v>13506</v>
      </c>
      <c r="B372" t="s">
        <v>13535</v>
      </c>
      <c r="C372" t="s">
        <v>13534</v>
      </c>
      <c r="D372" t="s">
        <v>770</v>
      </c>
      <c r="E372">
        <v>2.2200000000000002</v>
      </c>
      <c r="F372" t="s">
        <v>769</v>
      </c>
      <c r="G372" t="s">
        <v>640</v>
      </c>
      <c r="H372">
        <v>7223</v>
      </c>
    </row>
    <row r="373" spans="1:8" x14ac:dyDescent="0.25">
      <c r="A373" t="s">
        <v>13506</v>
      </c>
      <c r="B373" t="s">
        <v>13533</v>
      </c>
      <c r="C373" t="s">
        <v>13532</v>
      </c>
      <c r="D373" t="s">
        <v>664</v>
      </c>
      <c r="E373">
        <v>1.68</v>
      </c>
      <c r="F373" t="s">
        <v>663</v>
      </c>
      <c r="G373" t="s">
        <v>640</v>
      </c>
      <c r="H373">
        <v>7224</v>
      </c>
    </row>
    <row r="374" spans="1:8" x14ac:dyDescent="0.25">
      <c r="A374" t="s">
        <v>13506</v>
      </c>
      <c r="B374" t="s">
        <v>13531</v>
      </c>
      <c r="C374" t="s">
        <v>13530</v>
      </c>
      <c r="D374" t="s">
        <v>13529</v>
      </c>
      <c r="E374">
        <v>2.38</v>
      </c>
      <c r="F374" t="s">
        <v>13528</v>
      </c>
      <c r="G374" t="s">
        <v>640</v>
      </c>
      <c r="H374">
        <v>7225</v>
      </c>
    </row>
    <row r="375" spans="1:8" x14ac:dyDescent="0.25">
      <c r="A375" t="s">
        <v>13506</v>
      </c>
      <c r="B375" t="s">
        <v>11479</v>
      </c>
      <c r="C375" t="s">
        <v>13527</v>
      </c>
      <c r="D375" t="s">
        <v>1273</v>
      </c>
      <c r="E375">
        <v>2.08</v>
      </c>
      <c r="F375" t="s">
        <v>1272</v>
      </c>
      <c r="G375" t="s">
        <v>640</v>
      </c>
      <c r="H375">
        <v>7226</v>
      </c>
    </row>
    <row r="376" spans="1:8" x14ac:dyDescent="0.25">
      <c r="A376" t="s">
        <v>13506</v>
      </c>
      <c r="B376" t="s">
        <v>13526</v>
      </c>
      <c r="C376" t="s">
        <v>13525</v>
      </c>
      <c r="D376" t="s">
        <v>13524</v>
      </c>
      <c r="E376">
        <v>1.68</v>
      </c>
      <c r="F376" t="s">
        <v>13523</v>
      </c>
      <c r="G376" t="s">
        <v>640</v>
      </c>
      <c r="H376">
        <v>7227</v>
      </c>
    </row>
    <row r="377" spans="1:8" x14ac:dyDescent="0.25">
      <c r="A377" t="s">
        <v>13506</v>
      </c>
      <c r="B377" t="s">
        <v>13522</v>
      </c>
      <c r="C377" t="s">
        <v>13521</v>
      </c>
      <c r="D377" t="s">
        <v>1279</v>
      </c>
      <c r="E377">
        <v>6.78</v>
      </c>
      <c r="F377" t="s">
        <v>1278</v>
      </c>
      <c r="G377" t="s">
        <v>640</v>
      </c>
      <c r="H377">
        <v>7228</v>
      </c>
    </row>
    <row r="378" spans="1:8" x14ac:dyDescent="0.25">
      <c r="A378" t="s">
        <v>13506</v>
      </c>
      <c r="B378" t="s">
        <v>13520</v>
      </c>
      <c r="C378" t="s">
        <v>13519</v>
      </c>
      <c r="D378" t="s">
        <v>1007</v>
      </c>
      <c r="E378">
        <v>1.68</v>
      </c>
      <c r="F378" t="s">
        <v>1006</v>
      </c>
      <c r="G378" t="s">
        <v>640</v>
      </c>
      <c r="H378">
        <v>7229</v>
      </c>
    </row>
    <row r="379" spans="1:8" x14ac:dyDescent="0.25">
      <c r="A379" t="s">
        <v>13506</v>
      </c>
      <c r="B379" t="s">
        <v>13518</v>
      </c>
      <c r="C379" t="s">
        <v>13517</v>
      </c>
      <c r="D379" t="s">
        <v>13516</v>
      </c>
      <c r="E379">
        <v>3.49</v>
      </c>
      <c r="F379" t="s">
        <v>13515</v>
      </c>
      <c r="G379" t="s">
        <v>640</v>
      </c>
      <c r="H379">
        <v>7230</v>
      </c>
    </row>
    <row r="380" spans="1:8" x14ac:dyDescent="0.25">
      <c r="A380" t="s">
        <v>13506</v>
      </c>
      <c r="B380" t="s">
        <v>13514</v>
      </c>
      <c r="C380" t="s">
        <v>13513</v>
      </c>
      <c r="D380" t="s">
        <v>1355</v>
      </c>
      <c r="E380">
        <v>2.2599999999999998</v>
      </c>
      <c r="F380" t="s">
        <v>1354</v>
      </c>
      <c r="G380" t="s">
        <v>640</v>
      </c>
      <c r="H380">
        <v>7231</v>
      </c>
    </row>
    <row r="381" spans="1:8" x14ac:dyDescent="0.25">
      <c r="A381" t="s">
        <v>13506</v>
      </c>
      <c r="B381" t="s">
        <v>13512</v>
      </c>
      <c r="C381" t="s">
        <v>13511</v>
      </c>
      <c r="D381" t="s">
        <v>743</v>
      </c>
      <c r="E381">
        <v>17.350000000000001</v>
      </c>
      <c r="F381" t="s">
        <v>742</v>
      </c>
      <c r="G381" t="s">
        <v>640</v>
      </c>
      <c r="H381">
        <v>7232</v>
      </c>
    </row>
    <row r="382" spans="1:8" x14ac:dyDescent="0.25">
      <c r="A382" t="s">
        <v>13506</v>
      </c>
      <c r="B382" t="s">
        <v>13510</v>
      </c>
      <c r="C382" t="s">
        <v>13509</v>
      </c>
      <c r="D382" t="s">
        <v>4323</v>
      </c>
      <c r="E382">
        <v>6.58</v>
      </c>
      <c r="F382" t="s">
        <v>4324</v>
      </c>
      <c r="G382" t="s">
        <v>640</v>
      </c>
      <c r="H382">
        <v>7233</v>
      </c>
    </row>
    <row r="383" spans="1:8" x14ac:dyDescent="0.25">
      <c r="A383" t="s">
        <v>13506</v>
      </c>
      <c r="B383" t="s">
        <v>13508</v>
      </c>
      <c r="C383" t="s">
        <v>13507</v>
      </c>
      <c r="D383" t="s">
        <v>1074</v>
      </c>
      <c r="E383">
        <v>6.27</v>
      </c>
      <c r="F383" t="s">
        <v>1073</v>
      </c>
      <c r="G383" t="s">
        <v>640</v>
      </c>
      <c r="H383">
        <v>7234</v>
      </c>
    </row>
    <row r="384" spans="1:8" x14ac:dyDescent="0.25">
      <c r="A384" t="s">
        <v>13506</v>
      </c>
      <c r="B384" t="s">
        <v>13505</v>
      </c>
      <c r="C384" t="s">
        <v>13504</v>
      </c>
      <c r="D384" t="s">
        <v>821</v>
      </c>
      <c r="E384">
        <v>12.83</v>
      </c>
      <c r="F384" t="s">
        <v>820</v>
      </c>
      <c r="G384" t="s">
        <v>640</v>
      </c>
      <c r="H384">
        <v>7235</v>
      </c>
    </row>
    <row r="385" spans="1:8" x14ac:dyDescent="0.25">
      <c r="C385" s="219" t="s">
        <v>3740</v>
      </c>
      <c r="E385" s="219">
        <f>SUM(E363:E384)</f>
        <v>128.92000000000002</v>
      </c>
    </row>
    <row r="386" spans="1:8" x14ac:dyDescent="0.25">
      <c r="A386" t="s">
        <v>13451</v>
      </c>
      <c r="B386" t="s">
        <v>13503</v>
      </c>
      <c r="C386" t="s">
        <v>13502</v>
      </c>
      <c r="D386" t="s">
        <v>926</v>
      </c>
      <c r="E386">
        <v>3.42</v>
      </c>
      <c r="F386" t="s">
        <v>925</v>
      </c>
      <c r="G386" t="s">
        <v>640</v>
      </c>
      <c r="H386">
        <v>7297</v>
      </c>
    </row>
    <row r="387" spans="1:8" x14ac:dyDescent="0.25">
      <c r="A387" t="s">
        <v>13451</v>
      </c>
      <c r="B387" t="s">
        <v>13501</v>
      </c>
      <c r="C387" t="s">
        <v>13500</v>
      </c>
      <c r="D387" t="s">
        <v>985</v>
      </c>
      <c r="E387">
        <v>1.84</v>
      </c>
      <c r="F387" t="s">
        <v>984</v>
      </c>
      <c r="G387" t="s">
        <v>640</v>
      </c>
      <c r="H387">
        <v>7298</v>
      </c>
    </row>
    <row r="388" spans="1:8" x14ac:dyDescent="0.25">
      <c r="A388" t="s">
        <v>13451</v>
      </c>
      <c r="B388" t="s">
        <v>13499</v>
      </c>
      <c r="C388" t="s">
        <v>13498</v>
      </c>
      <c r="D388" t="s">
        <v>890</v>
      </c>
      <c r="E388">
        <v>1.86</v>
      </c>
      <c r="F388" t="s">
        <v>889</v>
      </c>
      <c r="G388" t="s">
        <v>640</v>
      </c>
      <c r="H388">
        <v>7299</v>
      </c>
    </row>
    <row r="389" spans="1:8" x14ac:dyDescent="0.25">
      <c r="A389" t="s">
        <v>13451</v>
      </c>
      <c r="B389" t="s">
        <v>13497</v>
      </c>
      <c r="C389" t="s">
        <v>13496</v>
      </c>
      <c r="D389" t="s">
        <v>5951</v>
      </c>
      <c r="E389">
        <v>4.45</v>
      </c>
      <c r="F389" t="s">
        <v>5952</v>
      </c>
      <c r="G389" t="s">
        <v>640</v>
      </c>
      <c r="H389">
        <v>7300</v>
      </c>
    </row>
    <row r="390" spans="1:8" x14ac:dyDescent="0.25">
      <c r="A390" t="s">
        <v>13451</v>
      </c>
      <c r="B390" t="s">
        <v>13495</v>
      </c>
      <c r="C390" t="s">
        <v>13494</v>
      </c>
      <c r="D390" t="s">
        <v>3915</v>
      </c>
      <c r="E390">
        <v>7.32</v>
      </c>
      <c r="F390" t="s">
        <v>3916</v>
      </c>
      <c r="G390" t="s">
        <v>640</v>
      </c>
      <c r="H390">
        <v>7301</v>
      </c>
    </row>
    <row r="391" spans="1:8" x14ac:dyDescent="0.25">
      <c r="A391" t="s">
        <v>13451</v>
      </c>
      <c r="B391" t="s">
        <v>13493</v>
      </c>
      <c r="C391" t="s">
        <v>13492</v>
      </c>
      <c r="D391" t="s">
        <v>13491</v>
      </c>
      <c r="E391">
        <v>0.5</v>
      </c>
      <c r="F391" t="s">
        <v>13490</v>
      </c>
      <c r="G391" t="s">
        <v>640</v>
      </c>
      <c r="H391">
        <v>7302</v>
      </c>
    </row>
    <row r="392" spans="1:8" x14ac:dyDescent="0.25">
      <c r="A392" t="s">
        <v>13451</v>
      </c>
      <c r="B392" t="s">
        <v>13489</v>
      </c>
      <c r="C392" t="s">
        <v>13488</v>
      </c>
      <c r="D392" t="s">
        <v>4523</v>
      </c>
      <c r="E392">
        <v>15.92</v>
      </c>
      <c r="F392" t="s">
        <v>4524</v>
      </c>
      <c r="G392" t="s">
        <v>640</v>
      </c>
      <c r="H392">
        <v>7303</v>
      </c>
    </row>
    <row r="393" spans="1:8" x14ac:dyDescent="0.25">
      <c r="A393" t="s">
        <v>13451</v>
      </c>
      <c r="B393" t="s">
        <v>13487</v>
      </c>
      <c r="C393" t="s">
        <v>13486</v>
      </c>
      <c r="D393" t="s">
        <v>759</v>
      </c>
      <c r="E393">
        <v>4.18</v>
      </c>
      <c r="F393" t="s">
        <v>758</v>
      </c>
      <c r="G393" t="s">
        <v>640</v>
      </c>
      <c r="H393">
        <v>7304</v>
      </c>
    </row>
    <row r="394" spans="1:8" x14ac:dyDescent="0.25">
      <c r="A394" t="s">
        <v>13451</v>
      </c>
      <c r="B394" t="s">
        <v>13485</v>
      </c>
      <c r="C394" t="s">
        <v>13484</v>
      </c>
      <c r="D394" t="s">
        <v>13483</v>
      </c>
      <c r="E394">
        <v>3.48</v>
      </c>
      <c r="F394" t="s">
        <v>13482</v>
      </c>
      <c r="G394" t="s">
        <v>640</v>
      </c>
      <c r="H394">
        <v>7305</v>
      </c>
    </row>
    <row r="395" spans="1:8" x14ac:dyDescent="0.25">
      <c r="A395" t="s">
        <v>13451</v>
      </c>
      <c r="B395" t="s">
        <v>13481</v>
      </c>
      <c r="C395" t="s">
        <v>13480</v>
      </c>
      <c r="D395" t="s">
        <v>863</v>
      </c>
      <c r="E395">
        <v>5.67</v>
      </c>
      <c r="F395" t="s">
        <v>862</v>
      </c>
      <c r="G395" t="s">
        <v>640</v>
      </c>
      <c r="H395">
        <v>7306</v>
      </c>
    </row>
    <row r="396" spans="1:8" x14ac:dyDescent="0.25">
      <c r="A396" t="s">
        <v>13451</v>
      </c>
      <c r="B396" t="s">
        <v>13479</v>
      </c>
      <c r="C396" t="s">
        <v>13478</v>
      </c>
      <c r="D396" t="s">
        <v>5078</v>
      </c>
      <c r="E396">
        <v>24.86</v>
      </c>
      <c r="F396" t="s">
        <v>5079</v>
      </c>
      <c r="G396" t="s">
        <v>640</v>
      </c>
      <c r="H396">
        <v>7307</v>
      </c>
    </row>
    <row r="397" spans="1:8" x14ac:dyDescent="0.25">
      <c r="A397" t="s">
        <v>13451</v>
      </c>
      <c r="B397" t="s">
        <v>13477</v>
      </c>
      <c r="C397" t="s">
        <v>13476</v>
      </c>
      <c r="D397" t="s">
        <v>13475</v>
      </c>
      <c r="E397">
        <v>3.42</v>
      </c>
      <c r="F397" t="s">
        <v>13474</v>
      </c>
      <c r="G397" t="s">
        <v>640</v>
      </c>
      <c r="H397">
        <v>7308</v>
      </c>
    </row>
    <row r="398" spans="1:8" x14ac:dyDescent="0.25">
      <c r="A398" t="s">
        <v>13451</v>
      </c>
      <c r="B398" t="s">
        <v>13473</v>
      </c>
      <c r="C398" t="s">
        <v>13472</v>
      </c>
      <c r="D398" t="s">
        <v>851</v>
      </c>
      <c r="E398">
        <v>5.39</v>
      </c>
      <c r="F398" t="s">
        <v>850</v>
      </c>
      <c r="G398" t="s">
        <v>640</v>
      </c>
      <c r="H398">
        <v>7309</v>
      </c>
    </row>
    <row r="399" spans="1:8" x14ac:dyDescent="0.25">
      <c r="A399" t="s">
        <v>13451</v>
      </c>
      <c r="B399" t="s">
        <v>13471</v>
      </c>
      <c r="C399" t="s">
        <v>13470</v>
      </c>
      <c r="D399" t="s">
        <v>1170</v>
      </c>
      <c r="E399">
        <v>5.37</v>
      </c>
      <c r="F399" t="s">
        <v>1169</v>
      </c>
      <c r="G399" t="s">
        <v>640</v>
      </c>
      <c r="H399">
        <v>7310</v>
      </c>
    </row>
    <row r="400" spans="1:8" x14ac:dyDescent="0.25">
      <c r="A400" t="s">
        <v>13451</v>
      </c>
      <c r="B400" t="s">
        <v>13469</v>
      </c>
      <c r="C400" t="s">
        <v>13468</v>
      </c>
      <c r="D400" t="s">
        <v>10563</v>
      </c>
      <c r="E400">
        <v>1.56</v>
      </c>
      <c r="F400" t="s">
        <v>10562</v>
      </c>
      <c r="G400" t="s">
        <v>640</v>
      </c>
      <c r="H400">
        <v>7311</v>
      </c>
    </row>
    <row r="401" spans="1:8" x14ac:dyDescent="0.25">
      <c r="A401" t="s">
        <v>13451</v>
      </c>
      <c r="B401" t="s">
        <v>13467</v>
      </c>
      <c r="C401" t="s">
        <v>13466</v>
      </c>
      <c r="D401" t="s">
        <v>13465</v>
      </c>
      <c r="E401">
        <v>1</v>
      </c>
      <c r="F401" t="s">
        <v>13464</v>
      </c>
      <c r="G401" t="s">
        <v>640</v>
      </c>
      <c r="H401">
        <v>7312</v>
      </c>
    </row>
    <row r="402" spans="1:8" x14ac:dyDescent="0.25">
      <c r="A402" t="s">
        <v>13451</v>
      </c>
      <c r="B402" t="s">
        <v>13463</v>
      </c>
      <c r="C402" t="s">
        <v>13462</v>
      </c>
      <c r="D402" t="s">
        <v>972</v>
      </c>
      <c r="E402">
        <v>3.19</v>
      </c>
      <c r="F402" t="s">
        <v>971</v>
      </c>
      <c r="G402" t="s">
        <v>640</v>
      </c>
      <c r="H402">
        <v>7313</v>
      </c>
    </row>
    <row r="403" spans="1:8" x14ac:dyDescent="0.25">
      <c r="A403" t="s">
        <v>13451</v>
      </c>
      <c r="B403" t="s">
        <v>13461</v>
      </c>
      <c r="C403" t="s">
        <v>13460</v>
      </c>
      <c r="D403" t="s">
        <v>13459</v>
      </c>
      <c r="E403">
        <v>45.63</v>
      </c>
      <c r="F403" t="s">
        <v>13458</v>
      </c>
      <c r="G403" t="s">
        <v>640</v>
      </c>
      <c r="H403">
        <v>7314</v>
      </c>
    </row>
    <row r="404" spans="1:8" x14ac:dyDescent="0.25">
      <c r="A404" t="s">
        <v>13451</v>
      </c>
      <c r="B404" t="s">
        <v>13457</v>
      </c>
      <c r="C404" t="s">
        <v>13456</v>
      </c>
      <c r="D404" t="s">
        <v>3997</v>
      </c>
      <c r="E404">
        <v>6.59</v>
      </c>
      <c r="F404" t="s">
        <v>3998</v>
      </c>
      <c r="G404" t="s">
        <v>640</v>
      </c>
      <c r="H404">
        <v>7315</v>
      </c>
    </row>
    <row r="405" spans="1:8" x14ac:dyDescent="0.25">
      <c r="A405" t="s">
        <v>13451</v>
      </c>
      <c r="B405" t="s">
        <v>13455</v>
      </c>
      <c r="C405" t="s">
        <v>13454</v>
      </c>
      <c r="D405" t="s">
        <v>997</v>
      </c>
      <c r="E405">
        <v>18.98</v>
      </c>
      <c r="F405" t="s">
        <v>996</v>
      </c>
      <c r="G405" t="s">
        <v>640</v>
      </c>
      <c r="H405">
        <v>7316</v>
      </c>
    </row>
    <row r="406" spans="1:8" x14ac:dyDescent="0.25">
      <c r="A406" t="s">
        <v>13451</v>
      </c>
      <c r="B406" t="s">
        <v>13453</v>
      </c>
      <c r="C406" t="s">
        <v>13452</v>
      </c>
      <c r="D406" t="s">
        <v>5972</v>
      </c>
      <c r="E406">
        <v>3.4</v>
      </c>
      <c r="F406" t="s">
        <v>5973</v>
      </c>
      <c r="G406" t="s">
        <v>640</v>
      </c>
      <c r="H406">
        <v>7317</v>
      </c>
    </row>
    <row r="407" spans="1:8" x14ac:dyDescent="0.25">
      <c r="A407" t="s">
        <v>13451</v>
      </c>
      <c r="B407" t="s">
        <v>13450</v>
      </c>
      <c r="C407" t="s">
        <v>13449</v>
      </c>
      <c r="D407" t="s">
        <v>1335</v>
      </c>
      <c r="E407">
        <v>3.06</v>
      </c>
      <c r="F407" t="s">
        <v>1334</v>
      </c>
      <c r="G407" t="s">
        <v>640</v>
      </c>
      <c r="H407">
        <v>7318</v>
      </c>
    </row>
    <row r="408" spans="1:8" x14ac:dyDescent="0.25">
      <c r="C408" s="219" t="s">
        <v>3740</v>
      </c>
      <c r="E408" s="219">
        <f>SUM(E386:E407)</f>
        <v>171.09</v>
      </c>
    </row>
    <row r="409" spans="1:8" x14ac:dyDescent="0.25">
      <c r="A409" t="s">
        <v>13388</v>
      </c>
      <c r="B409" t="s">
        <v>13448</v>
      </c>
      <c r="C409" t="s">
        <v>13447</v>
      </c>
      <c r="D409" t="s">
        <v>4146</v>
      </c>
      <c r="E409">
        <v>0.84</v>
      </c>
      <c r="F409" t="s">
        <v>4147</v>
      </c>
      <c r="G409" t="s">
        <v>640</v>
      </c>
      <c r="H409">
        <v>7399</v>
      </c>
    </row>
    <row r="410" spans="1:8" x14ac:dyDescent="0.25">
      <c r="A410" t="s">
        <v>13388</v>
      </c>
      <c r="B410" t="s">
        <v>13446</v>
      </c>
      <c r="C410" t="s">
        <v>13445</v>
      </c>
      <c r="D410" t="s">
        <v>3959</v>
      </c>
      <c r="E410">
        <v>8.44</v>
      </c>
      <c r="F410" t="s">
        <v>3960</v>
      </c>
      <c r="G410" t="s">
        <v>640</v>
      </c>
      <c r="H410">
        <v>7400</v>
      </c>
    </row>
    <row r="411" spans="1:8" x14ac:dyDescent="0.25">
      <c r="A411" t="s">
        <v>13388</v>
      </c>
      <c r="B411" t="s">
        <v>13444</v>
      </c>
      <c r="C411" t="s">
        <v>13443</v>
      </c>
      <c r="D411" t="s">
        <v>1408</v>
      </c>
      <c r="E411">
        <v>6.94</v>
      </c>
      <c r="F411" t="s">
        <v>1407</v>
      </c>
      <c r="G411" t="s">
        <v>640</v>
      </c>
      <c r="H411">
        <v>7401</v>
      </c>
    </row>
    <row r="412" spans="1:8" x14ac:dyDescent="0.25">
      <c r="A412" t="s">
        <v>13388</v>
      </c>
      <c r="B412" t="s">
        <v>13442</v>
      </c>
      <c r="C412" t="s">
        <v>13441</v>
      </c>
      <c r="D412" t="s">
        <v>960</v>
      </c>
      <c r="E412">
        <v>4.5999999999999996</v>
      </c>
      <c r="F412" t="s">
        <v>959</v>
      </c>
      <c r="G412" t="s">
        <v>640</v>
      </c>
      <c r="H412">
        <v>7402</v>
      </c>
    </row>
    <row r="413" spans="1:8" x14ac:dyDescent="0.25">
      <c r="A413" t="s">
        <v>13388</v>
      </c>
      <c r="B413" t="s">
        <v>13440</v>
      </c>
      <c r="C413" t="s">
        <v>13439</v>
      </c>
      <c r="D413" t="s">
        <v>5432</v>
      </c>
      <c r="E413">
        <v>7.55</v>
      </c>
      <c r="F413" t="s">
        <v>5433</v>
      </c>
      <c r="G413" t="s">
        <v>640</v>
      </c>
      <c r="H413">
        <v>7403</v>
      </c>
    </row>
    <row r="414" spans="1:8" x14ac:dyDescent="0.25">
      <c r="A414" t="s">
        <v>13388</v>
      </c>
      <c r="B414" t="s">
        <v>13438</v>
      </c>
      <c r="C414" t="s">
        <v>13437</v>
      </c>
      <c r="D414" t="s">
        <v>3893</v>
      </c>
      <c r="E414">
        <v>6.4</v>
      </c>
      <c r="F414" t="s">
        <v>3894</v>
      </c>
      <c r="G414" t="s">
        <v>640</v>
      </c>
      <c r="H414">
        <v>7404</v>
      </c>
    </row>
    <row r="415" spans="1:8" x14ac:dyDescent="0.25">
      <c r="A415" t="s">
        <v>13388</v>
      </c>
      <c r="B415" t="s">
        <v>13436</v>
      </c>
      <c r="C415" t="s">
        <v>13435</v>
      </c>
      <c r="D415" t="s">
        <v>722</v>
      </c>
      <c r="E415">
        <v>6.04</v>
      </c>
      <c r="F415" t="s">
        <v>721</v>
      </c>
      <c r="G415" t="s">
        <v>640</v>
      </c>
      <c r="H415">
        <v>7405</v>
      </c>
    </row>
    <row r="416" spans="1:8" x14ac:dyDescent="0.25">
      <c r="A416" t="s">
        <v>13388</v>
      </c>
      <c r="B416" t="s">
        <v>13434</v>
      </c>
      <c r="C416" t="s">
        <v>13433</v>
      </c>
      <c r="D416" t="s">
        <v>723</v>
      </c>
      <c r="E416">
        <v>3.26</v>
      </c>
      <c r="F416" t="s">
        <v>721</v>
      </c>
      <c r="G416" t="s">
        <v>640</v>
      </c>
      <c r="H416">
        <v>7406</v>
      </c>
    </row>
    <row r="417" spans="1:8" x14ac:dyDescent="0.25">
      <c r="A417" t="s">
        <v>13388</v>
      </c>
      <c r="B417" t="s">
        <v>13432</v>
      </c>
      <c r="C417" t="s">
        <v>13431</v>
      </c>
      <c r="D417" t="s">
        <v>13430</v>
      </c>
      <c r="E417">
        <v>1.68</v>
      </c>
      <c r="F417" t="s">
        <v>13429</v>
      </c>
      <c r="G417" t="s">
        <v>640</v>
      </c>
      <c r="H417">
        <v>7407</v>
      </c>
    </row>
    <row r="418" spans="1:8" x14ac:dyDescent="0.25">
      <c r="A418" t="s">
        <v>13388</v>
      </c>
      <c r="B418" t="s">
        <v>13428</v>
      </c>
      <c r="C418" t="s">
        <v>13427</v>
      </c>
      <c r="D418" t="s">
        <v>784</v>
      </c>
      <c r="E418">
        <v>4.21</v>
      </c>
      <c r="F418" t="s">
        <v>783</v>
      </c>
      <c r="G418" t="s">
        <v>640</v>
      </c>
      <c r="H418">
        <v>7408</v>
      </c>
    </row>
    <row r="419" spans="1:8" x14ac:dyDescent="0.25">
      <c r="A419" t="s">
        <v>13388</v>
      </c>
      <c r="B419" t="s">
        <v>13426</v>
      </c>
      <c r="C419" t="s">
        <v>13425</v>
      </c>
      <c r="D419" t="s">
        <v>978</v>
      </c>
      <c r="E419">
        <v>2.59</v>
      </c>
      <c r="F419" t="s">
        <v>977</v>
      </c>
      <c r="G419" t="s">
        <v>640</v>
      </c>
      <c r="H419">
        <v>7409</v>
      </c>
    </row>
    <row r="420" spans="1:8" x14ac:dyDescent="0.25">
      <c r="A420" t="s">
        <v>13388</v>
      </c>
      <c r="B420" t="s">
        <v>10537</v>
      </c>
      <c r="C420" t="s">
        <v>13424</v>
      </c>
      <c r="D420" t="s">
        <v>6027</v>
      </c>
      <c r="E420">
        <v>4.72</v>
      </c>
      <c r="F420" t="s">
        <v>6028</v>
      </c>
      <c r="G420" t="s">
        <v>640</v>
      </c>
      <c r="H420">
        <v>7410</v>
      </c>
    </row>
    <row r="421" spans="1:8" x14ac:dyDescent="0.25">
      <c r="A421" t="s">
        <v>13388</v>
      </c>
      <c r="B421" t="s">
        <v>4021</v>
      </c>
      <c r="C421" t="s">
        <v>13423</v>
      </c>
      <c r="D421" t="s">
        <v>13422</v>
      </c>
      <c r="E421">
        <v>7.26</v>
      </c>
      <c r="F421" t="s">
        <v>13421</v>
      </c>
      <c r="G421" t="s">
        <v>640</v>
      </c>
      <c r="H421">
        <v>7411</v>
      </c>
    </row>
    <row r="422" spans="1:8" x14ac:dyDescent="0.25">
      <c r="A422" t="s">
        <v>13388</v>
      </c>
      <c r="B422" t="s">
        <v>13420</v>
      </c>
      <c r="C422" t="s">
        <v>13419</v>
      </c>
      <c r="D422" t="s">
        <v>13418</v>
      </c>
      <c r="E422">
        <v>1.85</v>
      </c>
      <c r="F422" t="s">
        <v>13417</v>
      </c>
      <c r="G422" t="s">
        <v>640</v>
      </c>
      <c r="H422">
        <v>7412</v>
      </c>
    </row>
    <row r="423" spans="1:8" x14ac:dyDescent="0.25">
      <c r="A423" t="s">
        <v>13388</v>
      </c>
      <c r="B423" t="s">
        <v>13416</v>
      </c>
      <c r="C423" t="s">
        <v>13415</v>
      </c>
      <c r="D423" t="s">
        <v>767</v>
      </c>
      <c r="E423">
        <v>1.68</v>
      </c>
      <c r="F423" t="s">
        <v>766</v>
      </c>
      <c r="G423" t="s">
        <v>640</v>
      </c>
      <c r="H423">
        <v>7413</v>
      </c>
    </row>
    <row r="424" spans="1:8" x14ac:dyDescent="0.25">
      <c r="A424" t="s">
        <v>13388</v>
      </c>
      <c r="B424" t="s">
        <v>13414</v>
      </c>
      <c r="C424" t="s">
        <v>13413</v>
      </c>
      <c r="D424" t="s">
        <v>768</v>
      </c>
      <c r="E424">
        <v>1.99</v>
      </c>
      <c r="F424" t="s">
        <v>766</v>
      </c>
      <c r="G424" t="s">
        <v>640</v>
      </c>
      <c r="H424">
        <v>7414</v>
      </c>
    </row>
    <row r="425" spans="1:8" x14ac:dyDescent="0.25">
      <c r="A425" t="s">
        <v>13388</v>
      </c>
      <c r="B425" t="s">
        <v>13412</v>
      </c>
      <c r="C425" t="s">
        <v>13411</v>
      </c>
      <c r="D425" t="s">
        <v>13410</v>
      </c>
      <c r="E425">
        <v>8.3800000000000008</v>
      </c>
      <c r="F425" t="s">
        <v>13409</v>
      </c>
      <c r="G425" t="s">
        <v>640</v>
      </c>
      <c r="H425">
        <v>7415</v>
      </c>
    </row>
    <row r="426" spans="1:8" x14ac:dyDescent="0.25">
      <c r="A426" t="s">
        <v>13388</v>
      </c>
      <c r="B426" t="s">
        <v>13408</v>
      </c>
      <c r="C426" t="s">
        <v>13407</v>
      </c>
      <c r="D426" t="s">
        <v>886</v>
      </c>
      <c r="E426">
        <v>4.67</v>
      </c>
      <c r="F426" t="s">
        <v>884</v>
      </c>
      <c r="G426" t="s">
        <v>640</v>
      </c>
      <c r="H426">
        <v>7416</v>
      </c>
    </row>
    <row r="427" spans="1:8" x14ac:dyDescent="0.25">
      <c r="A427" t="s">
        <v>13388</v>
      </c>
      <c r="B427" t="s">
        <v>13406</v>
      </c>
      <c r="C427" t="s">
        <v>13405</v>
      </c>
      <c r="D427" t="s">
        <v>885</v>
      </c>
      <c r="E427">
        <v>3.36</v>
      </c>
      <c r="F427" t="s">
        <v>884</v>
      </c>
      <c r="G427" t="s">
        <v>640</v>
      </c>
      <c r="H427">
        <v>7417</v>
      </c>
    </row>
    <row r="428" spans="1:8" x14ac:dyDescent="0.25">
      <c r="A428" t="s">
        <v>13388</v>
      </c>
      <c r="B428" t="s">
        <v>13404</v>
      </c>
      <c r="C428" t="s">
        <v>13403</v>
      </c>
      <c r="D428" t="s">
        <v>733</v>
      </c>
      <c r="E428">
        <v>6.94</v>
      </c>
      <c r="F428" t="s">
        <v>732</v>
      </c>
      <c r="G428" t="s">
        <v>640</v>
      </c>
      <c r="H428">
        <v>7418</v>
      </c>
    </row>
    <row r="429" spans="1:8" x14ac:dyDescent="0.25">
      <c r="A429" t="s">
        <v>13388</v>
      </c>
      <c r="B429" t="s">
        <v>13402</v>
      </c>
      <c r="C429" t="s">
        <v>13401</v>
      </c>
      <c r="D429" t="s">
        <v>1186</v>
      </c>
      <c r="E429">
        <v>3.36</v>
      </c>
      <c r="F429" t="s">
        <v>1185</v>
      </c>
      <c r="G429" t="s">
        <v>640</v>
      </c>
      <c r="H429">
        <v>7419</v>
      </c>
    </row>
    <row r="430" spans="1:8" x14ac:dyDescent="0.25">
      <c r="A430" t="s">
        <v>13388</v>
      </c>
      <c r="B430" t="s">
        <v>13400</v>
      </c>
      <c r="C430" t="s">
        <v>13399</v>
      </c>
      <c r="D430" t="s">
        <v>6040</v>
      </c>
      <c r="E430">
        <v>16.72</v>
      </c>
      <c r="F430" t="s">
        <v>6041</v>
      </c>
      <c r="G430" t="s">
        <v>640</v>
      </c>
      <c r="H430">
        <v>7420</v>
      </c>
    </row>
    <row r="431" spans="1:8" x14ac:dyDescent="0.25">
      <c r="A431" t="s">
        <v>13388</v>
      </c>
      <c r="B431" t="s">
        <v>13398</v>
      </c>
      <c r="C431" t="s">
        <v>13397</v>
      </c>
      <c r="D431" t="s">
        <v>1156</v>
      </c>
      <c r="E431">
        <v>5.12</v>
      </c>
      <c r="F431" t="s">
        <v>1155</v>
      </c>
      <c r="G431" t="s">
        <v>640</v>
      </c>
      <c r="H431">
        <v>7421</v>
      </c>
    </row>
    <row r="432" spans="1:8" x14ac:dyDescent="0.25">
      <c r="A432" t="s">
        <v>13388</v>
      </c>
      <c r="B432" t="s">
        <v>13396</v>
      </c>
      <c r="C432" t="s">
        <v>13395</v>
      </c>
      <c r="D432" t="s">
        <v>683</v>
      </c>
      <c r="E432">
        <v>1.68</v>
      </c>
      <c r="F432" t="s">
        <v>682</v>
      </c>
      <c r="G432" t="s">
        <v>640</v>
      </c>
      <c r="H432">
        <v>7422</v>
      </c>
    </row>
    <row r="433" spans="1:8" x14ac:dyDescent="0.25">
      <c r="A433" t="s">
        <v>13388</v>
      </c>
      <c r="B433" t="s">
        <v>13394</v>
      </c>
      <c r="C433" t="s">
        <v>13393</v>
      </c>
      <c r="D433" t="s">
        <v>1426</v>
      </c>
      <c r="E433">
        <v>8.3800000000000008</v>
      </c>
      <c r="F433" t="s">
        <v>1425</v>
      </c>
      <c r="G433" t="s">
        <v>640</v>
      </c>
      <c r="H433">
        <v>7423</v>
      </c>
    </row>
    <row r="434" spans="1:8" x14ac:dyDescent="0.25">
      <c r="A434" t="s">
        <v>13388</v>
      </c>
      <c r="B434" t="s">
        <v>13392</v>
      </c>
      <c r="C434" t="s">
        <v>13391</v>
      </c>
      <c r="D434" t="s">
        <v>5609</v>
      </c>
      <c r="E434">
        <v>3.36</v>
      </c>
      <c r="F434" t="s">
        <v>5610</v>
      </c>
      <c r="G434" t="s">
        <v>640</v>
      </c>
      <c r="H434">
        <v>7424</v>
      </c>
    </row>
    <row r="435" spans="1:8" x14ac:dyDescent="0.25">
      <c r="A435" t="s">
        <v>13388</v>
      </c>
      <c r="B435" t="s">
        <v>13390</v>
      </c>
      <c r="C435" t="s">
        <v>13389</v>
      </c>
      <c r="D435" t="s">
        <v>11556</v>
      </c>
      <c r="E435">
        <v>5.03</v>
      </c>
      <c r="F435" t="s">
        <v>11555</v>
      </c>
      <c r="G435" t="s">
        <v>640</v>
      </c>
      <c r="H435">
        <v>7425</v>
      </c>
    </row>
    <row r="436" spans="1:8" x14ac:dyDescent="0.25">
      <c r="A436" t="s">
        <v>13388</v>
      </c>
      <c r="B436" t="s">
        <v>13387</v>
      </c>
      <c r="C436" t="s">
        <v>13386</v>
      </c>
      <c r="D436" t="s">
        <v>1592</v>
      </c>
      <c r="E436">
        <v>2.92</v>
      </c>
      <c r="F436" t="s">
        <v>1593</v>
      </c>
      <c r="G436" t="s">
        <v>640</v>
      </c>
      <c r="H436">
        <v>7426</v>
      </c>
    </row>
    <row r="437" spans="1:8" x14ac:dyDescent="0.25">
      <c r="C437" s="210" t="s">
        <v>3740</v>
      </c>
      <c r="E437" s="219">
        <f>SUM(E409:E436)</f>
        <v>139.97</v>
      </c>
    </row>
    <row r="460" spans="5:5" x14ac:dyDescent="0.25">
      <c r="E460" s="210"/>
    </row>
    <row r="473" spans="5:5" x14ac:dyDescent="0.25">
      <c r="E473" s="210"/>
    </row>
    <row r="480" spans="5:5" x14ac:dyDescent="0.25">
      <c r="E480" s="210"/>
    </row>
    <row r="507" spans="5:5" x14ac:dyDescent="0.25">
      <c r="E507" s="210"/>
    </row>
  </sheetData>
  <mergeCells count="1">
    <mergeCell ref="A3:H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DCB1E-8527-4A07-B2EA-1C9D5C8AC736}">
  <sheetPr>
    <pageSetUpPr fitToPage="1"/>
  </sheetPr>
  <dimension ref="A1:P96"/>
  <sheetViews>
    <sheetView topLeftCell="A28" zoomScaleNormal="100" workbookViewId="0">
      <selection activeCell="B71" sqref="B71"/>
    </sheetView>
  </sheetViews>
  <sheetFormatPr baseColWidth="10" defaultColWidth="11.42578125" defaultRowHeight="11.25" x14ac:dyDescent="0.2"/>
  <cols>
    <col min="1" max="1" width="11.5703125" style="6" customWidth="1"/>
    <col min="2" max="2" width="67.42578125" style="19" customWidth="1"/>
    <col min="3" max="3" width="12.42578125" style="73" bestFit="1" customWidth="1"/>
    <col min="4" max="4" width="11.28515625" style="161" bestFit="1" customWidth="1"/>
    <col min="5" max="5" width="6.140625" style="6" bestFit="1" customWidth="1"/>
    <col min="6" max="6" width="13.140625" style="6" customWidth="1"/>
    <col min="7" max="7" width="3.5703125" style="6" customWidth="1"/>
    <col min="8" max="8" width="14" style="5" customWidth="1"/>
    <col min="9" max="9" width="11.42578125" style="5"/>
    <col min="10" max="10" width="17.28515625" style="5" customWidth="1"/>
    <col min="11" max="256" width="11.42578125" style="5"/>
    <col min="257" max="257" width="14.140625" style="5" customWidth="1"/>
    <col min="258" max="258" width="55.7109375" style="5" customWidth="1"/>
    <col min="259" max="259" width="12.42578125" style="5" bestFit="1" customWidth="1"/>
    <col min="260" max="260" width="11.28515625" style="5" bestFit="1" customWidth="1"/>
    <col min="261" max="261" width="6.140625" style="5" bestFit="1" customWidth="1"/>
    <col min="262" max="262" width="13.140625" style="5" customWidth="1"/>
    <col min="263" max="263" width="3.5703125" style="5" customWidth="1"/>
    <col min="264" max="264" width="14" style="5" customWidth="1"/>
    <col min="265" max="265" width="11.42578125" style="5"/>
    <col min="266" max="266" width="17.28515625" style="5" customWidth="1"/>
    <col min="267" max="512" width="11.42578125" style="5"/>
    <col min="513" max="513" width="14.140625" style="5" customWidth="1"/>
    <col min="514" max="514" width="55.7109375" style="5" customWidth="1"/>
    <col min="515" max="515" width="12.42578125" style="5" bestFit="1" customWidth="1"/>
    <col min="516" max="516" width="11.28515625" style="5" bestFit="1" customWidth="1"/>
    <col min="517" max="517" width="6.140625" style="5" bestFit="1" customWidth="1"/>
    <col min="518" max="518" width="13.140625" style="5" customWidth="1"/>
    <col min="519" max="519" width="3.5703125" style="5" customWidth="1"/>
    <col min="520" max="520" width="14" style="5" customWidth="1"/>
    <col min="521" max="521" width="11.42578125" style="5"/>
    <col min="522" max="522" width="17.28515625" style="5" customWidth="1"/>
    <col min="523" max="768" width="11.42578125" style="5"/>
    <col min="769" max="769" width="14.140625" style="5" customWidth="1"/>
    <col min="770" max="770" width="55.7109375" style="5" customWidth="1"/>
    <col min="771" max="771" width="12.42578125" style="5" bestFit="1" customWidth="1"/>
    <col min="772" max="772" width="11.28515625" style="5" bestFit="1" customWidth="1"/>
    <col min="773" max="773" width="6.140625" style="5" bestFit="1" customWidth="1"/>
    <col min="774" max="774" width="13.140625" style="5" customWidth="1"/>
    <col min="775" max="775" width="3.5703125" style="5" customWidth="1"/>
    <col min="776" max="776" width="14" style="5" customWidth="1"/>
    <col min="777" max="777" width="11.42578125" style="5"/>
    <col min="778" max="778" width="17.28515625" style="5" customWidth="1"/>
    <col min="779" max="1024" width="11.42578125" style="5"/>
    <col min="1025" max="1025" width="14.140625" style="5" customWidth="1"/>
    <col min="1026" max="1026" width="55.7109375" style="5" customWidth="1"/>
    <col min="1027" max="1027" width="12.42578125" style="5" bestFit="1" customWidth="1"/>
    <col min="1028" max="1028" width="11.28515625" style="5" bestFit="1" customWidth="1"/>
    <col min="1029" max="1029" width="6.140625" style="5" bestFit="1" customWidth="1"/>
    <col min="1030" max="1030" width="13.140625" style="5" customWidth="1"/>
    <col min="1031" max="1031" width="3.5703125" style="5" customWidth="1"/>
    <col min="1032" max="1032" width="14" style="5" customWidth="1"/>
    <col min="1033" max="1033" width="11.42578125" style="5"/>
    <col min="1034" max="1034" width="17.28515625" style="5" customWidth="1"/>
    <col min="1035" max="1280" width="11.42578125" style="5"/>
    <col min="1281" max="1281" width="14.140625" style="5" customWidth="1"/>
    <col min="1282" max="1282" width="55.7109375" style="5" customWidth="1"/>
    <col min="1283" max="1283" width="12.42578125" style="5" bestFit="1" customWidth="1"/>
    <col min="1284" max="1284" width="11.28515625" style="5" bestFit="1" customWidth="1"/>
    <col min="1285" max="1285" width="6.140625" style="5" bestFit="1" customWidth="1"/>
    <col min="1286" max="1286" width="13.140625" style="5" customWidth="1"/>
    <col min="1287" max="1287" width="3.5703125" style="5" customWidth="1"/>
    <col min="1288" max="1288" width="14" style="5" customWidth="1"/>
    <col min="1289" max="1289" width="11.42578125" style="5"/>
    <col min="1290" max="1290" width="17.28515625" style="5" customWidth="1"/>
    <col min="1291" max="1536" width="11.42578125" style="5"/>
    <col min="1537" max="1537" width="14.140625" style="5" customWidth="1"/>
    <col min="1538" max="1538" width="55.7109375" style="5" customWidth="1"/>
    <col min="1539" max="1539" width="12.42578125" style="5" bestFit="1" customWidth="1"/>
    <col min="1540" max="1540" width="11.28515625" style="5" bestFit="1" customWidth="1"/>
    <col min="1541" max="1541" width="6.140625" style="5" bestFit="1" customWidth="1"/>
    <col min="1542" max="1542" width="13.140625" style="5" customWidth="1"/>
    <col min="1543" max="1543" width="3.5703125" style="5" customWidth="1"/>
    <col min="1544" max="1544" width="14" style="5" customWidth="1"/>
    <col min="1545" max="1545" width="11.42578125" style="5"/>
    <col min="1546" max="1546" width="17.28515625" style="5" customWidth="1"/>
    <col min="1547" max="1792" width="11.42578125" style="5"/>
    <col min="1793" max="1793" width="14.140625" style="5" customWidth="1"/>
    <col min="1794" max="1794" width="55.7109375" style="5" customWidth="1"/>
    <col min="1795" max="1795" width="12.42578125" style="5" bestFit="1" customWidth="1"/>
    <col min="1796" max="1796" width="11.28515625" style="5" bestFit="1" customWidth="1"/>
    <col min="1797" max="1797" width="6.140625" style="5" bestFit="1" customWidth="1"/>
    <col min="1798" max="1798" width="13.140625" style="5" customWidth="1"/>
    <col min="1799" max="1799" width="3.5703125" style="5" customWidth="1"/>
    <col min="1800" max="1800" width="14" style="5" customWidth="1"/>
    <col min="1801" max="1801" width="11.42578125" style="5"/>
    <col min="1802" max="1802" width="17.28515625" style="5" customWidth="1"/>
    <col min="1803" max="2048" width="11.42578125" style="5"/>
    <col min="2049" max="2049" width="14.140625" style="5" customWidth="1"/>
    <col min="2050" max="2050" width="55.7109375" style="5" customWidth="1"/>
    <col min="2051" max="2051" width="12.42578125" style="5" bestFit="1" customWidth="1"/>
    <col min="2052" max="2052" width="11.28515625" style="5" bestFit="1" customWidth="1"/>
    <col min="2053" max="2053" width="6.140625" style="5" bestFit="1" customWidth="1"/>
    <col min="2054" max="2054" width="13.140625" style="5" customWidth="1"/>
    <col min="2055" max="2055" width="3.5703125" style="5" customWidth="1"/>
    <col min="2056" max="2056" width="14" style="5" customWidth="1"/>
    <col min="2057" max="2057" width="11.42578125" style="5"/>
    <col min="2058" max="2058" width="17.28515625" style="5" customWidth="1"/>
    <col min="2059" max="2304" width="11.42578125" style="5"/>
    <col min="2305" max="2305" width="14.140625" style="5" customWidth="1"/>
    <col min="2306" max="2306" width="55.7109375" style="5" customWidth="1"/>
    <col min="2307" max="2307" width="12.42578125" style="5" bestFit="1" customWidth="1"/>
    <col min="2308" max="2308" width="11.28515625" style="5" bestFit="1" customWidth="1"/>
    <col min="2309" max="2309" width="6.140625" style="5" bestFit="1" customWidth="1"/>
    <col min="2310" max="2310" width="13.140625" style="5" customWidth="1"/>
    <col min="2311" max="2311" width="3.5703125" style="5" customWidth="1"/>
    <col min="2312" max="2312" width="14" style="5" customWidth="1"/>
    <col min="2313" max="2313" width="11.42578125" style="5"/>
    <col min="2314" max="2314" width="17.28515625" style="5" customWidth="1"/>
    <col min="2315" max="2560" width="11.42578125" style="5"/>
    <col min="2561" max="2561" width="14.140625" style="5" customWidth="1"/>
    <col min="2562" max="2562" width="55.7109375" style="5" customWidth="1"/>
    <col min="2563" max="2563" width="12.42578125" style="5" bestFit="1" customWidth="1"/>
    <col min="2564" max="2564" width="11.28515625" style="5" bestFit="1" customWidth="1"/>
    <col min="2565" max="2565" width="6.140625" style="5" bestFit="1" customWidth="1"/>
    <col min="2566" max="2566" width="13.140625" style="5" customWidth="1"/>
    <col min="2567" max="2567" width="3.5703125" style="5" customWidth="1"/>
    <col min="2568" max="2568" width="14" style="5" customWidth="1"/>
    <col min="2569" max="2569" width="11.42578125" style="5"/>
    <col min="2570" max="2570" width="17.28515625" style="5" customWidth="1"/>
    <col min="2571" max="2816" width="11.42578125" style="5"/>
    <col min="2817" max="2817" width="14.140625" style="5" customWidth="1"/>
    <col min="2818" max="2818" width="55.7109375" style="5" customWidth="1"/>
    <col min="2819" max="2819" width="12.42578125" style="5" bestFit="1" customWidth="1"/>
    <col min="2820" max="2820" width="11.28515625" style="5" bestFit="1" customWidth="1"/>
    <col min="2821" max="2821" width="6.140625" style="5" bestFit="1" customWidth="1"/>
    <col min="2822" max="2822" width="13.140625" style="5" customWidth="1"/>
    <col min="2823" max="2823" width="3.5703125" style="5" customWidth="1"/>
    <col min="2824" max="2824" width="14" style="5" customWidth="1"/>
    <col min="2825" max="2825" width="11.42578125" style="5"/>
    <col min="2826" max="2826" width="17.28515625" style="5" customWidth="1"/>
    <col min="2827" max="3072" width="11.42578125" style="5"/>
    <col min="3073" max="3073" width="14.140625" style="5" customWidth="1"/>
    <col min="3074" max="3074" width="55.7109375" style="5" customWidth="1"/>
    <col min="3075" max="3075" width="12.42578125" style="5" bestFit="1" customWidth="1"/>
    <col min="3076" max="3076" width="11.28515625" style="5" bestFit="1" customWidth="1"/>
    <col min="3077" max="3077" width="6.140625" style="5" bestFit="1" customWidth="1"/>
    <col min="3078" max="3078" width="13.140625" style="5" customWidth="1"/>
    <col min="3079" max="3079" width="3.5703125" style="5" customWidth="1"/>
    <col min="3080" max="3080" width="14" style="5" customWidth="1"/>
    <col min="3081" max="3081" width="11.42578125" style="5"/>
    <col min="3082" max="3082" width="17.28515625" style="5" customWidth="1"/>
    <col min="3083" max="3328" width="11.42578125" style="5"/>
    <col min="3329" max="3329" width="14.140625" style="5" customWidth="1"/>
    <col min="3330" max="3330" width="55.7109375" style="5" customWidth="1"/>
    <col min="3331" max="3331" width="12.42578125" style="5" bestFit="1" customWidth="1"/>
    <col min="3332" max="3332" width="11.28515625" style="5" bestFit="1" customWidth="1"/>
    <col min="3333" max="3333" width="6.140625" style="5" bestFit="1" customWidth="1"/>
    <col min="3334" max="3334" width="13.140625" style="5" customWidth="1"/>
    <col min="3335" max="3335" width="3.5703125" style="5" customWidth="1"/>
    <col min="3336" max="3336" width="14" style="5" customWidth="1"/>
    <col min="3337" max="3337" width="11.42578125" style="5"/>
    <col min="3338" max="3338" width="17.28515625" style="5" customWidth="1"/>
    <col min="3339" max="3584" width="11.42578125" style="5"/>
    <col min="3585" max="3585" width="14.140625" style="5" customWidth="1"/>
    <col min="3586" max="3586" width="55.7109375" style="5" customWidth="1"/>
    <col min="3587" max="3587" width="12.42578125" style="5" bestFit="1" customWidth="1"/>
    <col min="3588" max="3588" width="11.28515625" style="5" bestFit="1" customWidth="1"/>
    <col min="3589" max="3589" width="6.140625" style="5" bestFit="1" customWidth="1"/>
    <col min="3590" max="3590" width="13.140625" style="5" customWidth="1"/>
    <col min="3591" max="3591" width="3.5703125" style="5" customWidth="1"/>
    <col min="3592" max="3592" width="14" style="5" customWidth="1"/>
    <col min="3593" max="3593" width="11.42578125" style="5"/>
    <col min="3594" max="3594" width="17.28515625" style="5" customWidth="1"/>
    <col min="3595" max="3840" width="11.42578125" style="5"/>
    <col min="3841" max="3841" width="14.140625" style="5" customWidth="1"/>
    <col min="3842" max="3842" width="55.7109375" style="5" customWidth="1"/>
    <col min="3843" max="3843" width="12.42578125" style="5" bestFit="1" customWidth="1"/>
    <col min="3844" max="3844" width="11.28515625" style="5" bestFit="1" customWidth="1"/>
    <col min="3845" max="3845" width="6.140625" style="5" bestFit="1" customWidth="1"/>
    <col min="3846" max="3846" width="13.140625" style="5" customWidth="1"/>
    <col min="3847" max="3847" width="3.5703125" style="5" customWidth="1"/>
    <col min="3848" max="3848" width="14" style="5" customWidth="1"/>
    <col min="3849" max="3849" width="11.42578125" style="5"/>
    <col min="3850" max="3850" width="17.28515625" style="5" customWidth="1"/>
    <col min="3851" max="4096" width="11.42578125" style="5"/>
    <col min="4097" max="4097" width="14.140625" style="5" customWidth="1"/>
    <col min="4098" max="4098" width="55.7109375" style="5" customWidth="1"/>
    <col min="4099" max="4099" width="12.42578125" style="5" bestFit="1" customWidth="1"/>
    <col min="4100" max="4100" width="11.28515625" style="5" bestFit="1" customWidth="1"/>
    <col min="4101" max="4101" width="6.140625" style="5" bestFit="1" customWidth="1"/>
    <col min="4102" max="4102" width="13.140625" style="5" customWidth="1"/>
    <col min="4103" max="4103" width="3.5703125" style="5" customWidth="1"/>
    <col min="4104" max="4104" width="14" style="5" customWidth="1"/>
    <col min="4105" max="4105" width="11.42578125" style="5"/>
    <col min="4106" max="4106" width="17.28515625" style="5" customWidth="1"/>
    <col min="4107" max="4352" width="11.42578125" style="5"/>
    <col min="4353" max="4353" width="14.140625" style="5" customWidth="1"/>
    <col min="4354" max="4354" width="55.7109375" style="5" customWidth="1"/>
    <col min="4355" max="4355" width="12.42578125" style="5" bestFit="1" customWidth="1"/>
    <col min="4356" max="4356" width="11.28515625" style="5" bestFit="1" customWidth="1"/>
    <col min="4357" max="4357" width="6.140625" style="5" bestFit="1" customWidth="1"/>
    <col min="4358" max="4358" width="13.140625" style="5" customWidth="1"/>
    <col min="4359" max="4359" width="3.5703125" style="5" customWidth="1"/>
    <col min="4360" max="4360" width="14" style="5" customWidth="1"/>
    <col min="4361" max="4361" width="11.42578125" style="5"/>
    <col min="4362" max="4362" width="17.28515625" style="5" customWidth="1"/>
    <col min="4363" max="4608" width="11.42578125" style="5"/>
    <col min="4609" max="4609" width="14.140625" style="5" customWidth="1"/>
    <col min="4610" max="4610" width="55.7109375" style="5" customWidth="1"/>
    <col min="4611" max="4611" width="12.42578125" style="5" bestFit="1" customWidth="1"/>
    <col min="4612" max="4612" width="11.28515625" style="5" bestFit="1" customWidth="1"/>
    <col min="4613" max="4613" width="6.140625" style="5" bestFit="1" customWidth="1"/>
    <col min="4614" max="4614" width="13.140625" style="5" customWidth="1"/>
    <col min="4615" max="4615" width="3.5703125" style="5" customWidth="1"/>
    <col min="4616" max="4616" width="14" style="5" customWidth="1"/>
    <col min="4617" max="4617" width="11.42578125" style="5"/>
    <col min="4618" max="4618" width="17.28515625" style="5" customWidth="1"/>
    <col min="4619" max="4864" width="11.42578125" style="5"/>
    <col min="4865" max="4865" width="14.140625" style="5" customWidth="1"/>
    <col min="4866" max="4866" width="55.7109375" style="5" customWidth="1"/>
    <col min="4867" max="4867" width="12.42578125" style="5" bestFit="1" customWidth="1"/>
    <col min="4868" max="4868" width="11.28515625" style="5" bestFit="1" customWidth="1"/>
    <col min="4869" max="4869" width="6.140625" style="5" bestFit="1" customWidth="1"/>
    <col min="4870" max="4870" width="13.140625" style="5" customWidth="1"/>
    <col min="4871" max="4871" width="3.5703125" style="5" customWidth="1"/>
    <col min="4872" max="4872" width="14" style="5" customWidth="1"/>
    <col min="4873" max="4873" width="11.42578125" style="5"/>
    <col min="4874" max="4874" width="17.28515625" style="5" customWidth="1"/>
    <col min="4875" max="5120" width="11.42578125" style="5"/>
    <col min="5121" max="5121" width="14.140625" style="5" customWidth="1"/>
    <col min="5122" max="5122" width="55.7109375" style="5" customWidth="1"/>
    <col min="5123" max="5123" width="12.42578125" style="5" bestFit="1" customWidth="1"/>
    <col min="5124" max="5124" width="11.28515625" style="5" bestFit="1" customWidth="1"/>
    <col min="5125" max="5125" width="6.140625" style="5" bestFit="1" customWidth="1"/>
    <col min="5126" max="5126" width="13.140625" style="5" customWidth="1"/>
    <col min="5127" max="5127" width="3.5703125" style="5" customWidth="1"/>
    <col min="5128" max="5128" width="14" style="5" customWidth="1"/>
    <col min="5129" max="5129" width="11.42578125" style="5"/>
    <col min="5130" max="5130" width="17.28515625" style="5" customWidth="1"/>
    <col min="5131" max="5376" width="11.42578125" style="5"/>
    <col min="5377" max="5377" width="14.140625" style="5" customWidth="1"/>
    <col min="5378" max="5378" width="55.7109375" style="5" customWidth="1"/>
    <col min="5379" max="5379" width="12.42578125" style="5" bestFit="1" customWidth="1"/>
    <col min="5380" max="5380" width="11.28515625" style="5" bestFit="1" customWidth="1"/>
    <col min="5381" max="5381" width="6.140625" style="5" bestFit="1" customWidth="1"/>
    <col min="5382" max="5382" width="13.140625" style="5" customWidth="1"/>
    <col min="5383" max="5383" width="3.5703125" style="5" customWidth="1"/>
    <col min="5384" max="5384" width="14" style="5" customWidth="1"/>
    <col min="5385" max="5385" width="11.42578125" style="5"/>
    <col min="5386" max="5386" width="17.28515625" style="5" customWidth="1"/>
    <col min="5387" max="5632" width="11.42578125" style="5"/>
    <col min="5633" max="5633" width="14.140625" style="5" customWidth="1"/>
    <col min="5634" max="5634" width="55.7109375" style="5" customWidth="1"/>
    <col min="5635" max="5635" width="12.42578125" style="5" bestFit="1" customWidth="1"/>
    <col min="5636" max="5636" width="11.28515625" style="5" bestFit="1" customWidth="1"/>
    <col min="5637" max="5637" width="6.140625" style="5" bestFit="1" customWidth="1"/>
    <col min="5638" max="5638" width="13.140625" style="5" customWidth="1"/>
    <col min="5639" max="5639" width="3.5703125" style="5" customWidth="1"/>
    <col min="5640" max="5640" width="14" style="5" customWidth="1"/>
    <col min="5641" max="5641" width="11.42578125" style="5"/>
    <col min="5642" max="5642" width="17.28515625" style="5" customWidth="1"/>
    <col min="5643" max="5888" width="11.42578125" style="5"/>
    <col min="5889" max="5889" width="14.140625" style="5" customWidth="1"/>
    <col min="5890" max="5890" width="55.7109375" style="5" customWidth="1"/>
    <col min="5891" max="5891" width="12.42578125" style="5" bestFit="1" customWidth="1"/>
    <col min="5892" max="5892" width="11.28515625" style="5" bestFit="1" customWidth="1"/>
    <col min="5893" max="5893" width="6.140625" style="5" bestFit="1" customWidth="1"/>
    <col min="5894" max="5894" width="13.140625" style="5" customWidth="1"/>
    <col min="5895" max="5895" width="3.5703125" style="5" customWidth="1"/>
    <col min="5896" max="5896" width="14" style="5" customWidth="1"/>
    <col min="5897" max="5897" width="11.42578125" style="5"/>
    <col min="5898" max="5898" width="17.28515625" style="5" customWidth="1"/>
    <col min="5899" max="6144" width="11.42578125" style="5"/>
    <col min="6145" max="6145" width="14.140625" style="5" customWidth="1"/>
    <col min="6146" max="6146" width="55.7109375" style="5" customWidth="1"/>
    <col min="6147" max="6147" width="12.42578125" style="5" bestFit="1" customWidth="1"/>
    <col min="6148" max="6148" width="11.28515625" style="5" bestFit="1" customWidth="1"/>
    <col min="6149" max="6149" width="6.140625" style="5" bestFit="1" customWidth="1"/>
    <col min="6150" max="6150" width="13.140625" style="5" customWidth="1"/>
    <col min="6151" max="6151" width="3.5703125" style="5" customWidth="1"/>
    <col min="6152" max="6152" width="14" style="5" customWidth="1"/>
    <col min="6153" max="6153" width="11.42578125" style="5"/>
    <col min="6154" max="6154" width="17.28515625" style="5" customWidth="1"/>
    <col min="6155" max="6400" width="11.42578125" style="5"/>
    <col min="6401" max="6401" width="14.140625" style="5" customWidth="1"/>
    <col min="6402" max="6402" width="55.7109375" style="5" customWidth="1"/>
    <col min="6403" max="6403" width="12.42578125" style="5" bestFit="1" customWidth="1"/>
    <col min="6404" max="6404" width="11.28515625" style="5" bestFit="1" customWidth="1"/>
    <col min="6405" max="6405" width="6.140625" style="5" bestFit="1" customWidth="1"/>
    <col min="6406" max="6406" width="13.140625" style="5" customWidth="1"/>
    <col min="6407" max="6407" width="3.5703125" style="5" customWidth="1"/>
    <col min="6408" max="6408" width="14" style="5" customWidth="1"/>
    <col min="6409" max="6409" width="11.42578125" style="5"/>
    <col min="6410" max="6410" width="17.28515625" style="5" customWidth="1"/>
    <col min="6411" max="6656" width="11.42578125" style="5"/>
    <col min="6657" max="6657" width="14.140625" style="5" customWidth="1"/>
    <col min="6658" max="6658" width="55.7109375" style="5" customWidth="1"/>
    <col min="6659" max="6659" width="12.42578125" style="5" bestFit="1" customWidth="1"/>
    <col min="6660" max="6660" width="11.28515625" style="5" bestFit="1" customWidth="1"/>
    <col min="6661" max="6661" width="6.140625" style="5" bestFit="1" customWidth="1"/>
    <col min="6662" max="6662" width="13.140625" style="5" customWidth="1"/>
    <col min="6663" max="6663" width="3.5703125" style="5" customWidth="1"/>
    <col min="6664" max="6664" width="14" style="5" customWidth="1"/>
    <col min="6665" max="6665" width="11.42578125" style="5"/>
    <col min="6666" max="6666" width="17.28515625" style="5" customWidth="1"/>
    <col min="6667" max="6912" width="11.42578125" style="5"/>
    <col min="6913" max="6913" width="14.140625" style="5" customWidth="1"/>
    <col min="6914" max="6914" width="55.7109375" style="5" customWidth="1"/>
    <col min="6915" max="6915" width="12.42578125" style="5" bestFit="1" customWidth="1"/>
    <col min="6916" max="6916" width="11.28515625" style="5" bestFit="1" customWidth="1"/>
    <col min="6917" max="6917" width="6.140625" style="5" bestFit="1" customWidth="1"/>
    <col min="6918" max="6918" width="13.140625" style="5" customWidth="1"/>
    <col min="6919" max="6919" width="3.5703125" style="5" customWidth="1"/>
    <col min="6920" max="6920" width="14" style="5" customWidth="1"/>
    <col min="6921" max="6921" width="11.42578125" style="5"/>
    <col min="6922" max="6922" width="17.28515625" style="5" customWidth="1"/>
    <col min="6923" max="7168" width="11.42578125" style="5"/>
    <col min="7169" max="7169" width="14.140625" style="5" customWidth="1"/>
    <col min="7170" max="7170" width="55.7109375" style="5" customWidth="1"/>
    <col min="7171" max="7171" width="12.42578125" style="5" bestFit="1" customWidth="1"/>
    <col min="7172" max="7172" width="11.28515625" style="5" bestFit="1" customWidth="1"/>
    <col min="7173" max="7173" width="6.140625" style="5" bestFit="1" customWidth="1"/>
    <col min="7174" max="7174" width="13.140625" style="5" customWidth="1"/>
    <col min="7175" max="7175" width="3.5703125" style="5" customWidth="1"/>
    <col min="7176" max="7176" width="14" style="5" customWidth="1"/>
    <col min="7177" max="7177" width="11.42578125" style="5"/>
    <col min="7178" max="7178" width="17.28515625" style="5" customWidth="1"/>
    <col min="7179" max="7424" width="11.42578125" style="5"/>
    <col min="7425" max="7425" width="14.140625" style="5" customWidth="1"/>
    <col min="7426" max="7426" width="55.7109375" style="5" customWidth="1"/>
    <col min="7427" max="7427" width="12.42578125" style="5" bestFit="1" customWidth="1"/>
    <col min="7428" max="7428" width="11.28515625" style="5" bestFit="1" customWidth="1"/>
    <col min="7429" max="7429" width="6.140625" style="5" bestFit="1" customWidth="1"/>
    <col min="7430" max="7430" width="13.140625" style="5" customWidth="1"/>
    <col min="7431" max="7431" width="3.5703125" style="5" customWidth="1"/>
    <col min="7432" max="7432" width="14" style="5" customWidth="1"/>
    <col min="7433" max="7433" width="11.42578125" style="5"/>
    <col min="7434" max="7434" width="17.28515625" style="5" customWidth="1"/>
    <col min="7435" max="7680" width="11.42578125" style="5"/>
    <col min="7681" max="7681" width="14.140625" style="5" customWidth="1"/>
    <col min="7682" max="7682" width="55.7109375" style="5" customWidth="1"/>
    <col min="7683" max="7683" width="12.42578125" style="5" bestFit="1" customWidth="1"/>
    <col min="7684" max="7684" width="11.28515625" style="5" bestFit="1" customWidth="1"/>
    <col min="7685" max="7685" width="6.140625" style="5" bestFit="1" customWidth="1"/>
    <col min="7686" max="7686" width="13.140625" style="5" customWidth="1"/>
    <col min="7687" max="7687" width="3.5703125" style="5" customWidth="1"/>
    <col min="7688" max="7688" width="14" style="5" customWidth="1"/>
    <col min="7689" max="7689" width="11.42578125" style="5"/>
    <col min="7690" max="7690" width="17.28515625" style="5" customWidth="1"/>
    <col min="7691" max="7936" width="11.42578125" style="5"/>
    <col min="7937" max="7937" width="14.140625" style="5" customWidth="1"/>
    <col min="7938" max="7938" width="55.7109375" style="5" customWidth="1"/>
    <col min="7939" max="7939" width="12.42578125" style="5" bestFit="1" customWidth="1"/>
    <col min="7940" max="7940" width="11.28515625" style="5" bestFit="1" customWidth="1"/>
    <col min="7941" max="7941" width="6.140625" style="5" bestFit="1" customWidth="1"/>
    <col min="7942" max="7942" width="13.140625" style="5" customWidth="1"/>
    <col min="7943" max="7943" width="3.5703125" style="5" customWidth="1"/>
    <col min="7944" max="7944" width="14" style="5" customWidth="1"/>
    <col min="7945" max="7945" width="11.42578125" style="5"/>
    <col min="7946" max="7946" width="17.28515625" style="5" customWidth="1"/>
    <col min="7947" max="8192" width="11.42578125" style="5"/>
    <col min="8193" max="8193" width="14.140625" style="5" customWidth="1"/>
    <col min="8194" max="8194" width="55.7109375" style="5" customWidth="1"/>
    <col min="8195" max="8195" width="12.42578125" style="5" bestFit="1" customWidth="1"/>
    <col min="8196" max="8196" width="11.28515625" style="5" bestFit="1" customWidth="1"/>
    <col min="8197" max="8197" width="6.140625" style="5" bestFit="1" customWidth="1"/>
    <col min="8198" max="8198" width="13.140625" style="5" customWidth="1"/>
    <col min="8199" max="8199" width="3.5703125" style="5" customWidth="1"/>
    <col min="8200" max="8200" width="14" style="5" customWidth="1"/>
    <col min="8201" max="8201" width="11.42578125" style="5"/>
    <col min="8202" max="8202" width="17.28515625" style="5" customWidth="1"/>
    <col min="8203" max="8448" width="11.42578125" style="5"/>
    <col min="8449" max="8449" width="14.140625" style="5" customWidth="1"/>
    <col min="8450" max="8450" width="55.7109375" style="5" customWidth="1"/>
    <col min="8451" max="8451" width="12.42578125" style="5" bestFit="1" customWidth="1"/>
    <col min="8452" max="8452" width="11.28515625" style="5" bestFit="1" customWidth="1"/>
    <col min="8453" max="8453" width="6.140625" style="5" bestFit="1" customWidth="1"/>
    <col min="8454" max="8454" width="13.140625" style="5" customWidth="1"/>
    <col min="8455" max="8455" width="3.5703125" style="5" customWidth="1"/>
    <col min="8456" max="8456" width="14" style="5" customWidth="1"/>
    <col min="8457" max="8457" width="11.42578125" style="5"/>
    <col min="8458" max="8458" width="17.28515625" style="5" customWidth="1"/>
    <col min="8459" max="8704" width="11.42578125" style="5"/>
    <col min="8705" max="8705" width="14.140625" style="5" customWidth="1"/>
    <col min="8706" max="8706" width="55.7109375" style="5" customWidth="1"/>
    <col min="8707" max="8707" width="12.42578125" style="5" bestFit="1" customWidth="1"/>
    <col min="8708" max="8708" width="11.28515625" style="5" bestFit="1" customWidth="1"/>
    <col min="8709" max="8709" width="6.140625" style="5" bestFit="1" customWidth="1"/>
    <col min="8710" max="8710" width="13.140625" style="5" customWidth="1"/>
    <col min="8711" max="8711" width="3.5703125" style="5" customWidth="1"/>
    <col min="8712" max="8712" width="14" style="5" customWidth="1"/>
    <col min="8713" max="8713" width="11.42578125" style="5"/>
    <col min="8714" max="8714" width="17.28515625" style="5" customWidth="1"/>
    <col min="8715" max="8960" width="11.42578125" style="5"/>
    <col min="8961" max="8961" width="14.140625" style="5" customWidth="1"/>
    <col min="8962" max="8962" width="55.7109375" style="5" customWidth="1"/>
    <col min="8963" max="8963" width="12.42578125" style="5" bestFit="1" customWidth="1"/>
    <col min="8964" max="8964" width="11.28515625" style="5" bestFit="1" customWidth="1"/>
    <col min="8965" max="8965" width="6.140625" style="5" bestFit="1" customWidth="1"/>
    <col min="8966" max="8966" width="13.140625" style="5" customWidth="1"/>
    <col min="8967" max="8967" width="3.5703125" style="5" customWidth="1"/>
    <col min="8968" max="8968" width="14" style="5" customWidth="1"/>
    <col min="8969" max="8969" width="11.42578125" style="5"/>
    <col min="8970" max="8970" width="17.28515625" style="5" customWidth="1"/>
    <col min="8971" max="9216" width="11.42578125" style="5"/>
    <col min="9217" max="9217" width="14.140625" style="5" customWidth="1"/>
    <col min="9218" max="9218" width="55.7109375" style="5" customWidth="1"/>
    <col min="9219" max="9219" width="12.42578125" style="5" bestFit="1" customWidth="1"/>
    <col min="9220" max="9220" width="11.28515625" style="5" bestFit="1" customWidth="1"/>
    <col min="9221" max="9221" width="6.140625" style="5" bestFit="1" customWidth="1"/>
    <col min="9222" max="9222" width="13.140625" style="5" customWidth="1"/>
    <col min="9223" max="9223" width="3.5703125" style="5" customWidth="1"/>
    <col min="9224" max="9224" width="14" style="5" customWidth="1"/>
    <col min="9225" max="9225" width="11.42578125" style="5"/>
    <col min="9226" max="9226" width="17.28515625" style="5" customWidth="1"/>
    <col min="9227" max="9472" width="11.42578125" style="5"/>
    <col min="9473" max="9473" width="14.140625" style="5" customWidth="1"/>
    <col min="9474" max="9474" width="55.7109375" style="5" customWidth="1"/>
    <col min="9475" max="9475" width="12.42578125" style="5" bestFit="1" customWidth="1"/>
    <col min="9476" max="9476" width="11.28515625" style="5" bestFit="1" customWidth="1"/>
    <col min="9477" max="9477" width="6.140625" style="5" bestFit="1" customWidth="1"/>
    <col min="9478" max="9478" width="13.140625" style="5" customWidth="1"/>
    <col min="9479" max="9479" width="3.5703125" style="5" customWidth="1"/>
    <col min="9480" max="9480" width="14" style="5" customWidth="1"/>
    <col min="9481" max="9481" width="11.42578125" style="5"/>
    <col min="9482" max="9482" width="17.28515625" style="5" customWidth="1"/>
    <col min="9483" max="9728" width="11.42578125" style="5"/>
    <col min="9729" max="9729" width="14.140625" style="5" customWidth="1"/>
    <col min="9730" max="9730" width="55.7109375" style="5" customWidth="1"/>
    <col min="9731" max="9731" width="12.42578125" style="5" bestFit="1" customWidth="1"/>
    <col min="9732" max="9732" width="11.28515625" style="5" bestFit="1" customWidth="1"/>
    <col min="9733" max="9733" width="6.140625" style="5" bestFit="1" customWidth="1"/>
    <col min="9734" max="9734" width="13.140625" style="5" customWidth="1"/>
    <col min="9735" max="9735" width="3.5703125" style="5" customWidth="1"/>
    <col min="9736" max="9736" width="14" style="5" customWidth="1"/>
    <col min="9737" max="9737" width="11.42578125" style="5"/>
    <col min="9738" max="9738" width="17.28515625" style="5" customWidth="1"/>
    <col min="9739" max="9984" width="11.42578125" style="5"/>
    <col min="9985" max="9985" width="14.140625" style="5" customWidth="1"/>
    <col min="9986" max="9986" width="55.7109375" style="5" customWidth="1"/>
    <col min="9987" max="9987" width="12.42578125" style="5" bestFit="1" customWidth="1"/>
    <col min="9988" max="9988" width="11.28515625" style="5" bestFit="1" customWidth="1"/>
    <col min="9989" max="9989" width="6.140625" style="5" bestFit="1" customWidth="1"/>
    <col min="9990" max="9990" width="13.140625" style="5" customWidth="1"/>
    <col min="9991" max="9991" width="3.5703125" style="5" customWidth="1"/>
    <col min="9992" max="9992" width="14" style="5" customWidth="1"/>
    <col min="9993" max="9993" width="11.42578125" style="5"/>
    <col min="9994" max="9994" width="17.28515625" style="5" customWidth="1"/>
    <col min="9995" max="10240" width="11.42578125" style="5"/>
    <col min="10241" max="10241" width="14.140625" style="5" customWidth="1"/>
    <col min="10242" max="10242" width="55.7109375" style="5" customWidth="1"/>
    <col min="10243" max="10243" width="12.42578125" style="5" bestFit="1" customWidth="1"/>
    <col min="10244" max="10244" width="11.28515625" style="5" bestFit="1" customWidth="1"/>
    <col min="10245" max="10245" width="6.140625" style="5" bestFit="1" customWidth="1"/>
    <col min="10246" max="10246" width="13.140625" style="5" customWidth="1"/>
    <col min="10247" max="10247" width="3.5703125" style="5" customWidth="1"/>
    <col min="10248" max="10248" width="14" style="5" customWidth="1"/>
    <col min="10249" max="10249" width="11.42578125" style="5"/>
    <col min="10250" max="10250" width="17.28515625" style="5" customWidth="1"/>
    <col min="10251" max="10496" width="11.42578125" style="5"/>
    <col min="10497" max="10497" width="14.140625" style="5" customWidth="1"/>
    <col min="10498" max="10498" width="55.7109375" style="5" customWidth="1"/>
    <col min="10499" max="10499" width="12.42578125" style="5" bestFit="1" customWidth="1"/>
    <col min="10500" max="10500" width="11.28515625" style="5" bestFit="1" customWidth="1"/>
    <col min="10501" max="10501" width="6.140625" style="5" bestFit="1" customWidth="1"/>
    <col min="10502" max="10502" width="13.140625" style="5" customWidth="1"/>
    <col min="10503" max="10503" width="3.5703125" style="5" customWidth="1"/>
    <col min="10504" max="10504" width="14" style="5" customWidth="1"/>
    <col min="10505" max="10505" width="11.42578125" style="5"/>
    <col min="10506" max="10506" width="17.28515625" style="5" customWidth="1"/>
    <col min="10507" max="10752" width="11.42578125" style="5"/>
    <col min="10753" max="10753" width="14.140625" style="5" customWidth="1"/>
    <col min="10754" max="10754" width="55.7109375" style="5" customWidth="1"/>
    <col min="10755" max="10755" width="12.42578125" style="5" bestFit="1" customWidth="1"/>
    <col min="10756" max="10756" width="11.28515625" style="5" bestFit="1" customWidth="1"/>
    <col min="10757" max="10757" width="6.140625" style="5" bestFit="1" customWidth="1"/>
    <col min="10758" max="10758" width="13.140625" style="5" customWidth="1"/>
    <col min="10759" max="10759" width="3.5703125" style="5" customWidth="1"/>
    <col min="10760" max="10760" width="14" style="5" customWidth="1"/>
    <col min="10761" max="10761" width="11.42578125" style="5"/>
    <col min="10762" max="10762" width="17.28515625" style="5" customWidth="1"/>
    <col min="10763" max="11008" width="11.42578125" style="5"/>
    <col min="11009" max="11009" width="14.140625" style="5" customWidth="1"/>
    <col min="11010" max="11010" width="55.7109375" style="5" customWidth="1"/>
    <col min="11011" max="11011" width="12.42578125" style="5" bestFit="1" customWidth="1"/>
    <col min="11012" max="11012" width="11.28515625" style="5" bestFit="1" customWidth="1"/>
    <col min="11013" max="11013" width="6.140625" style="5" bestFit="1" customWidth="1"/>
    <col min="11014" max="11014" width="13.140625" style="5" customWidth="1"/>
    <col min="11015" max="11015" width="3.5703125" style="5" customWidth="1"/>
    <col min="11016" max="11016" width="14" style="5" customWidth="1"/>
    <col min="11017" max="11017" width="11.42578125" style="5"/>
    <col min="11018" max="11018" width="17.28515625" style="5" customWidth="1"/>
    <col min="11019" max="11264" width="11.42578125" style="5"/>
    <col min="11265" max="11265" width="14.140625" style="5" customWidth="1"/>
    <col min="11266" max="11266" width="55.7109375" style="5" customWidth="1"/>
    <col min="11267" max="11267" width="12.42578125" style="5" bestFit="1" customWidth="1"/>
    <col min="11268" max="11268" width="11.28515625" style="5" bestFit="1" customWidth="1"/>
    <col min="11269" max="11269" width="6.140625" style="5" bestFit="1" customWidth="1"/>
    <col min="11270" max="11270" width="13.140625" style="5" customWidth="1"/>
    <col min="11271" max="11271" width="3.5703125" style="5" customWidth="1"/>
    <col min="11272" max="11272" width="14" style="5" customWidth="1"/>
    <col min="11273" max="11273" width="11.42578125" style="5"/>
    <col min="11274" max="11274" width="17.28515625" style="5" customWidth="1"/>
    <col min="11275" max="11520" width="11.42578125" style="5"/>
    <col min="11521" max="11521" width="14.140625" style="5" customWidth="1"/>
    <col min="11522" max="11522" width="55.7109375" style="5" customWidth="1"/>
    <col min="11523" max="11523" width="12.42578125" style="5" bestFit="1" customWidth="1"/>
    <col min="11524" max="11524" width="11.28515625" style="5" bestFit="1" customWidth="1"/>
    <col min="11525" max="11525" width="6.140625" style="5" bestFit="1" customWidth="1"/>
    <col min="11526" max="11526" width="13.140625" style="5" customWidth="1"/>
    <col min="11527" max="11527" width="3.5703125" style="5" customWidth="1"/>
    <col min="11528" max="11528" width="14" style="5" customWidth="1"/>
    <col min="11529" max="11529" width="11.42578125" style="5"/>
    <col min="11530" max="11530" width="17.28515625" style="5" customWidth="1"/>
    <col min="11531" max="11776" width="11.42578125" style="5"/>
    <col min="11777" max="11777" width="14.140625" style="5" customWidth="1"/>
    <col min="11778" max="11778" width="55.7109375" style="5" customWidth="1"/>
    <col min="11779" max="11779" width="12.42578125" style="5" bestFit="1" customWidth="1"/>
    <col min="11780" max="11780" width="11.28515625" style="5" bestFit="1" customWidth="1"/>
    <col min="11781" max="11781" width="6.140625" style="5" bestFit="1" customWidth="1"/>
    <col min="11782" max="11782" width="13.140625" style="5" customWidth="1"/>
    <col min="11783" max="11783" width="3.5703125" style="5" customWidth="1"/>
    <col min="11784" max="11784" width="14" style="5" customWidth="1"/>
    <col min="11785" max="11785" width="11.42578125" style="5"/>
    <col min="11786" max="11786" width="17.28515625" style="5" customWidth="1"/>
    <col min="11787" max="12032" width="11.42578125" style="5"/>
    <col min="12033" max="12033" width="14.140625" style="5" customWidth="1"/>
    <col min="12034" max="12034" width="55.7109375" style="5" customWidth="1"/>
    <col min="12035" max="12035" width="12.42578125" style="5" bestFit="1" customWidth="1"/>
    <col min="12036" max="12036" width="11.28515625" style="5" bestFit="1" customWidth="1"/>
    <col min="12037" max="12037" width="6.140625" style="5" bestFit="1" customWidth="1"/>
    <col min="12038" max="12038" width="13.140625" style="5" customWidth="1"/>
    <col min="12039" max="12039" width="3.5703125" style="5" customWidth="1"/>
    <col min="12040" max="12040" width="14" style="5" customWidth="1"/>
    <col min="12041" max="12041" width="11.42578125" style="5"/>
    <col min="12042" max="12042" width="17.28515625" style="5" customWidth="1"/>
    <col min="12043" max="12288" width="11.42578125" style="5"/>
    <col min="12289" max="12289" width="14.140625" style="5" customWidth="1"/>
    <col min="12290" max="12290" width="55.7109375" style="5" customWidth="1"/>
    <col min="12291" max="12291" width="12.42578125" style="5" bestFit="1" customWidth="1"/>
    <col min="12292" max="12292" width="11.28515625" style="5" bestFit="1" customWidth="1"/>
    <col min="12293" max="12293" width="6.140625" style="5" bestFit="1" customWidth="1"/>
    <col min="12294" max="12294" width="13.140625" style="5" customWidth="1"/>
    <col min="12295" max="12295" width="3.5703125" style="5" customWidth="1"/>
    <col min="12296" max="12296" width="14" style="5" customWidth="1"/>
    <col min="12297" max="12297" width="11.42578125" style="5"/>
    <col min="12298" max="12298" width="17.28515625" style="5" customWidth="1"/>
    <col min="12299" max="12544" width="11.42578125" style="5"/>
    <col min="12545" max="12545" width="14.140625" style="5" customWidth="1"/>
    <col min="12546" max="12546" width="55.7109375" style="5" customWidth="1"/>
    <col min="12547" max="12547" width="12.42578125" style="5" bestFit="1" customWidth="1"/>
    <col min="12548" max="12548" width="11.28515625" style="5" bestFit="1" customWidth="1"/>
    <col min="12549" max="12549" width="6.140625" style="5" bestFit="1" customWidth="1"/>
    <col min="12550" max="12550" width="13.140625" style="5" customWidth="1"/>
    <col min="12551" max="12551" width="3.5703125" style="5" customWidth="1"/>
    <col min="12552" max="12552" width="14" style="5" customWidth="1"/>
    <col min="12553" max="12553" width="11.42578125" style="5"/>
    <col min="12554" max="12554" width="17.28515625" style="5" customWidth="1"/>
    <col min="12555" max="12800" width="11.42578125" style="5"/>
    <col min="12801" max="12801" width="14.140625" style="5" customWidth="1"/>
    <col min="12802" max="12802" width="55.7109375" style="5" customWidth="1"/>
    <col min="12803" max="12803" width="12.42578125" style="5" bestFit="1" customWidth="1"/>
    <col min="12804" max="12804" width="11.28515625" style="5" bestFit="1" customWidth="1"/>
    <col min="12805" max="12805" width="6.140625" style="5" bestFit="1" customWidth="1"/>
    <col min="12806" max="12806" width="13.140625" style="5" customWidth="1"/>
    <col min="12807" max="12807" width="3.5703125" style="5" customWidth="1"/>
    <col min="12808" max="12808" width="14" style="5" customWidth="1"/>
    <col min="12809" max="12809" width="11.42578125" style="5"/>
    <col min="12810" max="12810" width="17.28515625" style="5" customWidth="1"/>
    <col min="12811" max="13056" width="11.42578125" style="5"/>
    <col min="13057" max="13057" width="14.140625" style="5" customWidth="1"/>
    <col min="13058" max="13058" width="55.7109375" style="5" customWidth="1"/>
    <col min="13059" max="13059" width="12.42578125" style="5" bestFit="1" customWidth="1"/>
    <col min="13060" max="13060" width="11.28515625" style="5" bestFit="1" customWidth="1"/>
    <col min="13061" max="13061" width="6.140625" style="5" bestFit="1" customWidth="1"/>
    <col min="13062" max="13062" width="13.140625" style="5" customWidth="1"/>
    <col min="13063" max="13063" width="3.5703125" style="5" customWidth="1"/>
    <col min="13064" max="13064" width="14" style="5" customWidth="1"/>
    <col min="13065" max="13065" width="11.42578125" style="5"/>
    <col min="13066" max="13066" width="17.28515625" style="5" customWidth="1"/>
    <col min="13067" max="13312" width="11.42578125" style="5"/>
    <col min="13313" max="13313" width="14.140625" style="5" customWidth="1"/>
    <col min="13314" max="13314" width="55.7109375" style="5" customWidth="1"/>
    <col min="13315" max="13315" width="12.42578125" style="5" bestFit="1" customWidth="1"/>
    <col min="13316" max="13316" width="11.28515625" style="5" bestFit="1" customWidth="1"/>
    <col min="13317" max="13317" width="6.140625" style="5" bestFit="1" customWidth="1"/>
    <col min="13318" max="13318" width="13.140625" style="5" customWidth="1"/>
    <col min="13319" max="13319" width="3.5703125" style="5" customWidth="1"/>
    <col min="13320" max="13320" width="14" style="5" customWidth="1"/>
    <col min="13321" max="13321" width="11.42578125" style="5"/>
    <col min="13322" max="13322" width="17.28515625" style="5" customWidth="1"/>
    <col min="13323" max="13568" width="11.42578125" style="5"/>
    <col min="13569" max="13569" width="14.140625" style="5" customWidth="1"/>
    <col min="13570" max="13570" width="55.7109375" style="5" customWidth="1"/>
    <col min="13571" max="13571" width="12.42578125" style="5" bestFit="1" customWidth="1"/>
    <col min="13572" max="13572" width="11.28515625" style="5" bestFit="1" customWidth="1"/>
    <col min="13573" max="13573" width="6.140625" style="5" bestFit="1" customWidth="1"/>
    <col min="13574" max="13574" width="13.140625" style="5" customWidth="1"/>
    <col min="13575" max="13575" width="3.5703125" style="5" customWidth="1"/>
    <col min="13576" max="13576" width="14" style="5" customWidth="1"/>
    <col min="13577" max="13577" width="11.42578125" style="5"/>
    <col min="13578" max="13578" width="17.28515625" style="5" customWidth="1"/>
    <col min="13579" max="13824" width="11.42578125" style="5"/>
    <col min="13825" max="13825" width="14.140625" style="5" customWidth="1"/>
    <col min="13826" max="13826" width="55.7109375" style="5" customWidth="1"/>
    <col min="13827" max="13827" width="12.42578125" style="5" bestFit="1" customWidth="1"/>
    <col min="13828" max="13828" width="11.28515625" style="5" bestFit="1" customWidth="1"/>
    <col min="13829" max="13829" width="6.140625" style="5" bestFit="1" customWidth="1"/>
    <col min="13830" max="13830" width="13.140625" style="5" customWidth="1"/>
    <col min="13831" max="13831" width="3.5703125" style="5" customWidth="1"/>
    <col min="13832" max="13832" width="14" style="5" customWidth="1"/>
    <col min="13833" max="13833" width="11.42578125" style="5"/>
    <col min="13834" max="13834" width="17.28515625" style="5" customWidth="1"/>
    <col min="13835" max="14080" width="11.42578125" style="5"/>
    <col min="14081" max="14081" width="14.140625" style="5" customWidth="1"/>
    <col min="14082" max="14082" width="55.7109375" style="5" customWidth="1"/>
    <col min="14083" max="14083" width="12.42578125" style="5" bestFit="1" customWidth="1"/>
    <col min="14084" max="14084" width="11.28515625" style="5" bestFit="1" customWidth="1"/>
    <col min="14085" max="14085" width="6.140625" style="5" bestFit="1" customWidth="1"/>
    <col min="14086" max="14086" width="13.140625" style="5" customWidth="1"/>
    <col min="14087" max="14087" width="3.5703125" style="5" customWidth="1"/>
    <col min="14088" max="14088" width="14" style="5" customWidth="1"/>
    <col min="14089" max="14089" width="11.42578125" style="5"/>
    <col min="14090" max="14090" width="17.28515625" style="5" customWidth="1"/>
    <col min="14091" max="14336" width="11.42578125" style="5"/>
    <col min="14337" max="14337" width="14.140625" style="5" customWidth="1"/>
    <col min="14338" max="14338" width="55.7109375" style="5" customWidth="1"/>
    <col min="14339" max="14339" width="12.42578125" style="5" bestFit="1" customWidth="1"/>
    <col min="14340" max="14340" width="11.28515625" style="5" bestFit="1" customWidth="1"/>
    <col min="14341" max="14341" width="6.140625" style="5" bestFit="1" customWidth="1"/>
    <col min="14342" max="14342" width="13.140625" style="5" customWidth="1"/>
    <col min="14343" max="14343" width="3.5703125" style="5" customWidth="1"/>
    <col min="14344" max="14344" width="14" style="5" customWidth="1"/>
    <col min="14345" max="14345" width="11.42578125" style="5"/>
    <col min="14346" max="14346" width="17.28515625" style="5" customWidth="1"/>
    <col min="14347" max="14592" width="11.42578125" style="5"/>
    <col min="14593" max="14593" width="14.140625" style="5" customWidth="1"/>
    <col min="14594" max="14594" width="55.7109375" style="5" customWidth="1"/>
    <col min="14595" max="14595" width="12.42578125" style="5" bestFit="1" customWidth="1"/>
    <col min="14596" max="14596" width="11.28515625" style="5" bestFit="1" customWidth="1"/>
    <col min="14597" max="14597" width="6.140625" style="5" bestFit="1" customWidth="1"/>
    <col min="14598" max="14598" width="13.140625" style="5" customWidth="1"/>
    <col min="14599" max="14599" width="3.5703125" style="5" customWidth="1"/>
    <col min="14600" max="14600" width="14" style="5" customWidth="1"/>
    <col min="14601" max="14601" width="11.42578125" style="5"/>
    <col min="14602" max="14602" width="17.28515625" style="5" customWidth="1"/>
    <col min="14603" max="14848" width="11.42578125" style="5"/>
    <col min="14849" max="14849" width="14.140625" style="5" customWidth="1"/>
    <col min="14850" max="14850" width="55.7109375" style="5" customWidth="1"/>
    <col min="14851" max="14851" width="12.42578125" style="5" bestFit="1" customWidth="1"/>
    <col min="14852" max="14852" width="11.28515625" style="5" bestFit="1" customWidth="1"/>
    <col min="14853" max="14853" width="6.140625" style="5" bestFit="1" customWidth="1"/>
    <col min="14854" max="14854" width="13.140625" style="5" customWidth="1"/>
    <col min="14855" max="14855" width="3.5703125" style="5" customWidth="1"/>
    <col min="14856" max="14856" width="14" style="5" customWidth="1"/>
    <col min="14857" max="14857" width="11.42578125" style="5"/>
    <col min="14858" max="14858" width="17.28515625" style="5" customWidth="1"/>
    <col min="14859" max="15104" width="11.42578125" style="5"/>
    <col min="15105" max="15105" width="14.140625" style="5" customWidth="1"/>
    <col min="15106" max="15106" width="55.7109375" style="5" customWidth="1"/>
    <col min="15107" max="15107" width="12.42578125" style="5" bestFit="1" customWidth="1"/>
    <col min="15108" max="15108" width="11.28515625" style="5" bestFit="1" customWidth="1"/>
    <col min="15109" max="15109" width="6.140625" style="5" bestFit="1" customWidth="1"/>
    <col min="15110" max="15110" width="13.140625" style="5" customWidth="1"/>
    <col min="15111" max="15111" width="3.5703125" style="5" customWidth="1"/>
    <col min="15112" max="15112" width="14" style="5" customWidth="1"/>
    <col min="15113" max="15113" width="11.42578125" style="5"/>
    <col min="15114" max="15114" width="17.28515625" style="5" customWidth="1"/>
    <col min="15115" max="15360" width="11.42578125" style="5"/>
    <col min="15361" max="15361" width="14.140625" style="5" customWidth="1"/>
    <col min="15362" max="15362" width="55.7109375" style="5" customWidth="1"/>
    <col min="15363" max="15363" width="12.42578125" style="5" bestFit="1" customWidth="1"/>
    <col min="15364" max="15364" width="11.28515625" style="5" bestFit="1" customWidth="1"/>
    <col min="15365" max="15365" width="6.140625" style="5" bestFit="1" customWidth="1"/>
    <col min="15366" max="15366" width="13.140625" style="5" customWidth="1"/>
    <col min="15367" max="15367" width="3.5703125" style="5" customWidth="1"/>
    <col min="15368" max="15368" width="14" style="5" customWidth="1"/>
    <col min="15369" max="15369" width="11.42578125" style="5"/>
    <col min="15370" max="15370" width="17.28515625" style="5" customWidth="1"/>
    <col min="15371" max="15616" width="11.42578125" style="5"/>
    <col min="15617" max="15617" width="14.140625" style="5" customWidth="1"/>
    <col min="15618" max="15618" width="55.7109375" style="5" customWidth="1"/>
    <col min="15619" max="15619" width="12.42578125" style="5" bestFit="1" customWidth="1"/>
    <col min="15620" max="15620" width="11.28515625" style="5" bestFit="1" customWidth="1"/>
    <col min="15621" max="15621" width="6.140625" style="5" bestFit="1" customWidth="1"/>
    <col min="15622" max="15622" width="13.140625" style="5" customWidth="1"/>
    <col min="15623" max="15623" width="3.5703125" style="5" customWidth="1"/>
    <col min="15624" max="15624" width="14" style="5" customWidth="1"/>
    <col min="15625" max="15625" width="11.42578125" style="5"/>
    <col min="15626" max="15626" width="17.28515625" style="5" customWidth="1"/>
    <col min="15627" max="15872" width="11.42578125" style="5"/>
    <col min="15873" max="15873" width="14.140625" style="5" customWidth="1"/>
    <col min="15874" max="15874" width="55.7109375" style="5" customWidth="1"/>
    <col min="15875" max="15875" width="12.42578125" style="5" bestFit="1" customWidth="1"/>
    <col min="15876" max="15876" width="11.28515625" style="5" bestFit="1" customWidth="1"/>
    <col min="15877" max="15877" width="6.140625" style="5" bestFit="1" customWidth="1"/>
    <col min="15878" max="15878" width="13.140625" style="5" customWidth="1"/>
    <col min="15879" max="15879" width="3.5703125" style="5" customWidth="1"/>
    <col min="15880" max="15880" width="14" style="5" customWidth="1"/>
    <col min="15881" max="15881" width="11.42578125" style="5"/>
    <col min="15882" max="15882" width="17.28515625" style="5" customWidth="1"/>
    <col min="15883" max="16128" width="11.42578125" style="5"/>
    <col min="16129" max="16129" width="14.140625" style="5" customWidth="1"/>
    <col min="16130" max="16130" width="55.7109375" style="5" customWidth="1"/>
    <col min="16131" max="16131" width="12.42578125" style="5" bestFit="1" customWidth="1"/>
    <col min="16132" max="16132" width="11.28515625" style="5" bestFit="1" customWidth="1"/>
    <col min="16133" max="16133" width="6.140625" style="5" bestFit="1" customWidth="1"/>
    <col min="16134" max="16134" width="13.140625" style="5" customWidth="1"/>
    <col min="16135" max="16135" width="3.5703125" style="5" customWidth="1"/>
    <col min="16136" max="16136" width="14" style="5" customWidth="1"/>
    <col min="16137" max="16137" width="11.42578125" style="5"/>
    <col min="16138" max="16138" width="17.28515625" style="5" customWidth="1"/>
    <col min="16139" max="16384" width="11.42578125" style="5"/>
  </cols>
  <sheetData>
    <row r="1" spans="1:8" x14ac:dyDescent="0.2">
      <c r="A1" s="1" t="s">
        <v>0</v>
      </c>
      <c r="B1" s="2"/>
      <c r="C1" s="7"/>
      <c r="D1" s="160"/>
      <c r="E1" s="3"/>
      <c r="F1" s="3"/>
      <c r="G1" s="3"/>
      <c r="H1" s="4"/>
    </row>
    <row r="2" spans="1:8" x14ac:dyDescent="0.2">
      <c r="A2" s="1"/>
      <c r="B2" s="2"/>
      <c r="C2" s="7"/>
      <c r="D2" s="160"/>
      <c r="E2" s="3"/>
      <c r="F2" s="3"/>
      <c r="G2" s="3"/>
      <c r="H2" s="4"/>
    </row>
    <row r="3" spans="1:8" x14ac:dyDescent="0.2">
      <c r="A3" s="1"/>
      <c r="B3" s="2"/>
      <c r="C3" s="7"/>
      <c r="D3" s="160"/>
      <c r="E3" s="3"/>
      <c r="F3" s="3"/>
      <c r="G3" s="3"/>
      <c r="H3" s="4"/>
    </row>
    <row r="4" spans="1:8" x14ac:dyDescent="0.2">
      <c r="A4" s="1" t="s">
        <v>1</v>
      </c>
      <c r="B4" s="1"/>
      <c r="E4" s="5"/>
      <c r="G4" s="5"/>
    </row>
    <row r="5" spans="1:8" x14ac:dyDescent="0.2">
      <c r="A5" s="7"/>
      <c r="B5" s="2"/>
      <c r="C5" s="7"/>
      <c r="D5" s="160"/>
      <c r="E5" s="3"/>
      <c r="F5" s="3"/>
      <c r="G5" s="3"/>
      <c r="H5" s="4"/>
    </row>
    <row r="6" spans="1:8" x14ac:dyDescent="0.2">
      <c r="A6" s="7"/>
      <c r="B6" s="2"/>
      <c r="C6" s="7"/>
      <c r="D6" s="160"/>
      <c r="E6" s="3"/>
      <c r="F6" s="3"/>
      <c r="G6" s="3"/>
      <c r="H6" s="4"/>
    </row>
    <row r="7" spans="1:8" x14ac:dyDescent="0.2">
      <c r="A7" s="7"/>
      <c r="B7" s="8" t="s">
        <v>2</v>
      </c>
      <c r="C7" s="7"/>
      <c r="D7" s="160"/>
      <c r="E7" s="3"/>
      <c r="F7" s="3"/>
      <c r="G7" s="3"/>
      <c r="H7" s="4"/>
    </row>
    <row r="8" spans="1:8" x14ac:dyDescent="0.2">
      <c r="A8" s="7"/>
      <c r="B8" s="2"/>
      <c r="C8" s="7"/>
      <c r="D8" s="160"/>
      <c r="E8" s="3"/>
      <c r="F8" s="3"/>
      <c r="G8" s="3"/>
      <c r="H8" s="4"/>
    </row>
    <row r="9" spans="1:8" ht="13.5" customHeight="1" x14ac:dyDescent="0.2">
      <c r="A9" s="9" t="s">
        <v>13217</v>
      </c>
      <c r="B9" s="9"/>
      <c r="C9" s="74"/>
      <c r="D9" s="160"/>
      <c r="E9" s="3"/>
      <c r="F9" s="3"/>
      <c r="G9" s="10" t="s">
        <v>3</v>
      </c>
      <c r="H9" s="11">
        <v>64946.31</v>
      </c>
    </row>
    <row r="10" spans="1:8" x14ac:dyDescent="0.2">
      <c r="A10" s="3"/>
      <c r="B10" s="8"/>
      <c r="C10" s="7"/>
      <c r="D10" s="160"/>
      <c r="E10" s="3"/>
      <c r="F10" s="3"/>
      <c r="G10" s="3"/>
      <c r="H10" s="4"/>
    </row>
    <row r="11" spans="1:8" x14ac:dyDescent="0.2">
      <c r="A11" s="12"/>
      <c r="B11" s="13" t="s">
        <v>4</v>
      </c>
      <c r="C11" s="7"/>
      <c r="D11" s="162"/>
      <c r="E11" s="14"/>
      <c r="F11" s="15"/>
      <c r="G11" s="3"/>
      <c r="H11" s="4"/>
    </row>
    <row r="12" spans="1:8" ht="12.75" customHeight="1" x14ac:dyDescent="0.2">
      <c r="A12" s="12"/>
      <c r="B12" s="16" t="s">
        <v>1553</v>
      </c>
      <c r="C12" s="7"/>
      <c r="D12" s="162"/>
      <c r="E12" s="14"/>
      <c r="F12" s="15"/>
      <c r="G12" s="3"/>
      <c r="H12" s="4"/>
    </row>
    <row r="13" spans="1:8" x14ac:dyDescent="0.2">
      <c r="A13" s="12"/>
      <c r="B13" s="8"/>
      <c r="C13" s="7"/>
      <c r="D13" s="162"/>
      <c r="E13" s="14"/>
      <c r="F13" s="15"/>
      <c r="G13" s="3"/>
      <c r="H13" s="4"/>
    </row>
    <row r="14" spans="1:8" ht="12.75" x14ac:dyDescent="0.2">
      <c r="A14" s="38" t="s">
        <v>5</v>
      </c>
      <c r="B14" s="39" t="s">
        <v>6</v>
      </c>
      <c r="C14" s="75" t="s">
        <v>7</v>
      </c>
      <c r="D14" s="163" t="s">
        <v>8</v>
      </c>
      <c r="E14" s="41"/>
      <c r="F14" s="41" t="s">
        <v>9</v>
      </c>
      <c r="G14" s="42"/>
      <c r="H14" s="36"/>
    </row>
    <row r="15" spans="1:8" ht="12.75" x14ac:dyDescent="0.2">
      <c r="A15" s="90"/>
      <c r="B15" s="89"/>
      <c r="C15" s="91"/>
      <c r="D15" s="164"/>
      <c r="E15" s="41"/>
      <c r="F15" s="46"/>
      <c r="G15" s="42"/>
      <c r="H15" s="36"/>
    </row>
    <row r="16" spans="1:8" ht="12.75" x14ac:dyDescent="0.2">
      <c r="A16" s="47"/>
      <c r="B16" s="48"/>
      <c r="C16" s="77"/>
      <c r="D16" s="149"/>
      <c r="E16" s="41"/>
      <c r="F16" s="68"/>
      <c r="G16" s="42"/>
      <c r="H16" s="49">
        <f>SUM(F15:F15)</f>
        <v>0</v>
      </c>
    </row>
    <row r="17" spans="1:8" ht="12.75" x14ac:dyDescent="0.2">
      <c r="A17" s="38"/>
      <c r="B17" s="50"/>
      <c r="C17" s="78"/>
      <c r="D17" s="163"/>
      <c r="E17" s="41"/>
      <c r="F17" s="51"/>
      <c r="G17" s="52"/>
      <c r="H17" s="36"/>
    </row>
    <row r="18" spans="1:8" ht="12.75" x14ac:dyDescent="0.2">
      <c r="A18" s="42"/>
      <c r="B18" s="53" t="s">
        <v>4</v>
      </c>
      <c r="C18" s="78"/>
      <c r="D18" s="165"/>
      <c r="E18" s="54"/>
      <c r="F18" s="41" t="s">
        <v>9</v>
      </c>
      <c r="G18" s="42"/>
      <c r="H18" s="36"/>
    </row>
    <row r="19" spans="1:8" ht="13.5" customHeight="1" x14ac:dyDescent="0.2">
      <c r="A19" s="40" t="s">
        <v>5</v>
      </c>
      <c r="B19" s="55" t="s">
        <v>10</v>
      </c>
      <c r="C19" s="78"/>
      <c r="D19" s="165"/>
      <c r="E19" s="54"/>
      <c r="F19" s="51"/>
      <c r="G19" s="42"/>
      <c r="H19" s="36"/>
    </row>
    <row r="20" spans="1:8" ht="13.5" customHeight="1" x14ac:dyDescent="0.2">
      <c r="A20" s="155">
        <v>44305</v>
      </c>
      <c r="B20" s="216" t="s">
        <v>11660</v>
      </c>
      <c r="C20" s="78"/>
      <c r="D20" s="165"/>
      <c r="E20" s="54"/>
      <c r="F20" s="214">
        <v>1.08</v>
      </c>
      <c r="G20" s="42"/>
      <c r="H20" s="36"/>
    </row>
    <row r="21" spans="1:8" ht="13.5" customHeight="1" x14ac:dyDescent="0.2">
      <c r="A21" s="155">
        <v>44313</v>
      </c>
      <c r="B21" s="216" t="s">
        <v>11661</v>
      </c>
      <c r="C21" s="78"/>
      <c r="D21" s="165"/>
      <c r="E21" s="54"/>
      <c r="F21" s="214">
        <v>16.760000000000002</v>
      </c>
      <c r="G21" s="42"/>
      <c r="H21" s="36"/>
    </row>
    <row r="22" spans="1:8" ht="13.5" customHeight="1" x14ac:dyDescent="0.2">
      <c r="A22" s="200">
        <v>44319</v>
      </c>
      <c r="B22" s="216" t="s">
        <v>13223</v>
      </c>
      <c r="C22" s="78"/>
      <c r="D22" s="165"/>
      <c r="E22" s="54"/>
      <c r="F22" s="214">
        <v>3.8</v>
      </c>
      <c r="G22" s="42"/>
      <c r="H22" s="36"/>
    </row>
    <row r="23" spans="1:8" ht="13.5" customHeight="1" x14ac:dyDescent="0.2">
      <c r="A23" s="200">
        <v>44319</v>
      </c>
      <c r="B23" s="216" t="s">
        <v>13224</v>
      </c>
      <c r="C23" s="78"/>
      <c r="D23" s="165"/>
      <c r="E23" s="54"/>
      <c r="F23" s="214">
        <v>12.3</v>
      </c>
      <c r="G23" s="42"/>
      <c r="H23" s="36"/>
    </row>
    <row r="24" spans="1:8" ht="13.5" customHeight="1" x14ac:dyDescent="0.2">
      <c r="A24" s="200">
        <v>44321</v>
      </c>
      <c r="B24" s="216" t="s">
        <v>13219</v>
      </c>
      <c r="C24" s="78"/>
      <c r="D24" s="165"/>
      <c r="E24" s="54"/>
      <c r="F24" s="214">
        <v>1.95</v>
      </c>
      <c r="G24" s="42"/>
      <c r="H24" s="36"/>
    </row>
    <row r="25" spans="1:8" ht="13.5" customHeight="1" x14ac:dyDescent="0.2">
      <c r="A25" s="200">
        <v>44321</v>
      </c>
      <c r="B25" s="216" t="s">
        <v>13220</v>
      </c>
      <c r="C25" s="78"/>
      <c r="D25" s="165"/>
      <c r="E25" s="54"/>
      <c r="F25" s="214">
        <v>1.65</v>
      </c>
      <c r="G25" s="42"/>
      <c r="H25" s="36"/>
    </row>
    <row r="26" spans="1:8" ht="13.5" customHeight="1" x14ac:dyDescent="0.2">
      <c r="A26" s="200">
        <v>44323</v>
      </c>
      <c r="B26" s="216" t="s">
        <v>13225</v>
      </c>
      <c r="C26" s="78"/>
      <c r="D26" s="165"/>
      <c r="E26" s="54"/>
      <c r="F26" s="214">
        <v>8.43</v>
      </c>
      <c r="G26" s="42"/>
      <c r="H26" s="36"/>
    </row>
    <row r="27" spans="1:8" ht="13.5" customHeight="1" x14ac:dyDescent="0.2">
      <c r="A27" s="200">
        <v>44341</v>
      </c>
      <c r="B27" s="216" t="s">
        <v>13226</v>
      </c>
      <c r="C27" s="78"/>
      <c r="D27" s="165"/>
      <c r="E27" s="54"/>
      <c r="F27" s="214">
        <v>4.32</v>
      </c>
      <c r="G27" s="42"/>
      <c r="H27" s="36"/>
    </row>
    <row r="28" spans="1:8" ht="13.5" customHeight="1" x14ac:dyDescent="0.2">
      <c r="A28" s="200">
        <v>44343</v>
      </c>
      <c r="B28" s="216" t="s">
        <v>13221</v>
      </c>
      <c r="C28" s="78"/>
      <c r="D28" s="165"/>
      <c r="E28" s="54"/>
      <c r="F28" s="214">
        <v>3.57</v>
      </c>
      <c r="G28" s="42"/>
      <c r="H28" s="36"/>
    </row>
    <row r="29" spans="1:8" ht="13.5" customHeight="1" x14ac:dyDescent="0.2">
      <c r="A29" s="200">
        <v>44343</v>
      </c>
      <c r="B29" s="216" t="s">
        <v>13222</v>
      </c>
      <c r="C29" s="78"/>
      <c r="D29" s="165"/>
      <c r="E29" s="54"/>
      <c r="F29" s="214">
        <v>12.8</v>
      </c>
      <c r="G29" s="42"/>
      <c r="H29" s="36"/>
    </row>
    <row r="30" spans="1:8" ht="13.5" customHeight="1" x14ac:dyDescent="0.2">
      <c r="A30" s="200">
        <v>44347</v>
      </c>
      <c r="B30" s="216" t="s">
        <v>13220</v>
      </c>
      <c r="C30" s="78"/>
      <c r="D30" s="165"/>
      <c r="E30" s="54"/>
      <c r="F30" s="69">
        <v>1.75</v>
      </c>
      <c r="G30" s="42"/>
      <c r="H30" s="36"/>
    </row>
    <row r="31" spans="1:8" ht="12.75" x14ac:dyDescent="0.2">
      <c r="A31" s="155"/>
      <c r="B31" s="156"/>
      <c r="C31" s="157"/>
      <c r="D31" s="158"/>
      <c r="E31" s="154"/>
      <c r="F31" s="159"/>
      <c r="G31" s="42"/>
      <c r="H31" s="49">
        <f>SUM(F20:F30)</f>
        <v>68.410000000000011</v>
      </c>
    </row>
    <row r="32" spans="1:8" s="20" customFormat="1" ht="12.75" x14ac:dyDescent="0.2">
      <c r="A32" s="58"/>
      <c r="B32" s="59" t="s">
        <v>12</v>
      </c>
      <c r="C32" s="75"/>
      <c r="D32" s="166"/>
      <c r="E32" s="40"/>
      <c r="F32" s="42"/>
      <c r="G32" s="60"/>
      <c r="H32" s="37"/>
    </row>
    <row r="33" spans="1:16" s="20" customFormat="1" ht="12.75" x14ac:dyDescent="0.2">
      <c r="A33" s="40" t="s">
        <v>5</v>
      </c>
      <c r="B33" s="59" t="s">
        <v>13</v>
      </c>
      <c r="C33" s="75"/>
      <c r="D33" s="166"/>
      <c r="E33" s="40"/>
      <c r="F33" s="41" t="s">
        <v>9</v>
      </c>
      <c r="G33" s="60"/>
      <c r="H33" s="37"/>
    </row>
    <row r="34" spans="1:16" ht="12.75" x14ac:dyDescent="0.2">
      <c r="A34" s="43"/>
      <c r="B34" s="44"/>
      <c r="C34" s="78"/>
      <c r="D34" s="165"/>
      <c r="E34" s="54"/>
      <c r="F34" s="69"/>
      <c r="G34" s="42"/>
      <c r="H34" s="36"/>
    </row>
    <row r="35" spans="1:16" ht="12.75" x14ac:dyDescent="0.2">
      <c r="A35" s="61"/>
      <c r="B35" s="57"/>
      <c r="C35" s="78"/>
      <c r="D35" s="165"/>
      <c r="E35" s="54"/>
      <c r="F35" s="51"/>
      <c r="G35" s="42"/>
      <c r="H35" s="49">
        <f>SUM(F34:F34)</f>
        <v>0</v>
      </c>
    </row>
    <row r="36" spans="1:16" ht="12.75" x14ac:dyDescent="0.2">
      <c r="A36" s="42"/>
      <c r="B36" s="57"/>
      <c r="C36" s="78"/>
      <c r="D36" s="165"/>
      <c r="E36" s="54"/>
      <c r="F36" s="51"/>
      <c r="G36" s="42"/>
      <c r="H36" s="36"/>
    </row>
    <row r="37" spans="1:16" ht="12.75" x14ac:dyDescent="0.2">
      <c r="A37" s="42"/>
      <c r="B37" s="59" t="s">
        <v>12</v>
      </c>
      <c r="C37" s="78"/>
      <c r="D37" s="165"/>
      <c r="E37" s="54"/>
      <c r="F37" s="41" t="s">
        <v>9</v>
      </c>
      <c r="G37" s="42"/>
      <c r="H37" s="36"/>
    </row>
    <row r="38" spans="1:16" ht="12.75" x14ac:dyDescent="0.2">
      <c r="A38" s="40" t="s">
        <v>5</v>
      </c>
      <c r="B38" s="55" t="s">
        <v>14</v>
      </c>
      <c r="C38" s="78"/>
      <c r="D38" s="165"/>
      <c r="E38" s="54"/>
      <c r="F38" s="52"/>
      <c r="G38" s="42"/>
      <c r="H38" s="36"/>
    </row>
    <row r="39" spans="1:16" s="188" customFormat="1" ht="12.75" x14ac:dyDescent="0.2">
      <c r="A39" s="200">
        <v>44324.679699074077</v>
      </c>
      <c r="B39" s="199" t="s">
        <v>12647</v>
      </c>
      <c r="C39" s="217" t="s">
        <v>12648</v>
      </c>
      <c r="D39" s="158"/>
      <c r="E39" s="56"/>
      <c r="F39" s="232">
        <v>1.95</v>
      </c>
      <c r="G39" s="185"/>
      <c r="H39" s="186"/>
      <c r="L39" s="22"/>
      <c r="M39" s="22"/>
      <c r="N39" s="148"/>
      <c r="P39" s="198"/>
    </row>
    <row r="40" spans="1:16" s="188" customFormat="1" ht="12.75" x14ac:dyDescent="0.2">
      <c r="A40" s="200">
        <v>44329.581377314818</v>
      </c>
      <c r="B40" s="199" t="s">
        <v>12404</v>
      </c>
      <c r="C40" s="217" t="s">
        <v>12405</v>
      </c>
      <c r="D40" s="158"/>
      <c r="E40" s="56"/>
      <c r="F40" s="266">
        <v>1.08</v>
      </c>
      <c r="G40" s="185"/>
      <c r="H40" s="186"/>
      <c r="L40" s="22"/>
      <c r="M40" s="22"/>
      <c r="N40" s="148"/>
      <c r="P40" s="198"/>
    </row>
    <row r="41" spans="1:16" ht="12.75" x14ac:dyDescent="0.2">
      <c r="A41" s="200">
        <v>44341.698692129627</v>
      </c>
      <c r="B41" s="199" t="s">
        <v>12045</v>
      </c>
      <c r="C41" s="217" t="s">
        <v>12046</v>
      </c>
      <c r="D41" s="158"/>
      <c r="E41" s="56"/>
      <c r="F41" s="198">
        <v>8.43</v>
      </c>
      <c r="G41" s="42"/>
      <c r="H41" s="37"/>
      <c r="L41" s="22"/>
      <c r="M41" s="22"/>
      <c r="N41" s="148"/>
      <c r="P41" s="198"/>
    </row>
    <row r="42" spans="1:16" ht="12.75" x14ac:dyDescent="0.2">
      <c r="A42" s="200">
        <v>44345</v>
      </c>
      <c r="B42" s="199" t="s">
        <v>11785</v>
      </c>
      <c r="C42" s="217" t="s">
        <v>11786</v>
      </c>
      <c r="D42" s="158"/>
      <c r="E42" s="56" t="s">
        <v>3577</v>
      </c>
      <c r="F42" s="232">
        <v>1.68</v>
      </c>
      <c r="L42" s="22"/>
      <c r="M42" s="22"/>
      <c r="N42" s="148"/>
      <c r="P42" s="198"/>
    </row>
    <row r="43" spans="1:16" ht="12.75" x14ac:dyDescent="0.2">
      <c r="A43" s="200">
        <v>44345.514456018522</v>
      </c>
      <c r="B43" s="199" t="s">
        <v>11783</v>
      </c>
      <c r="C43" s="217" t="s">
        <v>11784</v>
      </c>
      <c r="D43" s="158"/>
      <c r="E43" s="56" t="s">
        <v>3577</v>
      </c>
      <c r="F43" s="232">
        <v>1.96</v>
      </c>
      <c r="G43" s="42"/>
      <c r="H43" s="37"/>
      <c r="L43" s="22"/>
      <c r="M43" s="22"/>
      <c r="N43" s="148"/>
      <c r="P43" s="198"/>
    </row>
    <row r="44" spans="1:16" ht="12.75" x14ac:dyDescent="0.2">
      <c r="A44" s="200">
        <v>44345.516192129631</v>
      </c>
      <c r="B44" s="199" t="s">
        <v>11781</v>
      </c>
      <c r="C44" s="217" t="s">
        <v>11782</v>
      </c>
      <c r="D44" s="158"/>
      <c r="E44" s="56" t="s">
        <v>3577</v>
      </c>
      <c r="F44" s="232">
        <v>9.1300000000000008</v>
      </c>
      <c r="G44" s="42"/>
      <c r="H44" s="37"/>
      <c r="L44" s="22"/>
      <c r="M44" s="22"/>
      <c r="N44" s="148"/>
      <c r="P44" s="198"/>
    </row>
    <row r="45" spans="1:16" ht="12.75" x14ac:dyDescent="0.2">
      <c r="A45" s="200">
        <v>44345.517488425925</v>
      </c>
      <c r="B45" s="199" t="s">
        <v>11779</v>
      </c>
      <c r="C45" s="217" t="s">
        <v>11780</v>
      </c>
      <c r="D45" s="158"/>
      <c r="E45" s="56" t="s">
        <v>3577</v>
      </c>
      <c r="F45" s="232">
        <v>4.42</v>
      </c>
      <c r="G45" s="42"/>
      <c r="H45" s="37"/>
      <c r="L45" s="22"/>
      <c r="M45" s="22"/>
      <c r="N45" s="148"/>
      <c r="P45" s="198"/>
    </row>
    <row r="46" spans="1:16" ht="12.75" x14ac:dyDescent="0.2">
      <c r="A46" s="200">
        <v>44345.51834490741</v>
      </c>
      <c r="B46" s="199" t="s">
        <v>11777</v>
      </c>
      <c r="C46" s="217" t="s">
        <v>11778</v>
      </c>
      <c r="D46" s="158"/>
      <c r="E46" s="56" t="s">
        <v>3577</v>
      </c>
      <c r="F46" s="232">
        <v>22.89</v>
      </c>
      <c r="G46" s="42"/>
      <c r="H46" s="37"/>
      <c r="L46" s="22"/>
      <c r="M46" s="22"/>
      <c r="N46" s="148"/>
      <c r="P46" s="198"/>
    </row>
    <row r="47" spans="1:16" ht="12.75" x14ac:dyDescent="0.2">
      <c r="A47" s="200">
        <v>44345.518842592595</v>
      </c>
      <c r="B47" s="199" t="s">
        <v>11775</v>
      </c>
      <c r="C47" s="217" t="s">
        <v>11776</v>
      </c>
      <c r="D47" s="158"/>
      <c r="E47" s="56" t="s">
        <v>3577</v>
      </c>
      <c r="F47" s="232">
        <v>3.54</v>
      </c>
      <c r="G47" s="42"/>
      <c r="H47" s="37"/>
      <c r="L47" s="22"/>
      <c r="M47" s="22"/>
      <c r="N47" s="148"/>
      <c r="P47" s="198"/>
    </row>
    <row r="48" spans="1:16" ht="12.75" x14ac:dyDescent="0.2">
      <c r="A48" s="200">
        <v>44345.51939814815</v>
      </c>
      <c r="B48" s="199" t="s">
        <v>11773</v>
      </c>
      <c r="C48" s="217" t="s">
        <v>11774</v>
      </c>
      <c r="D48" s="158"/>
      <c r="E48" s="56" t="s">
        <v>3577</v>
      </c>
      <c r="F48" s="232">
        <v>12.39</v>
      </c>
      <c r="G48" s="42"/>
      <c r="H48" s="37"/>
      <c r="L48" s="22"/>
      <c r="M48" s="22"/>
      <c r="N48" s="148"/>
      <c r="P48" s="198"/>
    </row>
    <row r="49" spans="1:16" ht="12.75" x14ac:dyDescent="0.2">
      <c r="A49" s="200">
        <v>44345.519930555558</v>
      </c>
      <c r="B49" s="199" t="s">
        <v>11771</v>
      </c>
      <c r="C49" s="217" t="s">
        <v>11772</v>
      </c>
      <c r="D49" s="158"/>
      <c r="E49" s="56" t="s">
        <v>3577</v>
      </c>
      <c r="F49" s="232">
        <v>14.76</v>
      </c>
      <c r="G49" s="42"/>
      <c r="H49" s="37"/>
      <c r="L49" s="22"/>
      <c r="M49" s="22"/>
      <c r="N49" s="148"/>
      <c r="P49" s="198"/>
    </row>
    <row r="50" spans="1:16" ht="12.75" x14ac:dyDescent="0.2">
      <c r="A50" s="200">
        <v>44345.520439814813</v>
      </c>
      <c r="B50" s="199" t="s">
        <v>11769</v>
      </c>
      <c r="C50" s="217" t="s">
        <v>11770</v>
      </c>
      <c r="D50" s="158"/>
      <c r="E50" s="56" t="s">
        <v>3577</v>
      </c>
      <c r="F50" s="232">
        <v>6.94</v>
      </c>
      <c r="G50" s="42"/>
      <c r="H50" s="37"/>
      <c r="L50" s="22"/>
      <c r="M50" s="22"/>
      <c r="N50" s="148"/>
      <c r="P50" s="198"/>
    </row>
    <row r="51" spans="1:16" ht="12.75" x14ac:dyDescent="0.2">
      <c r="A51" s="200">
        <v>44345.522060185183</v>
      </c>
      <c r="B51" s="199" t="s">
        <v>11767</v>
      </c>
      <c r="C51" s="217" t="s">
        <v>11768</v>
      </c>
      <c r="D51" s="158"/>
      <c r="E51" s="56" t="s">
        <v>3577</v>
      </c>
      <c r="F51" s="232">
        <v>4.66</v>
      </c>
      <c r="G51" s="42"/>
      <c r="H51" s="37"/>
      <c r="L51" s="22"/>
      <c r="M51" s="22"/>
      <c r="N51" s="148"/>
      <c r="P51" s="198"/>
    </row>
    <row r="52" spans="1:16" ht="12.75" x14ac:dyDescent="0.2">
      <c r="A52" s="200">
        <v>44345.522453703707</v>
      </c>
      <c r="B52" s="199" t="s">
        <v>11765</v>
      </c>
      <c r="C52" s="217" t="s">
        <v>11766</v>
      </c>
      <c r="D52" s="158"/>
      <c r="E52" s="56" t="s">
        <v>3577</v>
      </c>
      <c r="F52" s="232">
        <v>1.77</v>
      </c>
      <c r="G52" s="42"/>
      <c r="H52" s="37"/>
      <c r="L52" s="22"/>
      <c r="M52" s="22"/>
      <c r="N52" s="148"/>
      <c r="P52" s="198"/>
    </row>
    <row r="53" spans="1:16" ht="12.75" x14ac:dyDescent="0.2">
      <c r="A53" s="200">
        <v>44345.523090277777</v>
      </c>
      <c r="B53" s="199" t="s">
        <v>11763</v>
      </c>
      <c r="C53" s="217" t="s">
        <v>11764</v>
      </c>
      <c r="D53" s="158"/>
      <c r="E53" s="56" t="s">
        <v>3577</v>
      </c>
      <c r="F53" s="232">
        <v>12.14</v>
      </c>
      <c r="G53" s="42"/>
      <c r="H53" s="37"/>
      <c r="L53" s="22"/>
      <c r="M53" s="22"/>
      <c r="N53" s="148"/>
      <c r="P53" s="198"/>
    </row>
    <row r="54" spans="1:16" ht="12.75" x14ac:dyDescent="0.2">
      <c r="A54" s="200">
        <v>44345.523611111108</v>
      </c>
      <c r="B54" s="199" t="s">
        <v>11761</v>
      </c>
      <c r="C54" s="217" t="s">
        <v>11762</v>
      </c>
      <c r="D54" s="158"/>
      <c r="E54" s="56" t="s">
        <v>3577</v>
      </c>
      <c r="F54" s="232">
        <v>5.93</v>
      </c>
      <c r="G54" s="42"/>
      <c r="H54" s="37"/>
      <c r="L54" s="22"/>
      <c r="M54" s="22"/>
      <c r="N54" s="148"/>
      <c r="P54" s="198"/>
    </row>
    <row r="55" spans="1:16" ht="12.75" x14ac:dyDescent="0.2">
      <c r="A55" s="200">
        <v>44345.524305555555</v>
      </c>
      <c r="B55" s="199" t="s">
        <v>11759</v>
      </c>
      <c r="C55" s="217" t="s">
        <v>11760</v>
      </c>
      <c r="D55" s="158"/>
      <c r="E55" s="56" t="s">
        <v>3577</v>
      </c>
      <c r="F55" s="232">
        <v>2.95</v>
      </c>
      <c r="L55" s="22"/>
      <c r="M55" s="22"/>
      <c r="N55" s="148"/>
      <c r="P55" s="198"/>
    </row>
    <row r="56" spans="1:16" ht="12.75" x14ac:dyDescent="0.2">
      <c r="A56" s="200">
        <v>44345.524988425925</v>
      </c>
      <c r="B56" s="199" t="s">
        <v>11757</v>
      </c>
      <c r="C56" s="217" t="s">
        <v>11758</v>
      </c>
      <c r="D56" s="158"/>
      <c r="E56" s="56" t="s">
        <v>3577</v>
      </c>
      <c r="F56" s="232">
        <v>8.19</v>
      </c>
      <c r="L56" s="22"/>
      <c r="M56" s="22"/>
      <c r="N56" s="148"/>
      <c r="P56" s="198"/>
    </row>
    <row r="57" spans="1:16" ht="12.75" x14ac:dyDescent="0.2">
      <c r="A57" s="200">
        <v>44345.525416666664</v>
      </c>
      <c r="B57" s="199" t="s">
        <v>11755</v>
      </c>
      <c r="C57" s="217" t="s">
        <v>11756</v>
      </c>
      <c r="D57" s="158"/>
      <c r="E57" s="56" t="s">
        <v>3577</v>
      </c>
      <c r="F57" s="232">
        <v>1.68</v>
      </c>
      <c r="G57" s="42"/>
      <c r="H57" s="37"/>
      <c r="L57" s="22"/>
      <c r="M57" s="22"/>
      <c r="N57" s="148"/>
      <c r="P57" s="198"/>
    </row>
    <row r="58" spans="1:16" ht="12.75" x14ac:dyDescent="0.2">
      <c r="A58" s="200">
        <v>44345.525752314818</v>
      </c>
      <c r="B58" s="199" t="s">
        <v>11753</v>
      </c>
      <c r="C58" s="217" t="s">
        <v>11754</v>
      </c>
      <c r="D58" s="158"/>
      <c r="E58" s="56" t="s">
        <v>3577</v>
      </c>
      <c r="F58" s="232">
        <v>3.96</v>
      </c>
      <c r="G58" s="42"/>
      <c r="H58" s="37"/>
      <c r="L58" s="22"/>
      <c r="M58" s="22"/>
      <c r="N58" s="148"/>
      <c r="P58" s="198"/>
    </row>
    <row r="59" spans="1:16" ht="12.75" x14ac:dyDescent="0.2">
      <c r="A59" s="200">
        <v>44345.526145833333</v>
      </c>
      <c r="B59" s="199" t="s">
        <v>11751</v>
      </c>
      <c r="C59" s="217" t="s">
        <v>11752</v>
      </c>
      <c r="D59" s="158"/>
      <c r="E59" s="56" t="s">
        <v>3577</v>
      </c>
      <c r="F59" s="232">
        <v>2.89</v>
      </c>
      <c r="G59" s="42"/>
      <c r="H59" s="37"/>
      <c r="L59" s="22"/>
      <c r="M59" s="22"/>
      <c r="N59" s="148"/>
      <c r="P59" s="198"/>
    </row>
    <row r="60" spans="1:16" ht="12.75" x14ac:dyDescent="0.2">
      <c r="A60" s="200">
        <v>44345.526736111111</v>
      </c>
      <c r="B60" s="199" t="s">
        <v>11749</v>
      </c>
      <c r="C60" s="217" t="s">
        <v>11750</v>
      </c>
      <c r="D60" s="158"/>
      <c r="E60" s="56" t="s">
        <v>3577</v>
      </c>
      <c r="F60" s="232">
        <v>12.48</v>
      </c>
      <c r="G60" s="42"/>
      <c r="H60" s="37"/>
      <c r="L60" s="22"/>
      <c r="M60" s="22"/>
      <c r="N60" s="148"/>
      <c r="P60" s="198"/>
    </row>
    <row r="61" spans="1:16" ht="12.75" x14ac:dyDescent="0.2">
      <c r="A61" s="200">
        <v>44345.527129629627</v>
      </c>
      <c r="B61" s="199" t="s">
        <v>11747</v>
      </c>
      <c r="C61" s="217" t="s">
        <v>11748</v>
      </c>
      <c r="D61" s="158"/>
      <c r="E61" s="56" t="s">
        <v>3577</v>
      </c>
      <c r="F61" s="232">
        <v>1.97</v>
      </c>
      <c r="G61" s="42"/>
      <c r="H61" s="37"/>
      <c r="L61" s="22"/>
      <c r="M61" s="22"/>
      <c r="N61" s="148"/>
      <c r="P61" s="198"/>
    </row>
    <row r="62" spans="1:16" ht="12.75" x14ac:dyDescent="0.2">
      <c r="A62" s="200">
        <v>44345.527708333335</v>
      </c>
      <c r="B62" s="199" t="s">
        <v>11745</v>
      </c>
      <c r="C62" s="217" t="s">
        <v>11746</v>
      </c>
      <c r="D62" s="158"/>
      <c r="E62" s="56" t="s">
        <v>3577</v>
      </c>
      <c r="F62" s="232">
        <v>41.79</v>
      </c>
      <c r="G62" s="42"/>
      <c r="H62" s="37"/>
      <c r="L62" s="22"/>
      <c r="M62" s="22"/>
      <c r="N62" s="148"/>
      <c r="P62" s="198"/>
    </row>
    <row r="63" spans="1:16" ht="12.75" x14ac:dyDescent="0.2">
      <c r="A63" s="200">
        <v>44345.528460648151</v>
      </c>
      <c r="B63" s="199" t="s">
        <v>11743</v>
      </c>
      <c r="C63" s="217" t="s">
        <v>11744</v>
      </c>
      <c r="D63" s="158"/>
      <c r="E63" s="56" t="s">
        <v>3577</v>
      </c>
      <c r="F63" s="232">
        <v>5.4</v>
      </c>
      <c r="G63" s="42"/>
      <c r="H63" s="37"/>
      <c r="L63" s="22"/>
      <c r="M63" s="22"/>
      <c r="N63" s="148"/>
      <c r="P63" s="198"/>
    </row>
    <row r="64" spans="1:16" ht="12.75" x14ac:dyDescent="0.2">
      <c r="A64" s="200">
        <v>44345.528935185182</v>
      </c>
      <c r="B64" s="199" t="s">
        <v>11741</v>
      </c>
      <c r="C64" s="217" t="s">
        <v>11742</v>
      </c>
      <c r="D64" s="158"/>
      <c r="E64" s="56" t="s">
        <v>3577</v>
      </c>
      <c r="F64" s="232">
        <v>2.17</v>
      </c>
      <c r="G64" s="42"/>
      <c r="H64" s="37"/>
      <c r="L64" s="22"/>
      <c r="M64" s="22"/>
      <c r="N64" s="148"/>
      <c r="P64" s="198"/>
    </row>
    <row r="65" spans="1:16" ht="12.75" x14ac:dyDescent="0.2">
      <c r="A65" s="200">
        <v>44345.534768518519</v>
      </c>
      <c r="B65" s="199" t="s">
        <v>11739</v>
      </c>
      <c r="C65" s="217" t="s">
        <v>11740</v>
      </c>
      <c r="D65" s="158"/>
      <c r="E65" s="56"/>
      <c r="F65" s="232">
        <v>12.8</v>
      </c>
      <c r="G65" s="42"/>
      <c r="H65" s="37"/>
      <c r="L65" s="22"/>
      <c r="M65" s="22"/>
      <c r="N65" s="148"/>
      <c r="P65" s="198"/>
    </row>
    <row r="66" spans="1:16" ht="12.75" x14ac:dyDescent="0.2">
      <c r="A66" s="200">
        <v>44345</v>
      </c>
      <c r="B66" s="199" t="s">
        <v>11737</v>
      </c>
      <c r="C66" s="217" t="s">
        <v>11738</v>
      </c>
      <c r="D66" s="158"/>
      <c r="E66" s="56" t="s">
        <v>3577</v>
      </c>
      <c r="F66" s="232">
        <v>3.48</v>
      </c>
      <c r="G66" s="42"/>
      <c r="H66" s="37"/>
      <c r="L66" s="22"/>
      <c r="M66" s="22"/>
      <c r="N66" s="148"/>
      <c r="P66" s="198"/>
    </row>
    <row r="67" spans="1:16" ht="12.75" x14ac:dyDescent="0.2">
      <c r="A67" s="200">
        <v>44345</v>
      </c>
      <c r="B67" s="199" t="s">
        <v>11735</v>
      </c>
      <c r="C67" s="217" t="s">
        <v>11736</v>
      </c>
      <c r="D67" s="158"/>
      <c r="E67" s="56" t="s">
        <v>3577</v>
      </c>
      <c r="F67" s="232">
        <v>6.37</v>
      </c>
      <c r="G67" s="42"/>
      <c r="H67" s="37"/>
      <c r="L67" s="22"/>
      <c r="M67" s="22"/>
      <c r="N67" s="148"/>
      <c r="P67" s="198"/>
    </row>
    <row r="68" spans="1:16" ht="12.75" x14ac:dyDescent="0.2">
      <c r="A68" s="200">
        <v>44345</v>
      </c>
      <c r="B68" s="199" t="s">
        <v>11733</v>
      </c>
      <c r="C68" s="217" t="s">
        <v>11734</v>
      </c>
      <c r="D68" s="158"/>
      <c r="E68" s="56" t="s">
        <v>3577</v>
      </c>
      <c r="F68" s="232">
        <v>2.31</v>
      </c>
      <c r="G68" s="42"/>
      <c r="H68" s="37"/>
      <c r="L68" s="22"/>
      <c r="M68" s="22"/>
      <c r="N68" s="148"/>
      <c r="P68" s="198"/>
    </row>
    <row r="69" spans="1:16" ht="12.75" x14ac:dyDescent="0.2">
      <c r="A69" s="200">
        <v>44345</v>
      </c>
      <c r="B69" s="199" t="s">
        <v>11731</v>
      </c>
      <c r="C69" s="217" t="s">
        <v>11732</v>
      </c>
      <c r="D69" s="158"/>
      <c r="E69" s="56" t="s">
        <v>3577</v>
      </c>
      <c r="F69" s="232">
        <v>2.15</v>
      </c>
      <c r="L69" s="22"/>
      <c r="M69" s="22"/>
      <c r="N69" s="148"/>
      <c r="P69" s="198"/>
    </row>
    <row r="70" spans="1:16" ht="12.75" x14ac:dyDescent="0.2">
      <c r="A70" s="200">
        <v>44345</v>
      </c>
      <c r="B70" s="199" t="s">
        <v>11729</v>
      </c>
      <c r="C70" s="217" t="s">
        <v>11730</v>
      </c>
      <c r="D70" s="158"/>
      <c r="E70" s="56" t="s">
        <v>3577</v>
      </c>
      <c r="F70" s="232">
        <v>20.7</v>
      </c>
      <c r="L70" s="22"/>
      <c r="M70" s="22"/>
      <c r="N70" s="148"/>
      <c r="P70" s="198"/>
    </row>
    <row r="71" spans="1:16" ht="12.75" x14ac:dyDescent="0.2">
      <c r="A71" s="200">
        <v>44345</v>
      </c>
      <c r="B71" s="199" t="s">
        <v>11727</v>
      </c>
      <c r="C71" s="217" t="s">
        <v>11728</v>
      </c>
      <c r="D71" s="158"/>
      <c r="E71" s="56" t="s">
        <v>3577</v>
      </c>
      <c r="F71" s="232">
        <v>6.75</v>
      </c>
      <c r="G71" s="42"/>
      <c r="H71" s="37"/>
      <c r="M71" s="22"/>
      <c r="N71" s="22"/>
      <c r="O71" s="148"/>
    </row>
    <row r="72" spans="1:16" ht="12.75" x14ac:dyDescent="0.2">
      <c r="A72" s="200">
        <v>44345</v>
      </c>
      <c r="B72" s="199" t="s">
        <v>11725</v>
      </c>
      <c r="C72" s="217" t="s">
        <v>11726</v>
      </c>
      <c r="D72" s="158"/>
      <c r="E72" s="56" t="s">
        <v>3577</v>
      </c>
      <c r="F72" s="232">
        <v>8.3800000000000008</v>
      </c>
      <c r="G72" s="42"/>
      <c r="H72" s="37"/>
      <c r="L72" s="22"/>
      <c r="M72" s="22"/>
      <c r="N72" s="148"/>
      <c r="P72" s="198"/>
    </row>
    <row r="73" spans="1:16" ht="12.75" x14ac:dyDescent="0.2">
      <c r="A73" s="200">
        <v>44345</v>
      </c>
      <c r="B73" s="199" t="s">
        <v>11723</v>
      </c>
      <c r="C73" s="217" t="s">
        <v>11724</v>
      </c>
      <c r="D73" s="158"/>
      <c r="E73" s="56" t="s">
        <v>3577</v>
      </c>
      <c r="F73" s="232">
        <v>2.74</v>
      </c>
      <c r="G73" s="42"/>
      <c r="H73" s="37"/>
      <c r="L73" s="22"/>
      <c r="M73" s="22"/>
      <c r="N73" s="148"/>
      <c r="P73" s="198"/>
    </row>
    <row r="74" spans="1:16" ht="12.75" x14ac:dyDescent="0.2">
      <c r="A74" s="200">
        <v>44345</v>
      </c>
      <c r="B74" s="199" t="s">
        <v>11721</v>
      </c>
      <c r="C74" s="217" t="s">
        <v>11722</v>
      </c>
      <c r="D74" s="158"/>
      <c r="E74" s="56" t="s">
        <v>3577</v>
      </c>
      <c r="F74" s="232">
        <v>1.68</v>
      </c>
      <c r="G74" s="42"/>
      <c r="H74" s="37"/>
      <c r="L74" s="22"/>
      <c r="M74" s="22"/>
      <c r="N74" s="148"/>
      <c r="P74" s="198"/>
    </row>
    <row r="75" spans="1:16" ht="12.75" x14ac:dyDescent="0.2">
      <c r="A75" s="200">
        <v>44345</v>
      </c>
      <c r="B75" s="199" t="s">
        <v>11719</v>
      </c>
      <c r="C75" s="217" t="s">
        <v>11720</v>
      </c>
      <c r="D75" s="158"/>
      <c r="E75" s="56" t="s">
        <v>3577</v>
      </c>
      <c r="F75" s="232">
        <v>5.59</v>
      </c>
      <c r="G75" s="42"/>
      <c r="H75" s="37"/>
      <c r="L75" s="22"/>
      <c r="M75" s="22"/>
      <c r="N75" s="148"/>
      <c r="P75" s="198"/>
    </row>
    <row r="76" spans="1:16" ht="12.75" x14ac:dyDescent="0.2">
      <c r="A76" s="200">
        <v>44345</v>
      </c>
      <c r="B76" s="199" t="s">
        <v>11717</v>
      </c>
      <c r="C76" s="217" t="s">
        <v>11718</v>
      </c>
      <c r="D76" s="158"/>
      <c r="E76" s="56" t="s">
        <v>3577</v>
      </c>
      <c r="F76" s="232">
        <v>4.32</v>
      </c>
      <c r="G76" s="42"/>
      <c r="H76" s="37"/>
      <c r="L76" s="22"/>
      <c r="M76" s="22"/>
      <c r="N76" s="148"/>
      <c r="P76" s="198"/>
    </row>
    <row r="77" spans="1:16" ht="12.75" x14ac:dyDescent="0.2">
      <c r="A77" s="200">
        <v>44346</v>
      </c>
      <c r="B77" s="199" t="s">
        <v>11711</v>
      </c>
      <c r="C77" s="217" t="s">
        <v>11712</v>
      </c>
      <c r="D77" s="158"/>
      <c r="E77" s="56" t="s">
        <v>3577</v>
      </c>
      <c r="F77" s="232">
        <v>1.68</v>
      </c>
      <c r="G77" s="42"/>
      <c r="H77" s="37"/>
      <c r="L77" s="22"/>
      <c r="M77" s="22"/>
      <c r="N77" s="148"/>
      <c r="P77" s="198"/>
    </row>
    <row r="78" spans="1:16" ht="12.75" x14ac:dyDescent="0.2">
      <c r="A78" s="200">
        <v>44346</v>
      </c>
      <c r="B78" s="199" t="s">
        <v>11709</v>
      </c>
      <c r="C78" s="217" t="s">
        <v>11710</v>
      </c>
      <c r="D78" s="158"/>
      <c r="E78" s="56" t="s">
        <v>3577</v>
      </c>
      <c r="F78" s="232">
        <v>3.36</v>
      </c>
      <c r="G78" s="42"/>
      <c r="H78" s="37"/>
      <c r="L78" s="22"/>
      <c r="M78" s="22"/>
      <c r="N78" s="148"/>
      <c r="P78" s="198"/>
    </row>
    <row r="79" spans="1:16" ht="12.75" x14ac:dyDescent="0.2">
      <c r="A79" s="200">
        <v>44346</v>
      </c>
      <c r="B79" s="199" t="s">
        <v>11707</v>
      </c>
      <c r="C79" s="217" t="s">
        <v>11708</v>
      </c>
      <c r="D79" s="158"/>
      <c r="E79" s="56" t="s">
        <v>3577</v>
      </c>
      <c r="F79" s="232">
        <v>3.36</v>
      </c>
      <c r="G79" s="42"/>
      <c r="H79" s="37"/>
      <c r="L79" s="22"/>
      <c r="M79" s="22"/>
      <c r="N79" s="148"/>
      <c r="P79" s="198"/>
    </row>
    <row r="80" spans="1:16" ht="12.75" x14ac:dyDescent="0.2">
      <c r="A80" s="200">
        <v>44346</v>
      </c>
      <c r="B80" s="199" t="s">
        <v>11705</v>
      </c>
      <c r="C80" s="217" t="s">
        <v>11706</v>
      </c>
      <c r="D80" s="158"/>
      <c r="E80" s="56" t="s">
        <v>3577</v>
      </c>
      <c r="F80" s="232">
        <v>1.72</v>
      </c>
      <c r="G80" s="42"/>
      <c r="H80" s="37"/>
      <c r="L80" s="22"/>
      <c r="M80" s="22"/>
      <c r="N80" s="148"/>
      <c r="P80" s="198"/>
    </row>
    <row r="81" spans="1:16" ht="12.75" x14ac:dyDescent="0.2">
      <c r="A81" s="200">
        <v>44346</v>
      </c>
      <c r="B81" s="199" t="s">
        <v>11703</v>
      </c>
      <c r="C81" s="217" t="s">
        <v>11704</v>
      </c>
      <c r="D81" s="158"/>
      <c r="E81" s="56" t="s">
        <v>3577</v>
      </c>
      <c r="F81" s="232">
        <v>5.0999999999999996</v>
      </c>
      <c r="G81" s="42"/>
      <c r="H81" s="37"/>
      <c r="L81" s="22"/>
      <c r="M81" s="22"/>
      <c r="N81" s="148"/>
      <c r="P81" s="198"/>
    </row>
    <row r="82" spans="1:16" ht="12.75" x14ac:dyDescent="0.2">
      <c r="A82" s="200">
        <v>44346</v>
      </c>
      <c r="B82" s="199" t="s">
        <v>11701</v>
      </c>
      <c r="C82" s="217" t="s">
        <v>11702</v>
      </c>
      <c r="D82" s="158"/>
      <c r="E82" s="56" t="s">
        <v>3577</v>
      </c>
      <c r="F82" s="232">
        <v>4.26</v>
      </c>
      <c r="L82" s="22"/>
      <c r="M82" s="22"/>
      <c r="N82" s="148"/>
      <c r="P82" s="198"/>
    </row>
    <row r="83" spans="1:16" ht="12.75" x14ac:dyDescent="0.2">
      <c r="A83" s="200">
        <v>44347</v>
      </c>
      <c r="B83" s="199" t="s">
        <v>11667</v>
      </c>
      <c r="C83" s="217" t="s">
        <v>11668</v>
      </c>
      <c r="D83" s="165"/>
      <c r="E83" s="56" t="s">
        <v>3577</v>
      </c>
      <c r="F83" s="274">
        <v>1.75</v>
      </c>
      <c r="G83" s="42"/>
    </row>
    <row r="84" spans="1:16" ht="12.75" x14ac:dyDescent="0.2">
      <c r="A84" s="200"/>
      <c r="B84" s="199"/>
      <c r="C84" s="217"/>
      <c r="D84" s="165"/>
      <c r="E84" s="54"/>
      <c r="F84" s="232"/>
      <c r="G84" s="42"/>
      <c r="H84" s="82">
        <f>SUM(F39:F83)</f>
        <v>295.65000000000003</v>
      </c>
    </row>
    <row r="85" spans="1:16" ht="12.75" x14ac:dyDescent="0.2">
      <c r="A85" s="42"/>
      <c r="B85" s="57"/>
      <c r="C85" s="78"/>
      <c r="D85" s="167"/>
      <c r="E85" s="42"/>
      <c r="F85" s="51"/>
      <c r="G85" s="42"/>
      <c r="H85" s="36"/>
    </row>
    <row r="86" spans="1:16" s="21" customFormat="1" ht="20.25" customHeight="1" thickBot="1" x14ac:dyDescent="0.3">
      <c r="A86" s="64"/>
      <c r="B86" s="65" t="s">
        <v>13216</v>
      </c>
      <c r="C86" s="79"/>
      <c r="D86" s="168"/>
      <c r="E86" s="64"/>
      <c r="F86" s="71"/>
      <c r="G86" s="66" t="s">
        <v>3</v>
      </c>
      <c r="H86" s="81">
        <f>+H9-H16-H31+H35+H84</f>
        <v>65173.549999999996</v>
      </c>
      <c r="I86" s="28"/>
      <c r="J86" s="28"/>
    </row>
    <row r="87" spans="1:16" ht="13.5" thickTop="1" x14ac:dyDescent="0.2">
      <c r="A87" s="42"/>
      <c r="B87" s="57"/>
      <c r="C87" s="78"/>
      <c r="D87" s="167"/>
      <c r="E87" s="42"/>
      <c r="F87" s="51"/>
      <c r="G87" s="42"/>
      <c r="H87" s="36"/>
      <c r="I87" s="30"/>
      <c r="J87" s="31" t="e">
        <f>+#REF!</f>
        <v>#REF!</v>
      </c>
    </row>
    <row r="88" spans="1:16" ht="12.75" x14ac:dyDescent="0.2">
      <c r="A88" s="42"/>
      <c r="B88" s="57"/>
      <c r="C88" s="78"/>
      <c r="D88" s="167"/>
      <c r="E88" s="42"/>
      <c r="F88" s="51"/>
      <c r="G88" s="42"/>
      <c r="H88" s="37"/>
      <c r="I88" s="30"/>
      <c r="J88" s="29"/>
    </row>
    <row r="89" spans="1:16" ht="12.75" x14ac:dyDescent="0.2">
      <c r="A89" s="42"/>
      <c r="B89" s="57"/>
      <c r="C89" s="78"/>
      <c r="D89" s="167"/>
      <c r="E89" s="42"/>
      <c r="F89" s="42"/>
      <c r="G89" s="42"/>
      <c r="H89" s="37"/>
      <c r="I89" s="30"/>
      <c r="J89" s="29"/>
    </row>
    <row r="90" spans="1:16" ht="23.25" customHeight="1" thickBot="1" x14ac:dyDescent="0.25">
      <c r="A90" s="42"/>
      <c r="B90" s="57"/>
      <c r="C90" s="80"/>
      <c r="D90" s="169"/>
      <c r="E90" s="42"/>
      <c r="F90" s="69"/>
      <c r="G90" s="42"/>
      <c r="H90" s="36"/>
      <c r="I90" s="30"/>
      <c r="J90" s="27" t="e">
        <f>+H86-J87</f>
        <v>#REF!</v>
      </c>
      <c r="L90" s="18"/>
    </row>
    <row r="91" spans="1:16" ht="26.25" customHeight="1" thickTop="1" x14ac:dyDescent="0.2">
      <c r="A91" s="42"/>
      <c r="B91" s="57"/>
      <c r="C91" s="293" t="s">
        <v>15</v>
      </c>
      <c r="D91" s="293"/>
      <c r="E91" s="42"/>
      <c r="F91" s="293" t="s">
        <v>16</v>
      </c>
      <c r="G91" s="293"/>
      <c r="H91" s="36"/>
      <c r="I91" s="30"/>
      <c r="J91" s="30"/>
    </row>
    <row r="92" spans="1:16" ht="23.25" customHeight="1" thickBot="1" x14ac:dyDescent="0.25">
      <c r="A92" s="42"/>
      <c r="B92" s="57"/>
      <c r="C92" s="78"/>
      <c r="D92" s="167"/>
      <c r="E92" s="42"/>
      <c r="F92" s="42"/>
      <c r="G92" s="42"/>
      <c r="H92" s="37"/>
      <c r="I92" s="30"/>
      <c r="J92" s="27" t="e">
        <f>+H86-J90</f>
        <v>#REF!</v>
      </c>
    </row>
    <row r="93" spans="1:16" ht="13.5" thickTop="1" x14ac:dyDescent="0.2">
      <c r="B93" s="5"/>
      <c r="E93" s="32"/>
      <c r="F93" s="72"/>
      <c r="G93" s="33"/>
      <c r="I93" s="30"/>
      <c r="J93" s="30"/>
      <c r="L93" s="18"/>
    </row>
    <row r="95" spans="1:16" x14ac:dyDescent="0.2">
      <c r="L95" s="18"/>
    </row>
    <row r="96" spans="1:16" x14ac:dyDescent="0.2">
      <c r="A96" s="5"/>
      <c r="B96" s="5"/>
      <c r="E96" s="5"/>
      <c r="G96" s="5"/>
      <c r="J96" s="18"/>
    </row>
  </sheetData>
  <mergeCells count="2">
    <mergeCell ref="C91:D91"/>
    <mergeCell ref="F91:G91"/>
  </mergeCells>
  <phoneticPr fontId="27" type="noConversion"/>
  <pageMargins left="0.70866141732283472" right="0.70866141732283472" top="0.74803149606299213" bottom="0.74803149606299213" header="0.31496062992125984" footer="0.31496062992125984"/>
  <pageSetup paperSize="9" scale="68" fitToHeight="3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A1D2A-B843-4AF1-A989-14FCA1696401}">
  <dimension ref="A2:K832"/>
  <sheetViews>
    <sheetView topLeftCell="A811" workbookViewId="0">
      <selection activeCell="D27" sqref="D27"/>
    </sheetView>
  </sheetViews>
  <sheetFormatPr baseColWidth="10" defaultRowHeight="12.75" x14ac:dyDescent="0.2"/>
  <cols>
    <col min="1" max="16384" width="11.42578125" style="22"/>
  </cols>
  <sheetData>
    <row r="2" spans="1:11" ht="19.5" x14ac:dyDescent="0.2">
      <c r="F2" s="95" t="s">
        <v>541</v>
      </c>
      <c r="J2" s="197" t="s">
        <v>540</v>
      </c>
      <c r="K2" s="207">
        <v>1</v>
      </c>
    </row>
    <row r="3" spans="1:11" x14ac:dyDescent="0.2">
      <c r="J3" s="197" t="s">
        <v>539</v>
      </c>
      <c r="K3" s="206">
        <v>44462</v>
      </c>
    </row>
    <row r="5" spans="1:11" x14ac:dyDescent="0.2">
      <c r="E5" s="94" t="s">
        <v>538</v>
      </c>
      <c r="F5" s="92" t="s">
        <v>15924</v>
      </c>
      <c r="G5" s="94" t="s">
        <v>537</v>
      </c>
      <c r="H5" s="92" t="s">
        <v>15924</v>
      </c>
      <c r="J5" s="267">
        <v>0.84510416666666666</v>
      </c>
    </row>
    <row r="7" spans="1:11" x14ac:dyDescent="0.2">
      <c r="J7" s="197" t="s">
        <v>536</v>
      </c>
      <c r="K7" s="201" t="s">
        <v>1579</v>
      </c>
    </row>
    <row r="8" spans="1:11" x14ac:dyDescent="0.2">
      <c r="C8" s="93" t="s">
        <v>535</v>
      </c>
      <c r="D8" s="92" t="s">
        <v>534</v>
      </c>
      <c r="F8" s="93" t="s">
        <v>533</v>
      </c>
      <c r="G8" s="92" t="s">
        <v>531</v>
      </c>
      <c r="I8" s="93" t="s">
        <v>532</v>
      </c>
      <c r="J8" s="92" t="s">
        <v>531</v>
      </c>
    </row>
    <row r="11" spans="1:11" x14ac:dyDescent="0.2">
      <c r="A11" s="205" t="s">
        <v>530</v>
      </c>
      <c r="C11" s="204" t="s">
        <v>529</v>
      </c>
      <c r="D11" s="204" t="s">
        <v>528</v>
      </c>
      <c r="F11" s="203" t="s">
        <v>527</v>
      </c>
      <c r="I11" s="197" t="s">
        <v>21</v>
      </c>
      <c r="J11" s="197" t="s">
        <v>20</v>
      </c>
      <c r="K11" s="197" t="s">
        <v>526</v>
      </c>
    </row>
    <row r="14" spans="1:11" x14ac:dyDescent="0.2">
      <c r="A14" s="205" t="s">
        <v>525</v>
      </c>
      <c r="B14" s="199" t="s">
        <v>524</v>
      </c>
    </row>
    <row r="16" spans="1:11" x14ac:dyDescent="0.2">
      <c r="A16" s="204" t="s">
        <v>523</v>
      </c>
      <c r="B16" s="201" t="s">
        <v>522</v>
      </c>
      <c r="J16" s="197" t="s">
        <v>22</v>
      </c>
      <c r="K16" s="198">
        <v>65173.55</v>
      </c>
    </row>
    <row r="18" spans="3:11" x14ac:dyDescent="0.2">
      <c r="C18" s="201" t="s">
        <v>15923</v>
      </c>
      <c r="D18" s="200">
        <v>44348</v>
      </c>
      <c r="E18" s="199" t="s">
        <v>15922</v>
      </c>
      <c r="I18" s="198">
        <v>3.24</v>
      </c>
      <c r="K18" s="198">
        <v>65176.79</v>
      </c>
    </row>
    <row r="19" spans="3:11" x14ac:dyDescent="0.2">
      <c r="C19" s="201" t="s">
        <v>15921</v>
      </c>
      <c r="D19" s="200">
        <v>44348</v>
      </c>
      <c r="E19" s="199" t="s">
        <v>15920</v>
      </c>
      <c r="I19" s="198">
        <v>8.4600000000000009</v>
      </c>
      <c r="K19" s="198">
        <v>65185.25</v>
      </c>
    </row>
    <row r="20" spans="3:11" x14ac:dyDescent="0.2">
      <c r="C20" s="201" t="s">
        <v>15919</v>
      </c>
      <c r="D20" s="200">
        <v>44348</v>
      </c>
      <c r="E20" s="199" t="s">
        <v>15918</v>
      </c>
      <c r="I20" s="198">
        <v>3.7</v>
      </c>
      <c r="K20" s="198">
        <v>65188.95</v>
      </c>
    </row>
    <row r="21" spans="3:11" x14ac:dyDescent="0.2">
      <c r="C21" s="201" t="s">
        <v>15917</v>
      </c>
      <c r="D21" s="200">
        <v>44348</v>
      </c>
      <c r="E21" s="199" t="s">
        <v>15916</v>
      </c>
      <c r="I21" s="198">
        <v>2.61</v>
      </c>
      <c r="K21" s="198">
        <v>65191.56</v>
      </c>
    </row>
    <row r="22" spans="3:11" x14ac:dyDescent="0.2">
      <c r="C22" s="201" t="s">
        <v>15915</v>
      </c>
      <c r="D22" s="200">
        <v>44348</v>
      </c>
      <c r="E22" s="199" t="s">
        <v>15914</v>
      </c>
      <c r="I22" s="198">
        <v>3.36</v>
      </c>
      <c r="K22" s="198">
        <v>65194.92</v>
      </c>
    </row>
    <row r="23" spans="3:11" x14ac:dyDescent="0.2">
      <c r="C23" s="201" t="s">
        <v>15913</v>
      </c>
      <c r="D23" s="200">
        <v>44348</v>
      </c>
      <c r="E23" s="199" t="s">
        <v>15912</v>
      </c>
      <c r="I23" s="198">
        <v>5.31</v>
      </c>
      <c r="K23" s="198">
        <v>65200.23</v>
      </c>
    </row>
    <row r="24" spans="3:11" x14ac:dyDescent="0.2">
      <c r="C24" s="201" t="s">
        <v>15911</v>
      </c>
      <c r="D24" s="200">
        <v>44348</v>
      </c>
      <c r="E24" s="199" t="s">
        <v>15910</v>
      </c>
      <c r="I24" s="198">
        <v>8.3800000000000008</v>
      </c>
      <c r="K24" s="198">
        <v>65208.61</v>
      </c>
    </row>
    <row r="25" spans="3:11" x14ac:dyDescent="0.2">
      <c r="C25" s="201" t="s">
        <v>15909</v>
      </c>
      <c r="D25" s="200">
        <v>44348</v>
      </c>
      <c r="E25" s="199" t="s">
        <v>15908</v>
      </c>
      <c r="I25" s="198">
        <v>10.65</v>
      </c>
      <c r="K25" s="198">
        <v>65219.26</v>
      </c>
    </row>
    <row r="26" spans="3:11" x14ac:dyDescent="0.2">
      <c r="C26" s="201" t="s">
        <v>15907</v>
      </c>
      <c r="D26" s="200">
        <v>44348</v>
      </c>
      <c r="E26" s="199" t="s">
        <v>15906</v>
      </c>
      <c r="I26" s="198">
        <v>3.52</v>
      </c>
      <c r="K26" s="198">
        <v>65222.78</v>
      </c>
    </row>
    <row r="27" spans="3:11" x14ac:dyDescent="0.2">
      <c r="C27" s="201" t="s">
        <v>15905</v>
      </c>
      <c r="D27" s="200">
        <v>44348</v>
      </c>
      <c r="E27" s="199" t="s">
        <v>15904</v>
      </c>
      <c r="I27" s="198">
        <v>3.72</v>
      </c>
      <c r="K27" s="198">
        <v>65226.5</v>
      </c>
    </row>
    <row r="28" spans="3:11" x14ac:dyDescent="0.2">
      <c r="C28" s="201" t="s">
        <v>15903</v>
      </c>
      <c r="D28" s="200">
        <v>44348</v>
      </c>
      <c r="E28" s="199" t="s">
        <v>15902</v>
      </c>
      <c r="I28" s="198">
        <v>10.92</v>
      </c>
      <c r="K28" s="198">
        <v>65237.42</v>
      </c>
    </row>
    <row r="29" spans="3:11" x14ac:dyDescent="0.2">
      <c r="C29" s="201" t="s">
        <v>15901</v>
      </c>
      <c r="D29" s="200">
        <v>44348</v>
      </c>
      <c r="E29" s="199" t="s">
        <v>15900</v>
      </c>
      <c r="I29" s="198">
        <v>9.77</v>
      </c>
      <c r="K29" s="198">
        <v>65247.19</v>
      </c>
    </row>
    <row r="30" spans="3:11" x14ac:dyDescent="0.2">
      <c r="C30" s="201" t="s">
        <v>15899</v>
      </c>
      <c r="D30" s="200">
        <v>44348</v>
      </c>
      <c r="E30" s="199" t="s">
        <v>15898</v>
      </c>
      <c r="I30" s="198">
        <v>3.97</v>
      </c>
      <c r="K30" s="198">
        <v>65251.16</v>
      </c>
    </row>
    <row r="31" spans="3:11" x14ac:dyDescent="0.2">
      <c r="C31" s="201" t="s">
        <v>15897</v>
      </c>
      <c r="D31" s="200">
        <v>44348</v>
      </c>
      <c r="E31" s="199" t="s">
        <v>15896</v>
      </c>
      <c r="I31" s="198">
        <v>6.1</v>
      </c>
      <c r="K31" s="198">
        <v>65257.26</v>
      </c>
    </row>
    <row r="32" spans="3:11" x14ac:dyDescent="0.2">
      <c r="C32" s="201" t="s">
        <v>15895</v>
      </c>
      <c r="D32" s="200">
        <v>44348</v>
      </c>
      <c r="E32" s="199" t="s">
        <v>15894</v>
      </c>
      <c r="I32" s="198">
        <v>2.09</v>
      </c>
      <c r="K32" s="198">
        <v>65259.35</v>
      </c>
    </row>
    <row r="33" spans="3:11" x14ac:dyDescent="0.2">
      <c r="C33" s="201" t="s">
        <v>15893</v>
      </c>
      <c r="D33" s="200">
        <v>44348</v>
      </c>
      <c r="E33" s="199" t="s">
        <v>15892</v>
      </c>
      <c r="I33" s="198">
        <v>1.68</v>
      </c>
      <c r="K33" s="198">
        <v>65261.03</v>
      </c>
    </row>
    <row r="34" spans="3:11" x14ac:dyDescent="0.2">
      <c r="C34" s="201" t="s">
        <v>15891</v>
      </c>
      <c r="D34" s="200">
        <v>44348</v>
      </c>
      <c r="E34" s="199" t="s">
        <v>15890</v>
      </c>
      <c r="I34" s="198">
        <v>9.6</v>
      </c>
      <c r="K34" s="198">
        <v>65270.63</v>
      </c>
    </row>
    <row r="35" spans="3:11" x14ac:dyDescent="0.2">
      <c r="C35" s="201" t="s">
        <v>15889</v>
      </c>
      <c r="D35" s="200">
        <v>44348</v>
      </c>
      <c r="E35" s="199" t="s">
        <v>15888</v>
      </c>
      <c r="I35" s="198">
        <v>4.2699999999999996</v>
      </c>
      <c r="K35" s="198">
        <v>65274.9</v>
      </c>
    </row>
    <row r="36" spans="3:11" x14ac:dyDescent="0.2">
      <c r="C36" s="201" t="s">
        <v>15887</v>
      </c>
      <c r="D36" s="200">
        <v>44348</v>
      </c>
      <c r="E36" s="199" t="s">
        <v>15886</v>
      </c>
      <c r="I36" s="198">
        <v>8.3800000000000008</v>
      </c>
      <c r="K36" s="198">
        <v>65283.28</v>
      </c>
    </row>
    <row r="37" spans="3:11" x14ac:dyDescent="0.2">
      <c r="C37" s="201" t="s">
        <v>15885</v>
      </c>
      <c r="D37" s="200">
        <v>44348</v>
      </c>
      <c r="E37" s="199" t="s">
        <v>15884</v>
      </c>
      <c r="I37" s="198">
        <v>9.52</v>
      </c>
      <c r="K37" s="198">
        <v>65292.800000000003</v>
      </c>
    </row>
    <row r="38" spans="3:11" x14ac:dyDescent="0.2">
      <c r="C38" s="201" t="s">
        <v>15883</v>
      </c>
      <c r="D38" s="200">
        <v>44348</v>
      </c>
      <c r="E38" s="199" t="s">
        <v>15882</v>
      </c>
      <c r="I38" s="198">
        <v>14.49</v>
      </c>
      <c r="K38" s="198">
        <v>65307.29</v>
      </c>
    </row>
    <row r="39" spans="3:11" x14ac:dyDescent="0.2">
      <c r="C39" s="201" t="s">
        <v>15881</v>
      </c>
      <c r="D39" s="200">
        <v>44348</v>
      </c>
      <c r="E39" s="199" t="s">
        <v>15880</v>
      </c>
      <c r="I39" s="198">
        <v>3.81</v>
      </c>
      <c r="K39" s="198">
        <v>65311.1</v>
      </c>
    </row>
    <row r="40" spans="3:11" x14ac:dyDescent="0.2">
      <c r="C40" s="201" t="s">
        <v>15879</v>
      </c>
      <c r="D40" s="200">
        <v>44348</v>
      </c>
      <c r="E40" s="199" t="s">
        <v>15878</v>
      </c>
      <c r="I40" s="198">
        <v>3.36</v>
      </c>
      <c r="K40" s="198">
        <v>65314.46</v>
      </c>
    </row>
    <row r="41" spans="3:11" x14ac:dyDescent="0.2">
      <c r="C41" s="201" t="s">
        <v>15877</v>
      </c>
      <c r="D41" s="200">
        <v>44348</v>
      </c>
      <c r="E41" s="199" t="s">
        <v>15876</v>
      </c>
      <c r="I41" s="198">
        <v>5.04</v>
      </c>
      <c r="K41" s="198">
        <v>65319.5</v>
      </c>
    </row>
    <row r="42" spans="3:11" x14ac:dyDescent="0.2">
      <c r="C42" s="201" t="s">
        <v>15875</v>
      </c>
      <c r="D42" s="200">
        <v>44348</v>
      </c>
      <c r="E42" s="199" t="s">
        <v>15874</v>
      </c>
      <c r="I42" s="198">
        <v>0.71</v>
      </c>
      <c r="K42" s="198">
        <v>65320.21</v>
      </c>
    </row>
    <row r="43" spans="3:11" x14ac:dyDescent="0.2">
      <c r="C43" s="201" t="s">
        <v>15873</v>
      </c>
      <c r="D43" s="200">
        <v>44348</v>
      </c>
      <c r="E43" s="199" t="s">
        <v>15872</v>
      </c>
      <c r="I43" s="198">
        <v>13.25</v>
      </c>
      <c r="K43" s="198">
        <v>65333.46</v>
      </c>
    </row>
    <row r="44" spans="3:11" x14ac:dyDescent="0.2">
      <c r="C44" s="201" t="s">
        <v>15871</v>
      </c>
      <c r="D44" s="200">
        <v>44348</v>
      </c>
      <c r="E44" s="199" t="s">
        <v>15870</v>
      </c>
      <c r="I44" s="198">
        <v>5</v>
      </c>
      <c r="K44" s="198">
        <v>65338.46</v>
      </c>
    </row>
    <row r="45" spans="3:11" x14ac:dyDescent="0.2">
      <c r="C45" s="201" t="s">
        <v>15869</v>
      </c>
      <c r="D45" s="200">
        <v>44348</v>
      </c>
      <c r="E45" s="199" t="s">
        <v>15868</v>
      </c>
      <c r="I45" s="198">
        <v>1.41</v>
      </c>
      <c r="K45" s="198">
        <v>65339.87</v>
      </c>
    </row>
    <row r="46" spans="3:11" x14ac:dyDescent="0.2">
      <c r="C46" s="201" t="s">
        <v>15867</v>
      </c>
      <c r="D46" s="200">
        <v>44348</v>
      </c>
      <c r="E46" s="199" t="s">
        <v>15866</v>
      </c>
      <c r="I46" s="198">
        <v>1.68</v>
      </c>
      <c r="K46" s="198">
        <v>65341.55</v>
      </c>
    </row>
    <row r="47" spans="3:11" x14ac:dyDescent="0.2">
      <c r="C47" s="201" t="s">
        <v>15865</v>
      </c>
      <c r="D47" s="200">
        <v>44348</v>
      </c>
      <c r="E47" s="199" t="s">
        <v>15864</v>
      </c>
      <c r="I47" s="198">
        <v>13.88</v>
      </c>
      <c r="K47" s="198">
        <v>65355.43</v>
      </c>
    </row>
    <row r="48" spans="3:11" x14ac:dyDescent="0.2">
      <c r="C48" s="201" t="s">
        <v>15863</v>
      </c>
      <c r="D48" s="200">
        <v>44348</v>
      </c>
      <c r="E48" s="199" t="s">
        <v>15862</v>
      </c>
      <c r="I48" s="198">
        <v>8.3800000000000008</v>
      </c>
      <c r="K48" s="198">
        <v>65363.81</v>
      </c>
    </row>
    <row r="49" spans="3:11" x14ac:dyDescent="0.2">
      <c r="C49" s="201" t="s">
        <v>15861</v>
      </c>
      <c r="D49" s="200">
        <v>44348</v>
      </c>
      <c r="E49" s="199" t="s">
        <v>15860</v>
      </c>
      <c r="I49" s="198">
        <v>3.87</v>
      </c>
      <c r="K49" s="198">
        <v>65367.68</v>
      </c>
    </row>
    <row r="50" spans="3:11" x14ac:dyDescent="0.2">
      <c r="C50" s="201" t="s">
        <v>15859</v>
      </c>
      <c r="D50" s="200">
        <v>44348</v>
      </c>
      <c r="E50" s="199" t="s">
        <v>15858</v>
      </c>
      <c r="I50" s="198">
        <v>3.36</v>
      </c>
      <c r="K50" s="198">
        <v>65371.040000000001</v>
      </c>
    </row>
    <row r="51" spans="3:11" x14ac:dyDescent="0.2">
      <c r="C51" s="201" t="s">
        <v>15857</v>
      </c>
      <c r="D51" s="200">
        <v>44348</v>
      </c>
      <c r="E51" s="199" t="s">
        <v>15856</v>
      </c>
      <c r="I51" s="198">
        <v>8.94</v>
      </c>
      <c r="K51" s="198">
        <v>65379.98</v>
      </c>
    </row>
    <row r="52" spans="3:11" x14ac:dyDescent="0.2">
      <c r="C52" s="201" t="s">
        <v>15855</v>
      </c>
      <c r="D52" s="200">
        <v>44348</v>
      </c>
      <c r="E52" s="199" t="s">
        <v>15854</v>
      </c>
      <c r="I52" s="198">
        <v>93.01</v>
      </c>
      <c r="K52" s="198">
        <v>65472.99</v>
      </c>
    </row>
    <row r="53" spans="3:11" x14ac:dyDescent="0.2">
      <c r="C53" s="201" t="s">
        <v>15853</v>
      </c>
      <c r="D53" s="200">
        <v>44348</v>
      </c>
      <c r="E53" s="199" t="s">
        <v>15852</v>
      </c>
      <c r="I53" s="198">
        <v>4.82</v>
      </c>
      <c r="K53" s="198">
        <v>65477.81</v>
      </c>
    </row>
    <row r="54" spans="3:11" x14ac:dyDescent="0.2">
      <c r="C54" s="201" t="s">
        <v>15851</v>
      </c>
      <c r="D54" s="200">
        <v>44349</v>
      </c>
      <c r="E54" s="199" t="s">
        <v>15850</v>
      </c>
      <c r="I54" s="198">
        <v>17.309999999999999</v>
      </c>
      <c r="K54" s="198">
        <v>65495.12</v>
      </c>
    </row>
    <row r="55" spans="3:11" x14ac:dyDescent="0.2">
      <c r="C55" s="201" t="s">
        <v>15849</v>
      </c>
      <c r="D55" s="200">
        <v>44349</v>
      </c>
      <c r="E55" s="199" t="s">
        <v>15848</v>
      </c>
      <c r="I55" s="198">
        <v>5.53</v>
      </c>
      <c r="K55" s="198">
        <v>65500.65</v>
      </c>
    </row>
    <row r="56" spans="3:11" x14ac:dyDescent="0.2">
      <c r="C56" s="201" t="s">
        <v>15847</v>
      </c>
      <c r="D56" s="200">
        <v>44349</v>
      </c>
      <c r="E56" s="199" t="s">
        <v>15846</v>
      </c>
      <c r="I56" s="198">
        <v>8.3800000000000008</v>
      </c>
      <c r="K56" s="198">
        <v>65509.03</v>
      </c>
    </row>
    <row r="57" spans="3:11" x14ac:dyDescent="0.2">
      <c r="C57" s="201" t="s">
        <v>15845</v>
      </c>
      <c r="D57" s="200">
        <v>44349</v>
      </c>
      <c r="E57" s="199" t="s">
        <v>15844</v>
      </c>
      <c r="I57" s="198">
        <v>7.76</v>
      </c>
      <c r="K57" s="198">
        <v>65516.79</v>
      </c>
    </row>
    <row r="58" spans="3:11" x14ac:dyDescent="0.2">
      <c r="C58" s="201" t="s">
        <v>15843</v>
      </c>
      <c r="D58" s="200">
        <v>44349</v>
      </c>
      <c r="E58" s="199" t="s">
        <v>15842</v>
      </c>
      <c r="I58" s="198">
        <v>1.68</v>
      </c>
      <c r="K58" s="198">
        <v>65518.47</v>
      </c>
    </row>
    <row r="59" spans="3:11" x14ac:dyDescent="0.2">
      <c r="C59" s="201" t="s">
        <v>15841</v>
      </c>
      <c r="D59" s="200">
        <v>44349</v>
      </c>
      <c r="E59" s="199" t="s">
        <v>15840</v>
      </c>
      <c r="I59" s="198">
        <v>6.69</v>
      </c>
      <c r="K59" s="198">
        <v>65525.16</v>
      </c>
    </row>
    <row r="60" spans="3:11" x14ac:dyDescent="0.2">
      <c r="C60" s="201" t="s">
        <v>15839</v>
      </c>
      <c r="D60" s="200">
        <v>44349</v>
      </c>
      <c r="E60" s="199" t="s">
        <v>15838</v>
      </c>
      <c r="I60" s="198">
        <v>2.14</v>
      </c>
      <c r="K60" s="198">
        <v>65527.3</v>
      </c>
    </row>
    <row r="61" spans="3:11" x14ac:dyDescent="0.2">
      <c r="C61" s="201" t="s">
        <v>15837</v>
      </c>
      <c r="D61" s="200">
        <v>44349</v>
      </c>
      <c r="E61" s="199" t="s">
        <v>15836</v>
      </c>
      <c r="I61" s="198">
        <v>10.68</v>
      </c>
      <c r="K61" s="198">
        <v>65537.98</v>
      </c>
    </row>
    <row r="62" spans="3:11" x14ac:dyDescent="0.2">
      <c r="C62" s="201" t="s">
        <v>15835</v>
      </c>
      <c r="D62" s="200">
        <v>44349</v>
      </c>
      <c r="E62" s="199" t="s">
        <v>15834</v>
      </c>
      <c r="I62" s="198">
        <v>0.31</v>
      </c>
      <c r="K62" s="198">
        <v>65538.289999999994</v>
      </c>
    </row>
    <row r="63" spans="3:11" x14ac:dyDescent="0.2">
      <c r="C63" s="201" t="s">
        <v>15833</v>
      </c>
      <c r="D63" s="200">
        <v>44349</v>
      </c>
      <c r="E63" s="199" t="s">
        <v>15832</v>
      </c>
      <c r="I63" s="198">
        <v>7.8</v>
      </c>
      <c r="K63" s="198">
        <v>65546.09</v>
      </c>
    </row>
    <row r="64" spans="3:11" x14ac:dyDescent="0.2">
      <c r="C64" s="201" t="s">
        <v>15831</v>
      </c>
      <c r="D64" s="200">
        <v>44349</v>
      </c>
      <c r="E64" s="199" t="s">
        <v>15830</v>
      </c>
      <c r="I64" s="198">
        <v>16.91</v>
      </c>
      <c r="K64" s="198">
        <v>65563</v>
      </c>
    </row>
    <row r="65" spans="3:11" x14ac:dyDescent="0.2">
      <c r="C65" s="201" t="s">
        <v>15829</v>
      </c>
      <c r="D65" s="200">
        <v>44349</v>
      </c>
      <c r="E65" s="199" t="s">
        <v>15828</v>
      </c>
      <c r="I65" s="198">
        <v>2.21</v>
      </c>
      <c r="K65" s="198">
        <v>65565.210000000006</v>
      </c>
    </row>
    <row r="66" spans="3:11" x14ac:dyDescent="0.2">
      <c r="C66" s="201" t="s">
        <v>15827</v>
      </c>
      <c r="D66" s="200">
        <v>44349</v>
      </c>
      <c r="E66" s="199" t="s">
        <v>15826</v>
      </c>
      <c r="I66" s="198">
        <v>3.9</v>
      </c>
      <c r="K66" s="198">
        <v>65569.11</v>
      </c>
    </row>
    <row r="67" spans="3:11" x14ac:dyDescent="0.2">
      <c r="C67" s="201" t="s">
        <v>15825</v>
      </c>
      <c r="D67" s="200">
        <v>44349</v>
      </c>
      <c r="E67" s="199" t="s">
        <v>15824</v>
      </c>
      <c r="I67" s="198">
        <v>29.67</v>
      </c>
      <c r="K67" s="198">
        <v>65598.78</v>
      </c>
    </row>
    <row r="68" spans="3:11" x14ac:dyDescent="0.2">
      <c r="C68" s="201" t="s">
        <v>15823</v>
      </c>
      <c r="D68" s="200">
        <v>44349</v>
      </c>
      <c r="E68" s="199" t="s">
        <v>15822</v>
      </c>
      <c r="I68" s="198">
        <v>5.13</v>
      </c>
      <c r="K68" s="198">
        <v>65603.91</v>
      </c>
    </row>
    <row r="69" spans="3:11" x14ac:dyDescent="0.2">
      <c r="C69" s="201" t="s">
        <v>15821</v>
      </c>
      <c r="D69" s="200">
        <v>44349</v>
      </c>
      <c r="E69" s="199" t="s">
        <v>15820</v>
      </c>
      <c r="I69" s="198">
        <v>2.09</v>
      </c>
      <c r="K69" s="198">
        <v>65606</v>
      </c>
    </row>
    <row r="70" spans="3:11" x14ac:dyDescent="0.2">
      <c r="C70" s="201" t="s">
        <v>15819</v>
      </c>
      <c r="D70" s="200">
        <v>44349</v>
      </c>
      <c r="E70" s="199" t="s">
        <v>15818</v>
      </c>
      <c r="I70" s="198">
        <v>13.06</v>
      </c>
      <c r="K70" s="198">
        <v>65619.06</v>
      </c>
    </row>
    <row r="71" spans="3:11" x14ac:dyDescent="0.2">
      <c r="C71" s="201" t="s">
        <v>15817</v>
      </c>
      <c r="D71" s="200">
        <v>44349</v>
      </c>
      <c r="E71" s="199" t="s">
        <v>15816</v>
      </c>
      <c r="I71" s="198">
        <v>5.69</v>
      </c>
      <c r="K71" s="198">
        <v>65624.75</v>
      </c>
    </row>
    <row r="72" spans="3:11" x14ac:dyDescent="0.2">
      <c r="C72" s="201" t="s">
        <v>15815</v>
      </c>
      <c r="D72" s="200">
        <v>44349</v>
      </c>
      <c r="E72" s="199" t="s">
        <v>15814</v>
      </c>
      <c r="I72" s="198">
        <v>2.5299999999999998</v>
      </c>
      <c r="K72" s="198">
        <v>65627.28</v>
      </c>
    </row>
    <row r="73" spans="3:11" x14ac:dyDescent="0.2">
      <c r="C73" s="201" t="s">
        <v>15813</v>
      </c>
      <c r="D73" s="200">
        <v>44349</v>
      </c>
      <c r="E73" s="199" t="s">
        <v>15812</v>
      </c>
      <c r="I73" s="198">
        <v>5.84</v>
      </c>
      <c r="K73" s="198">
        <v>65633.119999999995</v>
      </c>
    </row>
    <row r="74" spans="3:11" x14ac:dyDescent="0.2">
      <c r="C74" s="201" t="s">
        <v>15811</v>
      </c>
      <c r="D74" s="200">
        <v>44349</v>
      </c>
      <c r="E74" s="199" t="s">
        <v>15810</v>
      </c>
      <c r="I74" s="198">
        <v>1.71</v>
      </c>
      <c r="K74" s="198">
        <v>65634.83</v>
      </c>
    </row>
    <row r="75" spans="3:11" x14ac:dyDescent="0.2">
      <c r="C75" s="201" t="s">
        <v>15809</v>
      </c>
      <c r="D75" s="200">
        <v>44349</v>
      </c>
      <c r="E75" s="199" t="s">
        <v>15808</v>
      </c>
      <c r="I75" s="198">
        <v>4.1100000000000003</v>
      </c>
      <c r="K75" s="198">
        <v>65638.94</v>
      </c>
    </row>
    <row r="76" spans="3:11" x14ac:dyDescent="0.2">
      <c r="C76" s="201" t="s">
        <v>15807</v>
      </c>
      <c r="D76" s="200">
        <v>44349</v>
      </c>
      <c r="E76" s="199" t="s">
        <v>15806</v>
      </c>
      <c r="I76" s="198">
        <v>6.8</v>
      </c>
      <c r="K76" s="198">
        <v>65645.740000000005</v>
      </c>
    </row>
    <row r="77" spans="3:11" x14ac:dyDescent="0.2">
      <c r="C77" s="201" t="s">
        <v>15805</v>
      </c>
      <c r="D77" s="200">
        <v>44349</v>
      </c>
      <c r="E77" s="199" t="s">
        <v>15804</v>
      </c>
      <c r="I77" s="198">
        <v>60.92</v>
      </c>
      <c r="K77" s="198">
        <v>65706.66</v>
      </c>
    </row>
    <row r="78" spans="3:11" x14ac:dyDescent="0.2">
      <c r="C78" s="201" t="s">
        <v>15803</v>
      </c>
      <c r="D78" s="200">
        <v>44349</v>
      </c>
      <c r="E78" s="199" t="s">
        <v>15802</v>
      </c>
      <c r="I78" s="198">
        <v>3.32</v>
      </c>
      <c r="K78" s="198">
        <v>65709.98</v>
      </c>
    </row>
    <row r="79" spans="3:11" x14ac:dyDescent="0.2">
      <c r="C79" s="201" t="s">
        <v>15801</v>
      </c>
      <c r="D79" s="200">
        <v>44349</v>
      </c>
      <c r="E79" s="199" t="s">
        <v>15800</v>
      </c>
      <c r="I79" s="198">
        <v>7.16</v>
      </c>
      <c r="K79" s="198">
        <v>65717.14</v>
      </c>
    </row>
    <row r="80" spans="3:11" x14ac:dyDescent="0.2">
      <c r="C80" s="201" t="s">
        <v>15799</v>
      </c>
      <c r="D80" s="200">
        <v>44349</v>
      </c>
      <c r="E80" s="199" t="s">
        <v>15798</v>
      </c>
      <c r="I80" s="198">
        <v>2.4300000000000002</v>
      </c>
      <c r="K80" s="198">
        <v>65719.570000000007</v>
      </c>
    </row>
    <row r="81" spans="3:11" x14ac:dyDescent="0.2">
      <c r="C81" s="201" t="s">
        <v>15797</v>
      </c>
      <c r="D81" s="200">
        <v>44349</v>
      </c>
      <c r="E81" s="199" t="s">
        <v>15796</v>
      </c>
      <c r="I81" s="198">
        <v>4.12</v>
      </c>
      <c r="K81" s="198">
        <v>65723.69</v>
      </c>
    </row>
    <row r="82" spans="3:11" x14ac:dyDescent="0.2">
      <c r="C82" s="201" t="s">
        <v>15795</v>
      </c>
      <c r="D82" s="200">
        <v>44349</v>
      </c>
      <c r="E82" s="199" t="s">
        <v>15794</v>
      </c>
      <c r="I82" s="198">
        <v>12.08</v>
      </c>
      <c r="K82" s="198">
        <v>65735.77</v>
      </c>
    </row>
    <row r="83" spans="3:11" x14ac:dyDescent="0.2">
      <c r="C83" s="201" t="s">
        <v>15793</v>
      </c>
      <c r="D83" s="200">
        <v>44349</v>
      </c>
      <c r="E83" s="199" t="s">
        <v>15792</v>
      </c>
      <c r="I83" s="198">
        <v>2.16</v>
      </c>
      <c r="K83" s="198">
        <v>65737.929999999993</v>
      </c>
    </row>
    <row r="84" spans="3:11" x14ac:dyDescent="0.2">
      <c r="C84" s="201" t="s">
        <v>15791</v>
      </c>
      <c r="D84" s="200">
        <v>44349</v>
      </c>
      <c r="E84" s="199" t="s">
        <v>15790</v>
      </c>
      <c r="I84" s="198">
        <v>2.72</v>
      </c>
      <c r="K84" s="198">
        <v>65740.649999999994</v>
      </c>
    </row>
    <row r="85" spans="3:11" x14ac:dyDescent="0.2">
      <c r="C85" s="201" t="s">
        <v>15789</v>
      </c>
      <c r="D85" s="200">
        <v>44349</v>
      </c>
      <c r="E85" s="199" t="s">
        <v>15788</v>
      </c>
      <c r="I85" s="198">
        <v>7.82</v>
      </c>
      <c r="K85" s="198">
        <v>65748.47</v>
      </c>
    </row>
    <row r="86" spans="3:11" x14ac:dyDescent="0.2">
      <c r="C86" s="201" t="s">
        <v>15787</v>
      </c>
      <c r="D86" s="200">
        <v>44349</v>
      </c>
      <c r="E86" s="199" t="s">
        <v>15786</v>
      </c>
      <c r="I86" s="198">
        <v>8.3800000000000008</v>
      </c>
      <c r="K86" s="198">
        <v>65756.850000000006</v>
      </c>
    </row>
    <row r="87" spans="3:11" x14ac:dyDescent="0.2">
      <c r="C87" s="201" t="s">
        <v>15785</v>
      </c>
      <c r="D87" s="200">
        <v>44349</v>
      </c>
      <c r="E87" s="199" t="s">
        <v>15784</v>
      </c>
      <c r="I87" s="198">
        <v>8.3800000000000008</v>
      </c>
      <c r="K87" s="198">
        <v>65765.23</v>
      </c>
    </row>
    <row r="88" spans="3:11" x14ac:dyDescent="0.2">
      <c r="C88" s="201" t="s">
        <v>15783</v>
      </c>
      <c r="D88" s="200">
        <v>44349</v>
      </c>
      <c r="E88" s="199" t="s">
        <v>15782</v>
      </c>
      <c r="I88" s="198">
        <v>5.04</v>
      </c>
      <c r="K88" s="198">
        <v>65770.27</v>
      </c>
    </row>
    <row r="89" spans="3:11" x14ac:dyDescent="0.2">
      <c r="C89" s="201" t="s">
        <v>15781</v>
      </c>
      <c r="D89" s="200">
        <v>44349</v>
      </c>
      <c r="E89" s="199" t="s">
        <v>15780</v>
      </c>
      <c r="I89" s="198">
        <v>6.94</v>
      </c>
      <c r="K89" s="198">
        <v>65777.210000000006</v>
      </c>
    </row>
    <row r="90" spans="3:11" x14ac:dyDescent="0.2">
      <c r="C90" s="201" t="s">
        <v>15779</v>
      </c>
      <c r="D90" s="200">
        <v>44349</v>
      </c>
      <c r="E90" s="199" t="s">
        <v>15778</v>
      </c>
      <c r="I90" s="198">
        <v>9.1199999999999992</v>
      </c>
      <c r="K90" s="198">
        <v>65786.33</v>
      </c>
    </row>
    <row r="91" spans="3:11" x14ac:dyDescent="0.2">
      <c r="C91" s="201" t="s">
        <v>15777</v>
      </c>
      <c r="D91" s="200">
        <v>44349</v>
      </c>
      <c r="E91" s="199" t="s">
        <v>15776</v>
      </c>
      <c r="I91" s="198">
        <v>8.3800000000000008</v>
      </c>
      <c r="K91" s="198">
        <v>65794.710000000006</v>
      </c>
    </row>
    <row r="92" spans="3:11" x14ac:dyDescent="0.2">
      <c r="C92" s="201" t="s">
        <v>15775</v>
      </c>
      <c r="D92" s="200">
        <v>44349</v>
      </c>
      <c r="E92" s="199" t="s">
        <v>15774</v>
      </c>
      <c r="I92" s="198">
        <v>6.36</v>
      </c>
      <c r="K92" s="198">
        <v>65801.070000000007</v>
      </c>
    </row>
    <row r="93" spans="3:11" x14ac:dyDescent="0.2">
      <c r="C93" s="201" t="s">
        <v>15773</v>
      </c>
      <c r="D93" s="200">
        <v>44349</v>
      </c>
      <c r="E93" s="199" t="s">
        <v>15772</v>
      </c>
      <c r="I93" s="198">
        <v>4.1900000000000004</v>
      </c>
      <c r="K93" s="198">
        <v>65805.259999999995</v>
      </c>
    </row>
    <row r="94" spans="3:11" x14ac:dyDescent="0.2">
      <c r="C94" s="201" t="s">
        <v>15771</v>
      </c>
      <c r="D94" s="200">
        <v>44349</v>
      </c>
      <c r="E94" s="199" t="s">
        <v>15770</v>
      </c>
      <c r="I94" s="198">
        <v>2.65</v>
      </c>
      <c r="K94" s="198">
        <v>65807.91</v>
      </c>
    </row>
    <row r="95" spans="3:11" x14ac:dyDescent="0.2">
      <c r="C95" s="201" t="s">
        <v>15769</v>
      </c>
      <c r="D95" s="200">
        <v>44349</v>
      </c>
      <c r="E95" s="199" t="s">
        <v>15768</v>
      </c>
      <c r="I95" s="198">
        <v>2.0299999999999998</v>
      </c>
      <c r="K95" s="198">
        <v>65809.94</v>
      </c>
    </row>
    <row r="96" spans="3:11" x14ac:dyDescent="0.2">
      <c r="C96" s="201" t="s">
        <v>15767</v>
      </c>
      <c r="D96" s="200">
        <v>44349</v>
      </c>
      <c r="E96" s="199" t="s">
        <v>15766</v>
      </c>
      <c r="I96" s="198">
        <v>3.2</v>
      </c>
      <c r="K96" s="198">
        <v>65813.14</v>
      </c>
    </row>
    <row r="97" spans="3:11" x14ac:dyDescent="0.2">
      <c r="C97" s="201" t="s">
        <v>15765</v>
      </c>
      <c r="D97" s="200">
        <v>44349</v>
      </c>
      <c r="E97" s="199" t="s">
        <v>15764</v>
      </c>
      <c r="I97" s="198">
        <v>6.94</v>
      </c>
      <c r="K97" s="198">
        <v>65820.08</v>
      </c>
    </row>
    <row r="98" spans="3:11" x14ac:dyDescent="0.2">
      <c r="C98" s="201" t="s">
        <v>15763</v>
      </c>
      <c r="D98" s="200">
        <v>44349</v>
      </c>
      <c r="E98" s="199" t="s">
        <v>15762</v>
      </c>
      <c r="I98" s="198">
        <v>8.99</v>
      </c>
      <c r="K98" s="198">
        <v>65829.070000000007</v>
      </c>
    </row>
    <row r="99" spans="3:11" x14ac:dyDescent="0.2">
      <c r="C99" s="201" t="s">
        <v>15761</v>
      </c>
      <c r="D99" s="200">
        <v>44349</v>
      </c>
      <c r="E99" s="199" t="s">
        <v>15760</v>
      </c>
      <c r="I99" s="198">
        <v>1.68</v>
      </c>
      <c r="K99" s="198">
        <v>65830.75</v>
      </c>
    </row>
    <row r="100" spans="3:11" x14ac:dyDescent="0.2">
      <c r="C100" s="201" t="s">
        <v>15759</v>
      </c>
      <c r="D100" s="200">
        <v>44349</v>
      </c>
      <c r="E100" s="199" t="s">
        <v>15758</v>
      </c>
      <c r="I100" s="198">
        <v>1.93</v>
      </c>
      <c r="K100" s="198">
        <v>65832.679999999993</v>
      </c>
    </row>
    <row r="101" spans="3:11" x14ac:dyDescent="0.2">
      <c r="C101" s="201" t="s">
        <v>15757</v>
      </c>
      <c r="D101" s="200">
        <v>44349</v>
      </c>
      <c r="E101" s="199" t="s">
        <v>15756</v>
      </c>
      <c r="I101" s="198">
        <v>8.3800000000000008</v>
      </c>
      <c r="K101" s="198">
        <v>65841.06</v>
      </c>
    </row>
    <row r="102" spans="3:11" x14ac:dyDescent="0.2">
      <c r="C102" s="201" t="s">
        <v>15755</v>
      </c>
      <c r="D102" s="200">
        <v>44349</v>
      </c>
      <c r="E102" s="199" t="s">
        <v>15754</v>
      </c>
      <c r="I102" s="198">
        <v>1.68</v>
      </c>
      <c r="K102" s="198">
        <v>65842.740000000005</v>
      </c>
    </row>
    <row r="103" spans="3:11" x14ac:dyDescent="0.2">
      <c r="C103" s="201" t="s">
        <v>15753</v>
      </c>
      <c r="D103" s="200">
        <v>44349</v>
      </c>
      <c r="E103" s="199" t="s">
        <v>15752</v>
      </c>
      <c r="I103" s="198">
        <v>8.3800000000000008</v>
      </c>
      <c r="K103" s="198">
        <v>65851.12</v>
      </c>
    </row>
    <row r="104" spans="3:11" x14ac:dyDescent="0.2">
      <c r="C104" s="201" t="s">
        <v>15751</v>
      </c>
      <c r="D104" s="200">
        <v>44349</v>
      </c>
      <c r="E104" s="199" t="s">
        <v>15750</v>
      </c>
      <c r="I104" s="198">
        <v>3.77</v>
      </c>
      <c r="K104" s="198">
        <v>65854.89</v>
      </c>
    </row>
    <row r="105" spans="3:11" x14ac:dyDescent="0.2">
      <c r="C105" s="201" t="s">
        <v>15749</v>
      </c>
      <c r="D105" s="200">
        <v>44349</v>
      </c>
      <c r="E105" s="199" t="s">
        <v>15748</v>
      </c>
      <c r="I105" s="198">
        <v>15.42</v>
      </c>
      <c r="K105" s="198">
        <v>65870.31</v>
      </c>
    </row>
    <row r="106" spans="3:11" x14ac:dyDescent="0.2">
      <c r="C106" s="201" t="s">
        <v>15747</v>
      </c>
      <c r="D106" s="200">
        <v>44349</v>
      </c>
      <c r="E106" s="199" t="s">
        <v>15746</v>
      </c>
      <c r="I106" s="198">
        <v>6.44</v>
      </c>
      <c r="K106" s="198">
        <v>65876.75</v>
      </c>
    </row>
    <row r="107" spans="3:11" x14ac:dyDescent="0.2">
      <c r="C107" s="201" t="s">
        <v>15745</v>
      </c>
      <c r="D107" s="200">
        <v>44349</v>
      </c>
      <c r="E107" s="199" t="s">
        <v>15744</v>
      </c>
      <c r="I107" s="198">
        <v>1.68</v>
      </c>
      <c r="K107" s="198">
        <v>65878.429999999993</v>
      </c>
    </row>
    <row r="108" spans="3:11" x14ac:dyDescent="0.2">
      <c r="C108" s="201" t="s">
        <v>15743</v>
      </c>
      <c r="D108" s="200">
        <v>44349</v>
      </c>
      <c r="E108" s="199" t="s">
        <v>15742</v>
      </c>
      <c r="I108" s="198">
        <v>1.87</v>
      </c>
      <c r="K108" s="198">
        <v>65880.3</v>
      </c>
    </row>
    <row r="109" spans="3:11" x14ac:dyDescent="0.2">
      <c r="C109" s="201" t="s">
        <v>15741</v>
      </c>
      <c r="D109" s="200">
        <v>44349</v>
      </c>
      <c r="E109" s="199" t="s">
        <v>15740</v>
      </c>
      <c r="I109" s="198">
        <v>7.82</v>
      </c>
      <c r="K109" s="198">
        <v>65888.12</v>
      </c>
    </row>
    <row r="110" spans="3:11" x14ac:dyDescent="0.2">
      <c r="C110" s="201" t="s">
        <v>15739</v>
      </c>
      <c r="D110" s="200">
        <v>44349</v>
      </c>
      <c r="E110" s="199" t="s">
        <v>15738</v>
      </c>
      <c r="I110" s="198">
        <v>1.86</v>
      </c>
      <c r="K110" s="198">
        <v>65889.98</v>
      </c>
    </row>
    <row r="111" spans="3:11" x14ac:dyDescent="0.2">
      <c r="C111" s="201" t="s">
        <v>15737</v>
      </c>
      <c r="D111" s="200">
        <v>44349</v>
      </c>
      <c r="E111" s="199" t="s">
        <v>15736</v>
      </c>
      <c r="I111" s="198">
        <v>3.47</v>
      </c>
      <c r="K111" s="198">
        <v>65893.45</v>
      </c>
    </row>
    <row r="112" spans="3:11" x14ac:dyDescent="0.2">
      <c r="C112" s="201" t="s">
        <v>15735</v>
      </c>
      <c r="D112" s="200">
        <v>44349</v>
      </c>
      <c r="E112" s="199" t="s">
        <v>15734</v>
      </c>
      <c r="I112" s="198">
        <v>4.1900000000000004</v>
      </c>
      <c r="K112" s="198">
        <v>65897.64</v>
      </c>
    </row>
    <row r="113" spans="3:11" x14ac:dyDescent="0.2">
      <c r="C113" s="201" t="s">
        <v>15733</v>
      </c>
      <c r="D113" s="200">
        <v>44349</v>
      </c>
      <c r="E113" s="199" t="s">
        <v>15732</v>
      </c>
      <c r="I113" s="198">
        <v>7.82</v>
      </c>
      <c r="K113" s="198">
        <v>65905.460000000006</v>
      </c>
    </row>
    <row r="114" spans="3:11" x14ac:dyDescent="0.2">
      <c r="C114" s="201" t="s">
        <v>15731</v>
      </c>
      <c r="D114" s="200">
        <v>44349</v>
      </c>
      <c r="E114" s="199" t="s">
        <v>15730</v>
      </c>
      <c r="I114" s="198">
        <v>4.1900000000000004</v>
      </c>
      <c r="K114" s="198">
        <v>65909.649999999994</v>
      </c>
    </row>
    <row r="115" spans="3:11" x14ac:dyDescent="0.2">
      <c r="C115" s="201" t="s">
        <v>15729</v>
      </c>
      <c r="D115" s="200">
        <v>44349</v>
      </c>
      <c r="E115" s="199" t="s">
        <v>15728</v>
      </c>
      <c r="I115" s="198">
        <v>8.3800000000000008</v>
      </c>
      <c r="K115" s="198">
        <v>65918.03</v>
      </c>
    </row>
    <row r="116" spans="3:11" x14ac:dyDescent="0.2">
      <c r="C116" s="201" t="s">
        <v>15727</v>
      </c>
      <c r="D116" s="200">
        <v>44349</v>
      </c>
      <c r="E116" s="199" t="s">
        <v>15726</v>
      </c>
      <c r="I116" s="198">
        <v>1.81</v>
      </c>
      <c r="K116" s="198">
        <v>65919.839999999997</v>
      </c>
    </row>
    <row r="117" spans="3:11" x14ac:dyDescent="0.2">
      <c r="C117" s="201" t="s">
        <v>15725</v>
      </c>
      <c r="D117" s="200">
        <v>44349</v>
      </c>
      <c r="E117" s="199" t="s">
        <v>15724</v>
      </c>
      <c r="I117" s="198">
        <v>17.899999999999999</v>
      </c>
      <c r="K117" s="198">
        <v>65937.740000000005</v>
      </c>
    </row>
    <row r="118" spans="3:11" x14ac:dyDescent="0.2">
      <c r="C118" s="201" t="s">
        <v>15723</v>
      </c>
      <c r="D118" s="200">
        <v>44349</v>
      </c>
      <c r="E118" s="199" t="s">
        <v>15722</v>
      </c>
      <c r="I118" s="198">
        <v>3.39</v>
      </c>
      <c r="K118" s="198">
        <v>65941.13</v>
      </c>
    </row>
    <row r="119" spans="3:11" x14ac:dyDescent="0.2">
      <c r="C119" s="201" t="s">
        <v>15721</v>
      </c>
      <c r="D119" s="200">
        <v>44349</v>
      </c>
      <c r="E119" s="199" t="s">
        <v>15720</v>
      </c>
      <c r="I119" s="198">
        <v>1.68</v>
      </c>
      <c r="K119" s="198">
        <v>65942.81</v>
      </c>
    </row>
    <row r="120" spans="3:11" x14ac:dyDescent="0.2">
      <c r="C120" s="201" t="s">
        <v>15719</v>
      </c>
      <c r="D120" s="200">
        <v>44349</v>
      </c>
      <c r="E120" s="199" t="s">
        <v>15718</v>
      </c>
      <c r="I120" s="198">
        <v>12.3</v>
      </c>
      <c r="K120" s="198">
        <v>65955.11</v>
      </c>
    </row>
    <row r="121" spans="3:11" x14ac:dyDescent="0.2">
      <c r="C121" s="201" t="s">
        <v>15717</v>
      </c>
      <c r="D121" s="200">
        <v>44349</v>
      </c>
      <c r="E121" s="199" t="s">
        <v>15716</v>
      </c>
      <c r="I121" s="198">
        <v>4.32</v>
      </c>
      <c r="K121" s="198">
        <v>65959.429999999993</v>
      </c>
    </row>
    <row r="122" spans="3:11" x14ac:dyDescent="0.2">
      <c r="C122" s="201" t="s">
        <v>15715</v>
      </c>
      <c r="D122" s="200">
        <v>44349</v>
      </c>
      <c r="E122" s="199" t="s">
        <v>15714</v>
      </c>
      <c r="I122" s="198">
        <v>2.0699999999999998</v>
      </c>
      <c r="K122" s="198">
        <v>65961.5</v>
      </c>
    </row>
    <row r="123" spans="3:11" x14ac:dyDescent="0.2">
      <c r="C123" s="201" t="s">
        <v>15713</v>
      </c>
      <c r="D123" s="200">
        <v>44349</v>
      </c>
      <c r="E123" s="199" t="s">
        <v>15712</v>
      </c>
      <c r="I123" s="198">
        <v>2.4</v>
      </c>
      <c r="K123" s="198">
        <v>65963.899999999994</v>
      </c>
    </row>
    <row r="124" spans="3:11" x14ac:dyDescent="0.2">
      <c r="C124" s="201" t="s">
        <v>15711</v>
      </c>
      <c r="D124" s="200">
        <v>44349</v>
      </c>
      <c r="E124" s="199" t="s">
        <v>15710</v>
      </c>
      <c r="I124" s="198">
        <v>15.3</v>
      </c>
      <c r="K124" s="198">
        <v>65979.199999999997</v>
      </c>
    </row>
    <row r="125" spans="3:11" x14ac:dyDescent="0.2">
      <c r="C125" s="201" t="s">
        <v>15709</v>
      </c>
      <c r="D125" s="200">
        <v>44349</v>
      </c>
      <c r="E125" s="199" t="s">
        <v>15708</v>
      </c>
      <c r="I125" s="198">
        <v>15.3</v>
      </c>
      <c r="K125" s="198">
        <v>65994.5</v>
      </c>
    </row>
    <row r="126" spans="3:11" x14ac:dyDescent="0.2">
      <c r="C126" s="201" t="s">
        <v>15707</v>
      </c>
      <c r="D126" s="200">
        <v>44349</v>
      </c>
      <c r="E126" s="199" t="s">
        <v>15706</v>
      </c>
      <c r="I126" s="198">
        <v>15.3</v>
      </c>
      <c r="K126" s="198">
        <v>66009.8</v>
      </c>
    </row>
    <row r="127" spans="3:11" x14ac:dyDescent="0.2">
      <c r="C127" s="201" t="s">
        <v>15705</v>
      </c>
      <c r="D127" s="200">
        <v>44349</v>
      </c>
      <c r="E127" s="199" t="s">
        <v>15704</v>
      </c>
      <c r="I127" s="198">
        <v>2.33</v>
      </c>
      <c r="K127" s="198">
        <v>66012.13</v>
      </c>
    </row>
    <row r="128" spans="3:11" x14ac:dyDescent="0.2">
      <c r="C128" s="201" t="s">
        <v>15703</v>
      </c>
      <c r="D128" s="200">
        <v>44349</v>
      </c>
      <c r="E128" s="199" t="s">
        <v>15702</v>
      </c>
      <c r="I128" s="198">
        <v>1.94</v>
      </c>
      <c r="K128" s="198">
        <v>66014.070000000007</v>
      </c>
    </row>
    <row r="129" spans="3:11" x14ac:dyDescent="0.2">
      <c r="C129" s="201" t="s">
        <v>15701</v>
      </c>
      <c r="D129" s="200">
        <v>44349</v>
      </c>
      <c r="E129" s="199" t="s">
        <v>15700</v>
      </c>
      <c r="I129" s="198">
        <v>15.3</v>
      </c>
      <c r="K129" s="198">
        <v>66029.37</v>
      </c>
    </row>
    <row r="130" spans="3:11" x14ac:dyDescent="0.2">
      <c r="C130" s="201" t="s">
        <v>15699</v>
      </c>
      <c r="D130" s="200">
        <v>44349</v>
      </c>
      <c r="E130" s="199" t="s">
        <v>15698</v>
      </c>
      <c r="I130" s="198">
        <v>32.18</v>
      </c>
      <c r="K130" s="198">
        <v>66061.55</v>
      </c>
    </row>
    <row r="131" spans="3:11" x14ac:dyDescent="0.2">
      <c r="C131" s="201" t="s">
        <v>15697</v>
      </c>
      <c r="D131" s="200">
        <v>44349</v>
      </c>
      <c r="E131" s="199" t="s">
        <v>15696</v>
      </c>
      <c r="I131" s="198">
        <v>9.68</v>
      </c>
      <c r="K131" s="198">
        <v>66071.23</v>
      </c>
    </row>
    <row r="132" spans="3:11" x14ac:dyDescent="0.2">
      <c r="C132" s="201" t="s">
        <v>15695</v>
      </c>
      <c r="D132" s="200">
        <v>44350</v>
      </c>
      <c r="E132" s="199" t="s">
        <v>15694</v>
      </c>
      <c r="I132" s="198">
        <v>8.02</v>
      </c>
      <c r="K132" s="198">
        <v>66079.25</v>
      </c>
    </row>
    <row r="133" spans="3:11" x14ac:dyDescent="0.2">
      <c r="C133" s="201" t="s">
        <v>15693</v>
      </c>
      <c r="D133" s="200">
        <v>44350</v>
      </c>
      <c r="E133" s="199" t="s">
        <v>15692</v>
      </c>
      <c r="I133" s="198">
        <v>0.28999999999999998</v>
      </c>
      <c r="K133" s="198">
        <v>66079.539999999994</v>
      </c>
    </row>
    <row r="134" spans="3:11" x14ac:dyDescent="0.2">
      <c r="C134" s="201" t="s">
        <v>15691</v>
      </c>
      <c r="D134" s="200">
        <v>44350</v>
      </c>
      <c r="E134" s="199" t="s">
        <v>15690</v>
      </c>
      <c r="I134" s="198">
        <v>3.36</v>
      </c>
      <c r="K134" s="198">
        <v>66082.899999999994</v>
      </c>
    </row>
    <row r="135" spans="3:11" x14ac:dyDescent="0.2">
      <c r="C135" s="201" t="s">
        <v>15689</v>
      </c>
      <c r="D135" s="200">
        <v>44350</v>
      </c>
      <c r="E135" s="199" t="s">
        <v>15688</v>
      </c>
      <c r="I135" s="198">
        <v>42.25</v>
      </c>
      <c r="K135" s="198">
        <v>66125.149999999994</v>
      </c>
    </row>
    <row r="136" spans="3:11" x14ac:dyDescent="0.2">
      <c r="C136" s="201" t="s">
        <v>15687</v>
      </c>
      <c r="D136" s="200">
        <v>44350</v>
      </c>
      <c r="E136" s="199" t="s">
        <v>15686</v>
      </c>
      <c r="I136" s="198">
        <v>9</v>
      </c>
      <c r="K136" s="198">
        <v>66134.149999999994</v>
      </c>
    </row>
    <row r="137" spans="3:11" x14ac:dyDescent="0.2">
      <c r="C137" s="201" t="s">
        <v>15685</v>
      </c>
      <c r="D137" s="200">
        <v>44350</v>
      </c>
      <c r="E137" s="199" t="s">
        <v>15684</v>
      </c>
      <c r="I137" s="198">
        <v>5.86</v>
      </c>
      <c r="K137" s="198">
        <v>66140.009999999995</v>
      </c>
    </row>
    <row r="138" spans="3:11" x14ac:dyDescent="0.2">
      <c r="C138" s="201" t="s">
        <v>15683</v>
      </c>
      <c r="D138" s="200">
        <v>44350</v>
      </c>
      <c r="E138" s="199" t="s">
        <v>15682</v>
      </c>
      <c r="I138" s="198">
        <v>16.52</v>
      </c>
      <c r="K138" s="198">
        <v>66156.53</v>
      </c>
    </row>
    <row r="139" spans="3:11" x14ac:dyDescent="0.2">
      <c r="C139" s="201" t="s">
        <v>15681</v>
      </c>
      <c r="D139" s="200">
        <v>44350</v>
      </c>
      <c r="E139" s="199" t="s">
        <v>15680</v>
      </c>
      <c r="I139" s="198">
        <v>10.72</v>
      </c>
      <c r="K139" s="198">
        <v>66167.25</v>
      </c>
    </row>
    <row r="140" spans="3:11" x14ac:dyDescent="0.2">
      <c r="C140" s="201" t="s">
        <v>15679</v>
      </c>
      <c r="D140" s="200">
        <v>44350</v>
      </c>
      <c r="E140" s="199" t="s">
        <v>15678</v>
      </c>
      <c r="I140" s="198">
        <v>1.83</v>
      </c>
      <c r="K140" s="198">
        <v>66169.08</v>
      </c>
    </row>
    <row r="141" spans="3:11" x14ac:dyDescent="0.2">
      <c r="C141" s="201" t="s">
        <v>15677</v>
      </c>
      <c r="D141" s="200">
        <v>44350</v>
      </c>
      <c r="E141" s="199" t="s">
        <v>15676</v>
      </c>
      <c r="I141" s="198">
        <v>6.51</v>
      </c>
      <c r="K141" s="198">
        <v>66175.59</v>
      </c>
    </row>
    <row r="142" spans="3:11" x14ac:dyDescent="0.2">
      <c r="C142" s="201" t="s">
        <v>15675</v>
      </c>
      <c r="D142" s="200">
        <v>44350</v>
      </c>
      <c r="E142" s="199" t="s">
        <v>15674</v>
      </c>
      <c r="I142" s="198">
        <v>4.3600000000000003</v>
      </c>
      <c r="K142" s="198">
        <v>66179.95</v>
      </c>
    </row>
    <row r="143" spans="3:11" x14ac:dyDescent="0.2">
      <c r="C143" s="201" t="s">
        <v>15673</v>
      </c>
      <c r="D143" s="200">
        <v>44350</v>
      </c>
      <c r="E143" s="199" t="s">
        <v>15672</v>
      </c>
      <c r="I143" s="198">
        <v>14.99</v>
      </c>
      <c r="K143" s="198">
        <v>66194.94</v>
      </c>
    </row>
    <row r="144" spans="3:11" x14ac:dyDescent="0.2">
      <c r="C144" s="201" t="s">
        <v>15671</v>
      </c>
      <c r="D144" s="200">
        <v>44350</v>
      </c>
      <c r="E144" s="199" t="s">
        <v>15670</v>
      </c>
      <c r="I144" s="198">
        <v>14.47</v>
      </c>
      <c r="K144" s="198">
        <v>66209.41</v>
      </c>
    </row>
    <row r="145" spans="3:11" x14ac:dyDescent="0.2">
      <c r="C145" s="201" t="s">
        <v>15669</v>
      </c>
      <c r="D145" s="200">
        <v>44350</v>
      </c>
      <c r="E145" s="199" t="s">
        <v>15668</v>
      </c>
      <c r="I145" s="198">
        <v>8.3800000000000008</v>
      </c>
      <c r="K145" s="198">
        <v>66217.789999999994</v>
      </c>
    </row>
    <row r="146" spans="3:11" x14ac:dyDescent="0.2">
      <c r="C146" s="201" t="s">
        <v>15667</v>
      </c>
      <c r="D146" s="200">
        <v>44350</v>
      </c>
      <c r="E146" s="199" t="s">
        <v>15666</v>
      </c>
      <c r="I146" s="198">
        <v>0.15</v>
      </c>
      <c r="K146" s="198">
        <v>66217.94</v>
      </c>
    </row>
    <row r="147" spans="3:11" x14ac:dyDescent="0.2">
      <c r="C147" s="201" t="s">
        <v>15665</v>
      </c>
      <c r="D147" s="200">
        <v>44350</v>
      </c>
      <c r="E147" s="199" t="s">
        <v>15664</v>
      </c>
      <c r="I147" s="198">
        <v>2.0299999999999998</v>
      </c>
      <c r="K147" s="198">
        <v>66219.97</v>
      </c>
    </row>
    <row r="148" spans="3:11" x14ac:dyDescent="0.2">
      <c r="C148" s="201" t="s">
        <v>15663</v>
      </c>
      <c r="D148" s="200">
        <v>44350</v>
      </c>
      <c r="E148" s="199" t="s">
        <v>15662</v>
      </c>
      <c r="I148" s="198">
        <v>2.14</v>
      </c>
      <c r="K148" s="198">
        <v>66222.11</v>
      </c>
    </row>
    <row r="149" spans="3:11" x14ac:dyDescent="0.2">
      <c r="C149" s="201" t="s">
        <v>15661</v>
      </c>
      <c r="D149" s="200">
        <v>44350</v>
      </c>
      <c r="E149" s="199" t="s">
        <v>15660</v>
      </c>
      <c r="I149" s="198">
        <v>6.76</v>
      </c>
      <c r="K149" s="198">
        <v>66228.87</v>
      </c>
    </row>
    <row r="150" spans="3:11" x14ac:dyDescent="0.2">
      <c r="C150" s="201" t="s">
        <v>15659</v>
      </c>
      <c r="D150" s="200">
        <v>44350</v>
      </c>
      <c r="E150" s="199" t="s">
        <v>15658</v>
      </c>
      <c r="I150" s="198">
        <v>6.46</v>
      </c>
      <c r="K150" s="198">
        <v>66235.33</v>
      </c>
    </row>
    <row r="151" spans="3:11" x14ac:dyDescent="0.2">
      <c r="C151" s="201" t="s">
        <v>15657</v>
      </c>
      <c r="D151" s="200">
        <v>44350</v>
      </c>
      <c r="E151" s="199" t="s">
        <v>15656</v>
      </c>
      <c r="I151" s="198">
        <v>1.68</v>
      </c>
      <c r="K151" s="198">
        <v>66237.009999999995</v>
      </c>
    </row>
    <row r="152" spans="3:11" x14ac:dyDescent="0.2">
      <c r="C152" s="201" t="s">
        <v>15655</v>
      </c>
      <c r="D152" s="200">
        <v>44350</v>
      </c>
      <c r="E152" s="199" t="s">
        <v>15654</v>
      </c>
      <c r="I152" s="198">
        <v>7.05</v>
      </c>
      <c r="K152" s="198">
        <v>66244.06</v>
      </c>
    </row>
    <row r="153" spans="3:11" x14ac:dyDescent="0.2">
      <c r="C153" s="201" t="s">
        <v>15653</v>
      </c>
      <c r="D153" s="200">
        <v>44350</v>
      </c>
      <c r="E153" s="199" t="s">
        <v>15652</v>
      </c>
      <c r="I153" s="198">
        <v>1.68</v>
      </c>
      <c r="K153" s="198">
        <v>66245.740000000005</v>
      </c>
    </row>
    <row r="154" spans="3:11" x14ac:dyDescent="0.2">
      <c r="C154" s="201" t="s">
        <v>15651</v>
      </c>
      <c r="D154" s="200">
        <v>44350</v>
      </c>
      <c r="E154" s="199" t="s">
        <v>15650</v>
      </c>
      <c r="I154" s="198">
        <v>3.63</v>
      </c>
      <c r="K154" s="198">
        <v>66249.37</v>
      </c>
    </row>
    <row r="155" spans="3:11" x14ac:dyDescent="0.2">
      <c r="C155" s="201" t="s">
        <v>15649</v>
      </c>
      <c r="D155" s="200">
        <v>44350</v>
      </c>
      <c r="E155" s="199" t="s">
        <v>15648</v>
      </c>
      <c r="I155" s="198">
        <v>11.49</v>
      </c>
      <c r="K155" s="198">
        <v>66260.86</v>
      </c>
    </row>
    <row r="156" spans="3:11" x14ac:dyDescent="0.2">
      <c r="C156" s="201" t="s">
        <v>15647</v>
      </c>
      <c r="D156" s="200">
        <v>44350</v>
      </c>
      <c r="E156" s="199" t="s">
        <v>15646</v>
      </c>
      <c r="I156" s="198">
        <v>4.26</v>
      </c>
      <c r="K156" s="198">
        <v>66265.119999999995</v>
      </c>
    </row>
    <row r="157" spans="3:11" x14ac:dyDescent="0.2">
      <c r="C157" s="201" t="s">
        <v>15645</v>
      </c>
      <c r="D157" s="200">
        <v>44350</v>
      </c>
      <c r="E157" s="199" t="s">
        <v>15644</v>
      </c>
      <c r="I157" s="198">
        <v>1.68</v>
      </c>
      <c r="K157" s="198">
        <v>66266.8</v>
      </c>
    </row>
    <row r="158" spans="3:11" x14ac:dyDescent="0.2">
      <c r="C158" s="201" t="s">
        <v>15643</v>
      </c>
      <c r="D158" s="200">
        <v>44350</v>
      </c>
      <c r="E158" s="199" t="s">
        <v>15642</v>
      </c>
      <c r="I158" s="198">
        <v>1.68</v>
      </c>
      <c r="K158" s="198">
        <v>66268.479999999996</v>
      </c>
    </row>
    <row r="159" spans="3:11" x14ac:dyDescent="0.2">
      <c r="C159" s="201" t="s">
        <v>15641</v>
      </c>
      <c r="D159" s="200">
        <v>44350</v>
      </c>
      <c r="E159" s="199" t="s">
        <v>15640</v>
      </c>
      <c r="I159" s="198">
        <v>1.94</v>
      </c>
      <c r="K159" s="198">
        <v>66270.42</v>
      </c>
    </row>
    <row r="160" spans="3:11" x14ac:dyDescent="0.2">
      <c r="C160" s="201" t="s">
        <v>15639</v>
      </c>
      <c r="D160" s="200">
        <v>44350</v>
      </c>
      <c r="E160" s="199" t="s">
        <v>15638</v>
      </c>
      <c r="I160" s="198">
        <v>10.79</v>
      </c>
      <c r="K160" s="198">
        <v>66281.210000000006</v>
      </c>
    </row>
    <row r="161" spans="3:11" x14ac:dyDescent="0.2">
      <c r="C161" s="201" t="s">
        <v>15637</v>
      </c>
      <c r="D161" s="200">
        <v>44350</v>
      </c>
      <c r="E161" s="199" t="s">
        <v>15636</v>
      </c>
      <c r="I161" s="198">
        <v>15.3</v>
      </c>
      <c r="K161" s="198">
        <v>66296.509999999995</v>
      </c>
    </row>
    <row r="162" spans="3:11" x14ac:dyDescent="0.2">
      <c r="C162" s="201" t="s">
        <v>15635</v>
      </c>
      <c r="D162" s="200">
        <v>44350</v>
      </c>
      <c r="E162" s="199" t="s">
        <v>15634</v>
      </c>
      <c r="I162" s="198">
        <v>17.329999999999998</v>
      </c>
      <c r="K162" s="198">
        <v>66313.84</v>
      </c>
    </row>
    <row r="163" spans="3:11" x14ac:dyDescent="0.2">
      <c r="C163" s="201" t="s">
        <v>15633</v>
      </c>
      <c r="D163" s="200">
        <v>44351</v>
      </c>
      <c r="E163" s="199" t="s">
        <v>15632</v>
      </c>
      <c r="I163" s="198">
        <v>3.08</v>
      </c>
      <c r="K163" s="198">
        <v>66316.92</v>
      </c>
    </row>
    <row r="164" spans="3:11" x14ac:dyDescent="0.2">
      <c r="C164" s="201" t="s">
        <v>15631</v>
      </c>
      <c r="D164" s="200">
        <v>44351</v>
      </c>
      <c r="E164" s="199" t="s">
        <v>15630</v>
      </c>
      <c r="I164" s="198">
        <v>1.85</v>
      </c>
      <c r="K164" s="198">
        <v>66318.77</v>
      </c>
    </row>
    <row r="165" spans="3:11" x14ac:dyDescent="0.2">
      <c r="C165" s="201" t="s">
        <v>15629</v>
      </c>
      <c r="D165" s="200">
        <v>44351</v>
      </c>
      <c r="E165" s="199" t="s">
        <v>15628</v>
      </c>
      <c r="I165" s="198">
        <v>2.0699999999999998</v>
      </c>
      <c r="K165" s="198">
        <v>66320.84</v>
      </c>
    </row>
    <row r="166" spans="3:11" x14ac:dyDescent="0.2">
      <c r="C166" s="201" t="s">
        <v>15627</v>
      </c>
      <c r="D166" s="200">
        <v>44351</v>
      </c>
      <c r="E166" s="199" t="s">
        <v>15626</v>
      </c>
      <c r="I166" s="198">
        <v>6.13</v>
      </c>
      <c r="K166" s="198">
        <v>66326.97</v>
      </c>
    </row>
    <row r="167" spans="3:11" x14ac:dyDescent="0.2">
      <c r="C167" s="201" t="s">
        <v>15625</v>
      </c>
      <c r="D167" s="200">
        <v>44351</v>
      </c>
      <c r="E167" s="199" t="s">
        <v>15624</v>
      </c>
      <c r="I167" s="198">
        <v>3.93</v>
      </c>
      <c r="K167" s="198">
        <v>66330.899999999994</v>
      </c>
    </row>
    <row r="168" spans="3:11" x14ac:dyDescent="0.2">
      <c r="C168" s="201" t="s">
        <v>15623</v>
      </c>
      <c r="D168" s="200">
        <v>44351</v>
      </c>
      <c r="E168" s="199" t="s">
        <v>15622</v>
      </c>
      <c r="I168" s="198">
        <v>19.920000000000002</v>
      </c>
      <c r="K168" s="198">
        <v>66350.820000000007</v>
      </c>
    </row>
    <row r="169" spans="3:11" x14ac:dyDescent="0.2">
      <c r="C169" s="201" t="s">
        <v>15621</v>
      </c>
      <c r="D169" s="200">
        <v>44351</v>
      </c>
      <c r="E169" s="199" t="s">
        <v>15620</v>
      </c>
      <c r="I169" s="198">
        <v>0.53</v>
      </c>
      <c r="K169" s="198">
        <v>66351.350000000006</v>
      </c>
    </row>
    <row r="170" spans="3:11" x14ac:dyDescent="0.2">
      <c r="C170" s="201" t="s">
        <v>15619</v>
      </c>
      <c r="D170" s="200">
        <v>44351</v>
      </c>
      <c r="E170" s="199" t="s">
        <v>15618</v>
      </c>
      <c r="I170" s="198">
        <v>10.36</v>
      </c>
      <c r="K170" s="198">
        <v>66361.710000000006</v>
      </c>
    </row>
    <row r="171" spans="3:11" x14ac:dyDescent="0.2">
      <c r="C171" s="201" t="s">
        <v>15617</v>
      </c>
      <c r="D171" s="200">
        <v>44351</v>
      </c>
      <c r="E171" s="199" t="s">
        <v>15616</v>
      </c>
      <c r="I171" s="198">
        <v>5.04</v>
      </c>
      <c r="K171" s="198">
        <v>66366.75</v>
      </c>
    </row>
    <row r="172" spans="3:11" x14ac:dyDescent="0.2">
      <c r="C172" s="201" t="s">
        <v>15615</v>
      </c>
      <c r="D172" s="200">
        <v>44351</v>
      </c>
      <c r="E172" s="199" t="s">
        <v>15614</v>
      </c>
      <c r="I172" s="198">
        <v>5.68</v>
      </c>
      <c r="K172" s="198">
        <v>66372.429999999993</v>
      </c>
    </row>
    <row r="173" spans="3:11" x14ac:dyDescent="0.2">
      <c r="C173" s="201" t="s">
        <v>15613</v>
      </c>
      <c r="D173" s="200">
        <v>44351</v>
      </c>
      <c r="E173" s="199" t="s">
        <v>15612</v>
      </c>
      <c r="I173" s="198">
        <v>7.07</v>
      </c>
      <c r="K173" s="198">
        <v>66379.5</v>
      </c>
    </row>
    <row r="174" spans="3:11" x14ac:dyDescent="0.2">
      <c r="C174" s="201" t="s">
        <v>15611</v>
      </c>
      <c r="D174" s="200">
        <v>44351</v>
      </c>
      <c r="E174" s="199" t="s">
        <v>15610</v>
      </c>
      <c r="I174" s="198">
        <v>8.92</v>
      </c>
      <c r="K174" s="198">
        <v>66388.42</v>
      </c>
    </row>
    <row r="175" spans="3:11" x14ac:dyDescent="0.2">
      <c r="C175" s="201" t="s">
        <v>15609</v>
      </c>
      <c r="D175" s="200">
        <v>44351</v>
      </c>
      <c r="E175" s="199" t="s">
        <v>15608</v>
      </c>
      <c r="I175" s="198">
        <v>10.66</v>
      </c>
      <c r="K175" s="198">
        <v>66399.08</v>
      </c>
    </row>
    <row r="176" spans="3:11" x14ac:dyDescent="0.2">
      <c r="C176" s="201" t="s">
        <v>15607</v>
      </c>
      <c r="D176" s="200">
        <v>44351</v>
      </c>
      <c r="E176" s="199" t="s">
        <v>15606</v>
      </c>
      <c r="I176" s="198">
        <v>1.68</v>
      </c>
      <c r="K176" s="198">
        <v>66400.759999999995</v>
      </c>
    </row>
    <row r="177" spans="3:11" x14ac:dyDescent="0.2">
      <c r="C177" s="201" t="s">
        <v>15605</v>
      </c>
      <c r="D177" s="200">
        <v>44351</v>
      </c>
      <c r="E177" s="199" t="s">
        <v>15604</v>
      </c>
      <c r="I177" s="198">
        <v>2.39</v>
      </c>
      <c r="K177" s="198">
        <v>66403.149999999994</v>
      </c>
    </row>
    <row r="178" spans="3:11" x14ac:dyDescent="0.2">
      <c r="C178" s="201" t="s">
        <v>15603</v>
      </c>
      <c r="D178" s="200">
        <v>44351</v>
      </c>
      <c r="E178" s="199" t="s">
        <v>15602</v>
      </c>
      <c r="I178" s="198">
        <v>13.18</v>
      </c>
      <c r="K178" s="198">
        <v>66416.33</v>
      </c>
    </row>
    <row r="179" spans="3:11" x14ac:dyDescent="0.2">
      <c r="C179" s="201" t="s">
        <v>15601</v>
      </c>
      <c r="D179" s="200">
        <v>44351</v>
      </c>
      <c r="E179" s="199" t="s">
        <v>15600</v>
      </c>
      <c r="I179" s="198">
        <v>5.98</v>
      </c>
      <c r="K179" s="198">
        <v>66422.31</v>
      </c>
    </row>
    <row r="180" spans="3:11" x14ac:dyDescent="0.2">
      <c r="C180" s="201" t="s">
        <v>15599</v>
      </c>
      <c r="D180" s="200">
        <v>44351</v>
      </c>
      <c r="E180" s="199" t="s">
        <v>15598</v>
      </c>
      <c r="I180" s="198">
        <v>5.1100000000000003</v>
      </c>
      <c r="K180" s="198">
        <v>66427.42</v>
      </c>
    </row>
    <row r="181" spans="3:11" x14ac:dyDescent="0.2">
      <c r="C181" s="201" t="s">
        <v>15597</v>
      </c>
      <c r="D181" s="200">
        <v>44351</v>
      </c>
      <c r="E181" s="199" t="s">
        <v>15596</v>
      </c>
      <c r="I181" s="198">
        <v>30.26</v>
      </c>
      <c r="K181" s="198">
        <v>66457.679999999993</v>
      </c>
    </row>
    <row r="182" spans="3:11" x14ac:dyDescent="0.2">
      <c r="C182" s="201" t="s">
        <v>15595</v>
      </c>
      <c r="D182" s="200">
        <v>44351</v>
      </c>
      <c r="E182" s="199" t="s">
        <v>15594</v>
      </c>
      <c r="I182" s="198">
        <v>2.4900000000000002</v>
      </c>
      <c r="K182" s="198">
        <v>66460.17</v>
      </c>
    </row>
    <row r="183" spans="3:11" x14ac:dyDescent="0.2">
      <c r="C183" s="201" t="s">
        <v>15593</v>
      </c>
      <c r="D183" s="200">
        <v>44351</v>
      </c>
      <c r="E183" s="199" t="s">
        <v>15592</v>
      </c>
      <c r="I183" s="198">
        <v>5.54</v>
      </c>
      <c r="K183" s="198">
        <v>66465.710000000006</v>
      </c>
    </row>
    <row r="184" spans="3:11" x14ac:dyDescent="0.2">
      <c r="C184" s="201" t="s">
        <v>15591</v>
      </c>
      <c r="D184" s="200">
        <v>44351</v>
      </c>
      <c r="E184" s="199" t="s">
        <v>15590</v>
      </c>
      <c r="I184" s="198">
        <v>4.1900000000000004</v>
      </c>
      <c r="K184" s="198">
        <v>66469.899999999994</v>
      </c>
    </row>
    <row r="185" spans="3:11" x14ac:dyDescent="0.2">
      <c r="C185" s="201" t="s">
        <v>15589</v>
      </c>
      <c r="D185" s="200">
        <v>44351</v>
      </c>
      <c r="E185" s="199" t="s">
        <v>15588</v>
      </c>
      <c r="I185" s="198">
        <v>2.5099999999999998</v>
      </c>
      <c r="K185" s="198">
        <v>66472.41</v>
      </c>
    </row>
    <row r="186" spans="3:11" x14ac:dyDescent="0.2">
      <c r="C186" s="201" t="s">
        <v>15587</v>
      </c>
      <c r="D186" s="200">
        <v>44351</v>
      </c>
      <c r="E186" s="199" t="s">
        <v>15586</v>
      </c>
      <c r="I186" s="198">
        <v>5.81</v>
      </c>
      <c r="K186" s="198">
        <v>66478.22</v>
      </c>
    </row>
    <row r="187" spans="3:11" x14ac:dyDescent="0.2">
      <c r="C187" s="201" t="s">
        <v>15585</v>
      </c>
      <c r="D187" s="200">
        <v>44351</v>
      </c>
      <c r="E187" s="199" t="s">
        <v>15584</v>
      </c>
      <c r="I187" s="198">
        <v>1.68</v>
      </c>
      <c r="K187" s="198">
        <v>66479.899999999994</v>
      </c>
    </row>
    <row r="188" spans="3:11" x14ac:dyDescent="0.2">
      <c r="C188" s="201" t="s">
        <v>15583</v>
      </c>
      <c r="D188" s="200">
        <v>44351</v>
      </c>
      <c r="E188" s="199" t="s">
        <v>15582</v>
      </c>
      <c r="I188" s="198">
        <v>9.65</v>
      </c>
      <c r="K188" s="198">
        <v>66489.55</v>
      </c>
    </row>
    <row r="189" spans="3:11" x14ac:dyDescent="0.2">
      <c r="C189" s="201" t="s">
        <v>15581</v>
      </c>
      <c r="D189" s="200">
        <v>44351</v>
      </c>
      <c r="E189" s="199" t="s">
        <v>15580</v>
      </c>
      <c r="I189" s="198">
        <v>8.3800000000000008</v>
      </c>
      <c r="K189" s="198">
        <v>66497.929999999993</v>
      </c>
    </row>
    <row r="190" spans="3:11" x14ac:dyDescent="0.2">
      <c r="C190" s="201" t="s">
        <v>15579</v>
      </c>
      <c r="D190" s="200">
        <v>44351</v>
      </c>
      <c r="E190" s="199" t="s">
        <v>15578</v>
      </c>
      <c r="I190" s="198">
        <v>1.78</v>
      </c>
      <c r="K190" s="198">
        <v>66499.710000000006</v>
      </c>
    </row>
    <row r="191" spans="3:11" x14ac:dyDescent="0.2">
      <c r="C191" s="201" t="s">
        <v>15577</v>
      </c>
      <c r="D191" s="200">
        <v>44351</v>
      </c>
      <c r="E191" s="199" t="s">
        <v>15576</v>
      </c>
      <c r="I191" s="198">
        <v>4.63</v>
      </c>
      <c r="K191" s="198">
        <v>66504.34</v>
      </c>
    </row>
    <row r="192" spans="3:11" x14ac:dyDescent="0.2">
      <c r="C192" s="201" t="s">
        <v>15575</v>
      </c>
      <c r="D192" s="200">
        <v>44351</v>
      </c>
      <c r="E192" s="199" t="s">
        <v>15574</v>
      </c>
      <c r="I192" s="198">
        <v>1.71</v>
      </c>
      <c r="K192" s="198">
        <v>66506.05</v>
      </c>
    </row>
    <row r="193" spans="3:11" x14ac:dyDescent="0.2">
      <c r="C193" s="201" t="s">
        <v>15573</v>
      </c>
      <c r="D193" s="200">
        <v>44351</v>
      </c>
      <c r="E193" s="199" t="s">
        <v>15572</v>
      </c>
      <c r="I193" s="198">
        <v>6.71</v>
      </c>
      <c r="K193" s="198">
        <v>66512.759999999995</v>
      </c>
    </row>
    <row r="194" spans="3:11" x14ac:dyDescent="0.2">
      <c r="C194" s="201" t="s">
        <v>15571</v>
      </c>
      <c r="D194" s="200">
        <v>44351</v>
      </c>
      <c r="E194" s="199" t="s">
        <v>15570</v>
      </c>
      <c r="I194" s="198">
        <v>4.1900000000000004</v>
      </c>
      <c r="K194" s="198">
        <v>66516.95</v>
      </c>
    </row>
    <row r="195" spans="3:11" x14ac:dyDescent="0.2">
      <c r="C195" s="201" t="s">
        <v>15569</v>
      </c>
      <c r="D195" s="200">
        <v>44351</v>
      </c>
      <c r="E195" s="199" t="s">
        <v>15568</v>
      </c>
      <c r="I195" s="198">
        <v>2370.41</v>
      </c>
      <c r="K195" s="198">
        <v>68887.360000000001</v>
      </c>
    </row>
    <row r="196" spans="3:11" x14ac:dyDescent="0.2">
      <c r="C196" s="201" t="s">
        <v>15567</v>
      </c>
      <c r="D196" s="200">
        <v>44351</v>
      </c>
      <c r="E196" s="199" t="s">
        <v>15566</v>
      </c>
      <c r="I196" s="198">
        <v>1850.52</v>
      </c>
      <c r="K196" s="198">
        <v>70737.88</v>
      </c>
    </row>
    <row r="197" spans="3:11" x14ac:dyDescent="0.2">
      <c r="C197" s="201" t="s">
        <v>15565</v>
      </c>
      <c r="D197" s="200">
        <v>44351</v>
      </c>
      <c r="E197" s="199" t="s">
        <v>15564</v>
      </c>
      <c r="I197" s="198">
        <v>4.53</v>
      </c>
      <c r="K197" s="198">
        <v>70742.41</v>
      </c>
    </row>
    <row r="198" spans="3:11" x14ac:dyDescent="0.2">
      <c r="C198" s="201" t="s">
        <v>15563</v>
      </c>
      <c r="D198" s="200">
        <v>44351</v>
      </c>
      <c r="E198" s="199" t="s">
        <v>15562</v>
      </c>
      <c r="I198" s="198">
        <v>3.69</v>
      </c>
      <c r="K198" s="198">
        <v>70746.100000000006</v>
      </c>
    </row>
    <row r="199" spans="3:11" x14ac:dyDescent="0.2">
      <c r="C199" s="201" t="s">
        <v>15561</v>
      </c>
      <c r="D199" s="200">
        <v>44352</v>
      </c>
      <c r="E199" s="199" t="s">
        <v>15560</v>
      </c>
      <c r="I199" s="198">
        <v>2.27</v>
      </c>
      <c r="K199" s="198">
        <v>70748.37</v>
      </c>
    </row>
    <row r="200" spans="3:11" x14ac:dyDescent="0.2">
      <c r="C200" s="201" t="s">
        <v>15559</v>
      </c>
      <c r="D200" s="200">
        <v>44352</v>
      </c>
      <c r="E200" s="199" t="s">
        <v>15558</v>
      </c>
      <c r="I200" s="198">
        <v>30.6</v>
      </c>
      <c r="K200" s="198">
        <v>70778.97</v>
      </c>
    </row>
    <row r="201" spans="3:11" x14ac:dyDescent="0.2">
      <c r="C201" s="201" t="s">
        <v>7483</v>
      </c>
      <c r="D201" s="200">
        <v>44352</v>
      </c>
      <c r="E201" s="199" t="s">
        <v>20197</v>
      </c>
      <c r="J201" s="222">
        <v>5.32</v>
      </c>
      <c r="K201" s="198">
        <v>70773.649999999994</v>
      </c>
    </row>
    <row r="202" spans="3:11" x14ac:dyDescent="0.2">
      <c r="C202" s="201" t="s">
        <v>15557</v>
      </c>
      <c r="D202" s="200">
        <v>44354</v>
      </c>
      <c r="E202" s="199" t="s">
        <v>15556</v>
      </c>
      <c r="I202" s="198">
        <v>1.68</v>
      </c>
      <c r="K202" s="198">
        <v>70775.33</v>
      </c>
    </row>
    <row r="203" spans="3:11" x14ac:dyDescent="0.2">
      <c r="C203" s="201" t="s">
        <v>15555</v>
      </c>
      <c r="D203" s="200">
        <v>44354</v>
      </c>
      <c r="E203" s="199" t="s">
        <v>15554</v>
      </c>
      <c r="I203" s="198">
        <v>3.45</v>
      </c>
      <c r="K203" s="198">
        <v>70778.78</v>
      </c>
    </row>
    <row r="204" spans="3:11" x14ac:dyDescent="0.2">
      <c r="C204" s="201" t="s">
        <v>15553</v>
      </c>
      <c r="D204" s="200">
        <v>44354</v>
      </c>
      <c r="E204" s="199" t="s">
        <v>15552</v>
      </c>
      <c r="I204" s="198">
        <v>1.68</v>
      </c>
      <c r="K204" s="198">
        <v>70780.460000000006</v>
      </c>
    </row>
    <row r="205" spans="3:11" x14ac:dyDescent="0.2">
      <c r="C205" s="201" t="s">
        <v>15551</v>
      </c>
      <c r="D205" s="200">
        <v>44354</v>
      </c>
      <c r="E205" s="199" t="s">
        <v>15550</v>
      </c>
      <c r="I205" s="198">
        <v>1.85</v>
      </c>
      <c r="K205" s="198">
        <v>70782.31</v>
      </c>
    </row>
    <row r="206" spans="3:11" x14ac:dyDescent="0.2">
      <c r="C206" s="201" t="s">
        <v>15549</v>
      </c>
      <c r="D206" s="200">
        <v>44354</v>
      </c>
      <c r="E206" s="199" t="s">
        <v>15548</v>
      </c>
      <c r="I206" s="198">
        <v>4.21</v>
      </c>
      <c r="K206" s="198">
        <v>70786.52</v>
      </c>
    </row>
    <row r="207" spans="3:11" x14ac:dyDescent="0.2">
      <c r="C207" s="201" t="s">
        <v>15547</v>
      </c>
      <c r="D207" s="200">
        <v>44354</v>
      </c>
      <c r="E207" s="199" t="s">
        <v>15546</v>
      </c>
      <c r="I207" s="198">
        <v>64.540000000000006</v>
      </c>
      <c r="K207" s="198">
        <v>70851.06</v>
      </c>
    </row>
    <row r="208" spans="3:11" x14ac:dyDescent="0.2">
      <c r="C208" s="201" t="s">
        <v>15545</v>
      </c>
      <c r="D208" s="200">
        <v>44354</v>
      </c>
      <c r="E208" s="199" t="s">
        <v>15544</v>
      </c>
      <c r="I208" s="198">
        <v>1.38</v>
      </c>
      <c r="K208" s="198">
        <v>70852.44</v>
      </c>
    </row>
    <row r="209" spans="3:11" x14ac:dyDescent="0.2">
      <c r="C209" s="201" t="s">
        <v>15543</v>
      </c>
      <c r="D209" s="200">
        <v>44354</v>
      </c>
      <c r="E209" s="199" t="s">
        <v>15542</v>
      </c>
      <c r="I209" s="198">
        <v>0.16</v>
      </c>
      <c r="K209" s="198">
        <v>70852.600000000006</v>
      </c>
    </row>
    <row r="210" spans="3:11" x14ac:dyDescent="0.2">
      <c r="C210" s="201" t="s">
        <v>15541</v>
      </c>
      <c r="D210" s="200">
        <v>44354</v>
      </c>
      <c r="E210" s="199" t="s">
        <v>15540</v>
      </c>
      <c r="I210" s="198">
        <v>1.69</v>
      </c>
      <c r="K210" s="198">
        <v>70854.289999999994</v>
      </c>
    </row>
    <row r="211" spans="3:11" x14ac:dyDescent="0.2">
      <c r="C211" s="201" t="s">
        <v>15539</v>
      </c>
      <c r="D211" s="200">
        <v>44354</v>
      </c>
      <c r="E211" s="199" t="s">
        <v>15538</v>
      </c>
      <c r="I211" s="198">
        <v>9.49</v>
      </c>
      <c r="K211" s="198">
        <v>70863.78</v>
      </c>
    </row>
    <row r="212" spans="3:11" x14ac:dyDescent="0.2">
      <c r="C212" s="201" t="s">
        <v>15537</v>
      </c>
      <c r="D212" s="200">
        <v>44354</v>
      </c>
      <c r="E212" s="199" t="s">
        <v>15536</v>
      </c>
      <c r="I212" s="198">
        <v>8.3800000000000008</v>
      </c>
      <c r="K212" s="198">
        <v>70872.160000000003</v>
      </c>
    </row>
    <row r="213" spans="3:11" x14ac:dyDescent="0.2">
      <c r="C213" s="201" t="s">
        <v>15535</v>
      </c>
      <c r="D213" s="200">
        <v>44354</v>
      </c>
      <c r="E213" s="199" t="s">
        <v>15534</v>
      </c>
      <c r="I213" s="198">
        <v>3.01</v>
      </c>
      <c r="K213" s="198">
        <v>70875.17</v>
      </c>
    </row>
    <row r="214" spans="3:11" x14ac:dyDescent="0.2">
      <c r="C214" s="201" t="s">
        <v>15533</v>
      </c>
      <c r="D214" s="200">
        <v>44354</v>
      </c>
      <c r="E214" s="199" t="s">
        <v>15532</v>
      </c>
      <c r="I214" s="198">
        <v>9.93</v>
      </c>
      <c r="K214" s="198">
        <v>70885.100000000006</v>
      </c>
    </row>
    <row r="215" spans="3:11" x14ac:dyDescent="0.2">
      <c r="C215" s="201" t="s">
        <v>15531</v>
      </c>
      <c r="D215" s="200">
        <v>44354</v>
      </c>
      <c r="E215" s="199" t="s">
        <v>15530</v>
      </c>
      <c r="I215" s="198">
        <v>2</v>
      </c>
      <c r="K215" s="198">
        <v>70887.100000000006</v>
      </c>
    </row>
    <row r="216" spans="3:11" x14ac:dyDescent="0.2">
      <c r="C216" s="201" t="s">
        <v>15529</v>
      </c>
      <c r="D216" s="200">
        <v>44354</v>
      </c>
      <c r="E216" s="199" t="s">
        <v>15528</v>
      </c>
      <c r="I216" s="198">
        <v>2.2400000000000002</v>
      </c>
      <c r="K216" s="198">
        <v>70889.34</v>
      </c>
    </row>
    <row r="217" spans="3:11" x14ac:dyDescent="0.2">
      <c r="C217" s="201" t="s">
        <v>15527</v>
      </c>
      <c r="D217" s="200">
        <v>44354</v>
      </c>
      <c r="E217" s="199" t="s">
        <v>15526</v>
      </c>
      <c r="I217" s="198">
        <v>3.91</v>
      </c>
      <c r="K217" s="198">
        <v>70893.25</v>
      </c>
    </row>
    <row r="218" spans="3:11" x14ac:dyDescent="0.2">
      <c r="C218" s="201" t="s">
        <v>15525</v>
      </c>
      <c r="D218" s="200">
        <v>44354</v>
      </c>
      <c r="E218" s="199" t="s">
        <v>15524</v>
      </c>
      <c r="I218" s="198">
        <v>10.08</v>
      </c>
      <c r="K218" s="198">
        <v>70903.33</v>
      </c>
    </row>
    <row r="219" spans="3:11" x14ac:dyDescent="0.2">
      <c r="C219" s="201" t="s">
        <v>15523</v>
      </c>
      <c r="D219" s="200">
        <v>44354</v>
      </c>
      <c r="E219" s="199" t="s">
        <v>15522</v>
      </c>
      <c r="I219" s="198">
        <v>1.97</v>
      </c>
      <c r="K219" s="198">
        <v>70905.3</v>
      </c>
    </row>
    <row r="220" spans="3:11" x14ac:dyDescent="0.2">
      <c r="C220" s="201" t="s">
        <v>15521</v>
      </c>
      <c r="D220" s="200">
        <v>44354</v>
      </c>
      <c r="E220" s="199" t="s">
        <v>15520</v>
      </c>
      <c r="I220" s="198">
        <v>17.18</v>
      </c>
      <c r="K220" s="198">
        <v>70922.48</v>
      </c>
    </row>
    <row r="221" spans="3:11" x14ac:dyDescent="0.2">
      <c r="C221" s="201" t="s">
        <v>15519</v>
      </c>
      <c r="D221" s="200">
        <v>44354</v>
      </c>
      <c r="E221" s="199" t="s">
        <v>15518</v>
      </c>
      <c r="I221" s="198">
        <v>7.94</v>
      </c>
      <c r="K221" s="198">
        <v>70930.42</v>
      </c>
    </row>
    <row r="222" spans="3:11" x14ac:dyDescent="0.2">
      <c r="C222" s="201" t="s">
        <v>15517</v>
      </c>
      <c r="D222" s="200">
        <v>44354</v>
      </c>
      <c r="E222" s="199" t="s">
        <v>15516</v>
      </c>
      <c r="I222" s="198">
        <v>1.68</v>
      </c>
      <c r="K222" s="198">
        <v>70932.100000000006</v>
      </c>
    </row>
    <row r="223" spans="3:11" x14ac:dyDescent="0.2">
      <c r="C223" s="201" t="s">
        <v>15515</v>
      </c>
      <c r="D223" s="200">
        <v>44354</v>
      </c>
      <c r="E223" s="199" t="s">
        <v>15514</v>
      </c>
      <c r="I223" s="198">
        <v>7.6</v>
      </c>
      <c r="K223" s="198">
        <v>70939.7</v>
      </c>
    </row>
    <row r="224" spans="3:11" x14ac:dyDescent="0.2">
      <c r="C224" s="201" t="s">
        <v>15513</v>
      </c>
      <c r="D224" s="200">
        <v>44354</v>
      </c>
      <c r="E224" s="199" t="s">
        <v>15512</v>
      </c>
      <c r="I224" s="198">
        <v>16.760000000000002</v>
      </c>
      <c r="K224" s="198">
        <v>70956.460000000006</v>
      </c>
    </row>
    <row r="225" spans="3:11" x14ac:dyDescent="0.2">
      <c r="C225" s="201" t="s">
        <v>15511</v>
      </c>
      <c r="D225" s="200">
        <v>44354</v>
      </c>
      <c r="E225" s="199" t="s">
        <v>15510</v>
      </c>
      <c r="I225" s="198">
        <v>16.760000000000002</v>
      </c>
      <c r="K225" s="198">
        <v>70973.22</v>
      </c>
    </row>
    <row r="226" spans="3:11" x14ac:dyDescent="0.2">
      <c r="C226" s="201" t="s">
        <v>15509</v>
      </c>
      <c r="D226" s="200">
        <v>44354</v>
      </c>
      <c r="E226" s="199" t="s">
        <v>15508</v>
      </c>
      <c r="I226" s="198">
        <v>5.19</v>
      </c>
      <c r="K226" s="198">
        <v>70978.41</v>
      </c>
    </row>
    <row r="227" spans="3:11" x14ac:dyDescent="0.2">
      <c r="C227" s="201" t="s">
        <v>15507</v>
      </c>
      <c r="D227" s="200">
        <v>44354</v>
      </c>
      <c r="E227" s="199" t="s">
        <v>15506</v>
      </c>
      <c r="I227" s="198">
        <v>5.48</v>
      </c>
      <c r="K227" s="198">
        <v>70983.89</v>
      </c>
    </row>
    <row r="228" spans="3:11" x14ac:dyDescent="0.2">
      <c r="C228" s="201" t="s">
        <v>15505</v>
      </c>
      <c r="D228" s="200">
        <v>44354</v>
      </c>
      <c r="E228" s="199" t="s">
        <v>15504</v>
      </c>
      <c r="I228" s="198">
        <v>1.68</v>
      </c>
      <c r="K228" s="198">
        <v>70985.570000000007</v>
      </c>
    </row>
    <row r="229" spans="3:11" x14ac:dyDescent="0.2">
      <c r="C229" s="201" t="s">
        <v>15503</v>
      </c>
      <c r="D229" s="200">
        <v>44354</v>
      </c>
      <c r="E229" s="199" t="s">
        <v>15502</v>
      </c>
      <c r="I229" s="198">
        <v>0.93</v>
      </c>
      <c r="K229" s="198">
        <v>70986.5</v>
      </c>
    </row>
    <row r="230" spans="3:11" x14ac:dyDescent="0.2">
      <c r="C230" s="201" t="s">
        <v>15501</v>
      </c>
      <c r="D230" s="200">
        <v>44354</v>
      </c>
      <c r="E230" s="199" t="s">
        <v>15500</v>
      </c>
      <c r="I230" s="198">
        <v>1.68</v>
      </c>
      <c r="K230" s="198">
        <v>70988.179999999993</v>
      </c>
    </row>
    <row r="231" spans="3:11" x14ac:dyDescent="0.2">
      <c r="C231" s="201" t="s">
        <v>15499</v>
      </c>
      <c r="D231" s="200">
        <v>44354</v>
      </c>
      <c r="E231" s="199" t="s">
        <v>15498</v>
      </c>
      <c r="I231" s="198">
        <v>2.61</v>
      </c>
      <c r="K231" s="198">
        <v>70990.789999999994</v>
      </c>
    </row>
    <row r="232" spans="3:11" x14ac:dyDescent="0.2">
      <c r="C232" s="201" t="s">
        <v>15497</v>
      </c>
      <c r="D232" s="200">
        <v>44354</v>
      </c>
      <c r="E232" s="199" t="s">
        <v>15496</v>
      </c>
      <c r="I232" s="198">
        <v>2.6</v>
      </c>
      <c r="K232" s="198">
        <v>70993.39</v>
      </c>
    </row>
    <row r="233" spans="3:11" x14ac:dyDescent="0.2">
      <c r="C233" s="201" t="s">
        <v>15495</v>
      </c>
      <c r="D233" s="200">
        <v>44354</v>
      </c>
      <c r="E233" s="199" t="s">
        <v>15494</v>
      </c>
      <c r="I233" s="198">
        <v>3.8</v>
      </c>
      <c r="K233" s="198">
        <v>70997.19</v>
      </c>
    </row>
    <row r="234" spans="3:11" x14ac:dyDescent="0.2">
      <c r="C234" s="201" t="s">
        <v>15493</v>
      </c>
      <c r="D234" s="200">
        <v>44354</v>
      </c>
      <c r="E234" s="199" t="s">
        <v>15492</v>
      </c>
      <c r="I234" s="198">
        <v>9.73</v>
      </c>
      <c r="K234" s="198">
        <v>71006.92</v>
      </c>
    </row>
    <row r="235" spans="3:11" x14ac:dyDescent="0.2">
      <c r="C235" s="201" t="s">
        <v>15491</v>
      </c>
      <c r="D235" s="200">
        <v>44354</v>
      </c>
      <c r="E235" s="199" t="s">
        <v>15490</v>
      </c>
      <c r="I235" s="198">
        <v>2.74</v>
      </c>
      <c r="K235" s="198">
        <v>71009.66</v>
      </c>
    </row>
    <row r="236" spans="3:11" x14ac:dyDescent="0.2">
      <c r="C236" s="201" t="s">
        <v>15489</v>
      </c>
      <c r="D236" s="200">
        <v>44354</v>
      </c>
      <c r="E236" s="199" t="s">
        <v>15488</v>
      </c>
      <c r="I236" s="198">
        <v>1.68</v>
      </c>
      <c r="K236" s="198">
        <v>71011.34</v>
      </c>
    </row>
    <row r="237" spans="3:11" x14ac:dyDescent="0.2">
      <c r="C237" s="201" t="s">
        <v>15487</v>
      </c>
      <c r="D237" s="200">
        <v>44354</v>
      </c>
      <c r="E237" s="199" t="s">
        <v>15486</v>
      </c>
      <c r="I237" s="198">
        <v>5.16</v>
      </c>
      <c r="K237" s="198">
        <v>71016.5</v>
      </c>
    </row>
    <row r="238" spans="3:11" x14ac:dyDescent="0.2">
      <c r="C238" s="201" t="s">
        <v>15485</v>
      </c>
      <c r="D238" s="200">
        <v>44354</v>
      </c>
      <c r="E238" s="199" t="s">
        <v>15484</v>
      </c>
      <c r="I238" s="198">
        <v>6.44</v>
      </c>
      <c r="K238" s="198">
        <v>71022.94</v>
      </c>
    </row>
    <row r="239" spans="3:11" x14ac:dyDescent="0.2">
      <c r="C239" s="201" t="s">
        <v>15483</v>
      </c>
      <c r="D239" s="200">
        <v>44354</v>
      </c>
      <c r="E239" s="199" t="s">
        <v>15482</v>
      </c>
      <c r="I239" s="198">
        <v>1.69</v>
      </c>
      <c r="K239" s="198">
        <v>71024.63</v>
      </c>
    </row>
    <row r="240" spans="3:11" x14ac:dyDescent="0.2">
      <c r="C240" s="201" t="s">
        <v>15481</v>
      </c>
      <c r="D240" s="200">
        <v>44354</v>
      </c>
      <c r="E240" s="199" t="s">
        <v>15480</v>
      </c>
      <c r="I240" s="198">
        <v>4.66</v>
      </c>
      <c r="K240" s="198">
        <v>71029.289999999994</v>
      </c>
    </row>
    <row r="241" spans="3:11" x14ac:dyDescent="0.2">
      <c r="C241" s="201" t="s">
        <v>15479</v>
      </c>
      <c r="D241" s="200">
        <v>44354</v>
      </c>
      <c r="E241" s="199" t="s">
        <v>15478</v>
      </c>
      <c r="I241" s="198">
        <v>1.68</v>
      </c>
      <c r="K241" s="198">
        <v>71030.97</v>
      </c>
    </row>
    <row r="242" spans="3:11" x14ac:dyDescent="0.2">
      <c r="C242" s="201" t="s">
        <v>15477</v>
      </c>
      <c r="D242" s="200">
        <v>44354</v>
      </c>
      <c r="E242" s="199" t="s">
        <v>15476</v>
      </c>
      <c r="I242" s="198">
        <v>9.23</v>
      </c>
      <c r="K242" s="198">
        <v>71040.2</v>
      </c>
    </row>
    <row r="243" spans="3:11" x14ac:dyDescent="0.2">
      <c r="C243" s="201" t="s">
        <v>15475</v>
      </c>
      <c r="D243" s="200">
        <v>44354</v>
      </c>
      <c r="E243" s="199" t="s">
        <v>15474</v>
      </c>
      <c r="I243" s="198">
        <v>5.34</v>
      </c>
      <c r="K243" s="198">
        <v>71045.539999999994</v>
      </c>
    </row>
    <row r="244" spans="3:11" x14ac:dyDescent="0.2">
      <c r="C244" s="201" t="s">
        <v>15473</v>
      </c>
      <c r="D244" s="200">
        <v>44354</v>
      </c>
      <c r="E244" s="199" t="s">
        <v>15472</v>
      </c>
      <c r="I244" s="198">
        <v>31.07</v>
      </c>
      <c r="K244" s="198">
        <v>71076.61</v>
      </c>
    </row>
    <row r="245" spans="3:11" x14ac:dyDescent="0.2">
      <c r="C245" s="201" t="s">
        <v>15471</v>
      </c>
      <c r="D245" s="200">
        <v>44354</v>
      </c>
      <c r="E245" s="199" t="s">
        <v>15470</v>
      </c>
      <c r="I245" s="198">
        <v>6.27</v>
      </c>
      <c r="K245" s="198">
        <v>71082.880000000005</v>
      </c>
    </row>
    <row r="246" spans="3:11" x14ac:dyDescent="0.2">
      <c r="C246" s="201" t="s">
        <v>15469</v>
      </c>
      <c r="D246" s="200">
        <v>44354</v>
      </c>
      <c r="E246" s="199" t="s">
        <v>15468</v>
      </c>
      <c r="I246" s="198">
        <v>2.0499999999999998</v>
      </c>
      <c r="K246" s="198">
        <v>71084.929999999993</v>
      </c>
    </row>
    <row r="247" spans="3:11" x14ac:dyDescent="0.2">
      <c r="C247" s="201" t="s">
        <v>15467</v>
      </c>
      <c r="D247" s="200">
        <v>44354</v>
      </c>
      <c r="E247" s="199" t="s">
        <v>15466</v>
      </c>
      <c r="I247" s="198">
        <v>1.03</v>
      </c>
      <c r="K247" s="198">
        <v>71085.960000000006</v>
      </c>
    </row>
    <row r="248" spans="3:11" x14ac:dyDescent="0.2">
      <c r="C248" s="201" t="s">
        <v>15465</v>
      </c>
      <c r="D248" s="200">
        <v>44354</v>
      </c>
      <c r="E248" s="199" t="s">
        <v>15464</v>
      </c>
      <c r="I248" s="198">
        <v>1.74</v>
      </c>
      <c r="K248" s="198">
        <v>71087.7</v>
      </c>
    </row>
    <row r="249" spans="3:11" x14ac:dyDescent="0.2">
      <c r="C249" s="201" t="s">
        <v>15463</v>
      </c>
      <c r="D249" s="200">
        <v>44354</v>
      </c>
      <c r="E249" s="199" t="s">
        <v>15462</v>
      </c>
      <c r="I249" s="198">
        <v>11.5</v>
      </c>
      <c r="K249" s="198">
        <v>71099.199999999997</v>
      </c>
    </row>
    <row r="250" spans="3:11" x14ac:dyDescent="0.2">
      <c r="C250" s="201" t="s">
        <v>15461</v>
      </c>
      <c r="D250" s="200">
        <v>44354</v>
      </c>
      <c r="E250" s="199" t="s">
        <v>15460</v>
      </c>
      <c r="I250" s="198">
        <v>2.65</v>
      </c>
      <c r="K250" s="198">
        <v>71101.850000000006</v>
      </c>
    </row>
    <row r="251" spans="3:11" x14ac:dyDescent="0.2">
      <c r="C251" s="201" t="s">
        <v>15459</v>
      </c>
      <c r="D251" s="200">
        <v>44354</v>
      </c>
      <c r="E251" s="199" t="s">
        <v>15458</v>
      </c>
      <c r="I251" s="198">
        <v>7.83</v>
      </c>
      <c r="K251" s="198">
        <v>71109.679999999993</v>
      </c>
    </row>
    <row r="252" spans="3:11" x14ac:dyDescent="0.2">
      <c r="C252" s="201" t="s">
        <v>15457</v>
      </c>
      <c r="D252" s="200">
        <v>44354</v>
      </c>
      <c r="E252" s="199" t="s">
        <v>15456</v>
      </c>
      <c r="I252" s="198">
        <v>16.079999999999998</v>
      </c>
      <c r="K252" s="198">
        <v>71125.759999999995</v>
      </c>
    </row>
    <row r="253" spans="3:11" x14ac:dyDescent="0.2">
      <c r="C253" s="201" t="s">
        <v>15455</v>
      </c>
      <c r="D253" s="200">
        <v>44354</v>
      </c>
      <c r="E253" s="199" t="s">
        <v>15454</v>
      </c>
      <c r="I253" s="198">
        <v>1.68</v>
      </c>
      <c r="K253" s="198">
        <v>71127.44</v>
      </c>
    </row>
    <row r="254" spans="3:11" x14ac:dyDescent="0.2">
      <c r="C254" s="201" t="s">
        <v>15453</v>
      </c>
      <c r="D254" s="200">
        <v>44354</v>
      </c>
      <c r="E254" s="199" t="s">
        <v>15452</v>
      </c>
      <c r="I254" s="198">
        <v>1.68</v>
      </c>
      <c r="K254" s="198">
        <v>71129.119999999995</v>
      </c>
    </row>
    <row r="255" spans="3:11" x14ac:dyDescent="0.2">
      <c r="C255" s="201" t="s">
        <v>15451</v>
      </c>
      <c r="D255" s="200">
        <v>44354</v>
      </c>
      <c r="E255" s="199" t="s">
        <v>15450</v>
      </c>
      <c r="I255" s="198">
        <v>8.3800000000000008</v>
      </c>
      <c r="K255" s="198">
        <v>71137.5</v>
      </c>
    </row>
    <row r="256" spans="3:11" x14ac:dyDescent="0.2">
      <c r="C256" s="201" t="s">
        <v>15449</v>
      </c>
      <c r="D256" s="200">
        <v>44354</v>
      </c>
      <c r="E256" s="199" t="s">
        <v>15448</v>
      </c>
      <c r="I256" s="198">
        <v>12.08</v>
      </c>
      <c r="K256" s="198">
        <v>71149.58</v>
      </c>
    </row>
    <row r="257" spans="3:11" x14ac:dyDescent="0.2">
      <c r="C257" s="201" t="s">
        <v>15447</v>
      </c>
      <c r="D257" s="200">
        <v>44354</v>
      </c>
      <c r="E257" s="199" t="s">
        <v>15446</v>
      </c>
      <c r="I257" s="198">
        <v>2.7</v>
      </c>
      <c r="K257" s="198">
        <v>71152.28</v>
      </c>
    </row>
    <row r="258" spans="3:11" x14ac:dyDescent="0.2">
      <c r="C258" s="201" t="s">
        <v>15445</v>
      </c>
      <c r="D258" s="200">
        <v>44355</v>
      </c>
      <c r="E258" s="199" t="s">
        <v>15444</v>
      </c>
      <c r="I258" s="198">
        <v>5.04</v>
      </c>
      <c r="K258" s="198">
        <v>71157.320000000007</v>
      </c>
    </row>
    <row r="259" spans="3:11" x14ac:dyDescent="0.2">
      <c r="C259" s="201" t="s">
        <v>15443</v>
      </c>
      <c r="D259" s="200">
        <v>44355</v>
      </c>
      <c r="E259" s="199" t="s">
        <v>15442</v>
      </c>
      <c r="I259" s="198">
        <v>6.82</v>
      </c>
      <c r="K259" s="198">
        <v>71164.14</v>
      </c>
    </row>
    <row r="260" spans="3:11" x14ac:dyDescent="0.2">
      <c r="C260" s="201" t="s">
        <v>15441</v>
      </c>
      <c r="D260" s="200">
        <v>44355</v>
      </c>
      <c r="E260" s="199" t="s">
        <v>15440</v>
      </c>
      <c r="I260" s="198">
        <v>3.42</v>
      </c>
      <c r="K260" s="198">
        <v>71167.56</v>
      </c>
    </row>
    <row r="261" spans="3:11" x14ac:dyDescent="0.2">
      <c r="C261" s="201" t="s">
        <v>15439</v>
      </c>
      <c r="D261" s="200">
        <v>44355</v>
      </c>
      <c r="E261" s="199" t="s">
        <v>15438</v>
      </c>
      <c r="I261" s="198">
        <v>5.59</v>
      </c>
      <c r="K261" s="198">
        <v>71173.149999999994</v>
      </c>
    </row>
    <row r="262" spans="3:11" x14ac:dyDescent="0.2">
      <c r="C262" s="201" t="s">
        <v>15437</v>
      </c>
      <c r="D262" s="200">
        <v>44355</v>
      </c>
      <c r="E262" s="199" t="s">
        <v>15436</v>
      </c>
      <c r="I262" s="198">
        <v>6.38</v>
      </c>
      <c r="K262" s="198">
        <v>71179.53</v>
      </c>
    </row>
    <row r="263" spans="3:11" x14ac:dyDescent="0.2">
      <c r="C263" s="201" t="s">
        <v>15435</v>
      </c>
      <c r="D263" s="200">
        <v>44355</v>
      </c>
      <c r="E263" s="199" t="s">
        <v>15434</v>
      </c>
      <c r="I263" s="198">
        <v>7.41</v>
      </c>
      <c r="K263" s="198">
        <v>71186.94</v>
      </c>
    </row>
    <row r="264" spans="3:11" x14ac:dyDescent="0.2">
      <c r="C264" s="201" t="s">
        <v>15433</v>
      </c>
      <c r="D264" s="200">
        <v>44355</v>
      </c>
      <c r="E264" s="199" t="s">
        <v>15432</v>
      </c>
      <c r="I264" s="198">
        <v>5.04</v>
      </c>
      <c r="K264" s="198">
        <v>71191.98</v>
      </c>
    </row>
    <row r="265" spans="3:11" x14ac:dyDescent="0.2">
      <c r="C265" s="201" t="s">
        <v>15431</v>
      </c>
      <c r="D265" s="200">
        <v>44355</v>
      </c>
      <c r="E265" s="199" t="s">
        <v>15430</v>
      </c>
      <c r="I265" s="198">
        <v>1.68</v>
      </c>
      <c r="K265" s="198">
        <v>71193.66</v>
      </c>
    </row>
    <row r="266" spans="3:11" x14ac:dyDescent="0.2">
      <c r="C266" s="201" t="s">
        <v>15429</v>
      </c>
      <c r="D266" s="200">
        <v>44355</v>
      </c>
      <c r="E266" s="199" t="s">
        <v>15428</v>
      </c>
      <c r="I266" s="198">
        <v>4.13</v>
      </c>
      <c r="K266" s="198">
        <v>71197.789999999994</v>
      </c>
    </row>
    <row r="267" spans="3:11" x14ac:dyDescent="0.2">
      <c r="C267" s="201" t="s">
        <v>15427</v>
      </c>
      <c r="D267" s="200">
        <v>44355</v>
      </c>
      <c r="E267" s="199" t="s">
        <v>15426</v>
      </c>
      <c r="I267" s="198">
        <v>0.26</v>
      </c>
      <c r="K267" s="198">
        <v>71198.05</v>
      </c>
    </row>
    <row r="268" spans="3:11" x14ac:dyDescent="0.2">
      <c r="C268" s="201" t="s">
        <v>15425</v>
      </c>
      <c r="D268" s="200">
        <v>44355</v>
      </c>
      <c r="E268" s="199" t="s">
        <v>15424</v>
      </c>
      <c r="I268" s="198">
        <v>7.1</v>
      </c>
      <c r="K268" s="198">
        <v>71205.149999999994</v>
      </c>
    </row>
    <row r="269" spans="3:11" x14ac:dyDescent="0.2">
      <c r="C269" s="201" t="s">
        <v>15423</v>
      </c>
      <c r="D269" s="200">
        <v>44355</v>
      </c>
      <c r="E269" s="199" t="s">
        <v>15422</v>
      </c>
      <c r="I269" s="198">
        <v>1.86</v>
      </c>
      <c r="K269" s="198">
        <v>71207.009999999995</v>
      </c>
    </row>
    <row r="270" spans="3:11" x14ac:dyDescent="0.2">
      <c r="C270" s="201" t="s">
        <v>15421</v>
      </c>
      <c r="D270" s="200">
        <v>44355</v>
      </c>
      <c r="E270" s="199" t="s">
        <v>15420</v>
      </c>
      <c r="I270" s="198">
        <v>12.82</v>
      </c>
      <c r="K270" s="198">
        <v>71219.83</v>
      </c>
    </row>
    <row r="271" spans="3:11" x14ac:dyDescent="0.2">
      <c r="C271" s="201" t="s">
        <v>15419</v>
      </c>
      <c r="D271" s="200">
        <v>44355</v>
      </c>
      <c r="E271" s="199" t="s">
        <v>15418</v>
      </c>
      <c r="I271" s="198">
        <v>4.25</v>
      </c>
      <c r="K271" s="198">
        <v>71224.08</v>
      </c>
    </row>
    <row r="272" spans="3:11" x14ac:dyDescent="0.2">
      <c r="C272" s="201" t="s">
        <v>15417</v>
      </c>
      <c r="D272" s="200">
        <v>44355</v>
      </c>
      <c r="E272" s="199" t="s">
        <v>15416</v>
      </c>
      <c r="I272" s="198">
        <v>9.16</v>
      </c>
      <c r="K272" s="198">
        <v>71233.240000000005</v>
      </c>
    </row>
    <row r="273" spans="3:11" x14ac:dyDescent="0.2">
      <c r="C273" s="201" t="s">
        <v>15415</v>
      </c>
      <c r="D273" s="200">
        <v>44355</v>
      </c>
      <c r="E273" s="199" t="s">
        <v>15414</v>
      </c>
      <c r="I273" s="198">
        <v>1.97</v>
      </c>
      <c r="K273" s="198">
        <v>71235.210000000006</v>
      </c>
    </row>
    <row r="274" spans="3:11" x14ac:dyDescent="0.2">
      <c r="C274" s="201" t="s">
        <v>15413</v>
      </c>
      <c r="D274" s="200">
        <v>44355</v>
      </c>
      <c r="E274" s="199" t="s">
        <v>15412</v>
      </c>
      <c r="I274" s="198">
        <v>15.3</v>
      </c>
      <c r="K274" s="198">
        <v>71250.509999999995</v>
      </c>
    </row>
    <row r="275" spans="3:11" x14ac:dyDescent="0.2">
      <c r="C275" s="201" t="s">
        <v>15411</v>
      </c>
      <c r="D275" s="200">
        <v>44355</v>
      </c>
      <c r="E275" s="199" t="s">
        <v>15410</v>
      </c>
      <c r="I275" s="198">
        <v>10.7</v>
      </c>
      <c r="K275" s="198">
        <v>71261.210000000006</v>
      </c>
    </row>
    <row r="276" spans="3:11" x14ac:dyDescent="0.2">
      <c r="C276" s="201" t="s">
        <v>15409</v>
      </c>
      <c r="D276" s="200">
        <v>44355</v>
      </c>
      <c r="E276" s="199" t="s">
        <v>15408</v>
      </c>
      <c r="I276" s="198">
        <v>3.81</v>
      </c>
      <c r="K276" s="198">
        <v>71265.02</v>
      </c>
    </row>
    <row r="277" spans="3:11" x14ac:dyDescent="0.2">
      <c r="C277" s="201" t="s">
        <v>15407</v>
      </c>
      <c r="D277" s="200">
        <v>44355</v>
      </c>
      <c r="E277" s="199" t="s">
        <v>15406</v>
      </c>
      <c r="I277" s="198">
        <v>0.92</v>
      </c>
      <c r="K277" s="198">
        <v>71265.94</v>
      </c>
    </row>
    <row r="278" spans="3:11" x14ac:dyDescent="0.2">
      <c r="C278" s="201" t="s">
        <v>15405</v>
      </c>
      <c r="D278" s="200">
        <v>44355</v>
      </c>
      <c r="E278" s="199" t="s">
        <v>15404</v>
      </c>
      <c r="I278" s="198">
        <v>2.78</v>
      </c>
      <c r="K278" s="198">
        <v>71268.72</v>
      </c>
    </row>
    <row r="279" spans="3:11" x14ac:dyDescent="0.2">
      <c r="C279" s="201" t="s">
        <v>15403</v>
      </c>
      <c r="D279" s="200">
        <v>44355</v>
      </c>
      <c r="E279" s="199" t="s">
        <v>15402</v>
      </c>
      <c r="I279" s="198">
        <v>16.87</v>
      </c>
      <c r="K279" s="198">
        <v>71285.59</v>
      </c>
    </row>
    <row r="280" spans="3:11" x14ac:dyDescent="0.2">
      <c r="C280" s="201" t="s">
        <v>15401</v>
      </c>
      <c r="D280" s="200">
        <v>44355</v>
      </c>
      <c r="E280" s="199" t="s">
        <v>15400</v>
      </c>
      <c r="I280" s="198">
        <v>5.36</v>
      </c>
      <c r="K280" s="198">
        <v>71290.95</v>
      </c>
    </row>
    <row r="281" spans="3:11" x14ac:dyDescent="0.2">
      <c r="C281" s="201" t="s">
        <v>15399</v>
      </c>
      <c r="D281" s="200">
        <v>44355</v>
      </c>
      <c r="E281" s="199" t="s">
        <v>15398</v>
      </c>
      <c r="I281" s="198">
        <v>7.05</v>
      </c>
      <c r="K281" s="198">
        <v>71298</v>
      </c>
    </row>
    <row r="282" spans="3:11" x14ac:dyDescent="0.2">
      <c r="C282" s="201" t="s">
        <v>15397</v>
      </c>
      <c r="D282" s="200">
        <v>44355</v>
      </c>
      <c r="E282" s="199" t="s">
        <v>15396</v>
      </c>
      <c r="I282" s="198">
        <v>12.39</v>
      </c>
      <c r="K282" s="198">
        <v>71310.39</v>
      </c>
    </row>
    <row r="283" spans="3:11" x14ac:dyDescent="0.2">
      <c r="C283" s="201" t="s">
        <v>15395</v>
      </c>
      <c r="D283" s="200">
        <v>44355</v>
      </c>
      <c r="E283" s="199" t="s">
        <v>15394</v>
      </c>
      <c r="I283" s="198">
        <v>5</v>
      </c>
      <c r="K283" s="198">
        <v>71315.39</v>
      </c>
    </row>
    <row r="284" spans="3:11" x14ac:dyDescent="0.2">
      <c r="C284" s="201" t="s">
        <v>15393</v>
      </c>
      <c r="D284" s="200">
        <v>44355</v>
      </c>
      <c r="E284" s="199" t="s">
        <v>15392</v>
      </c>
      <c r="I284" s="198">
        <v>16</v>
      </c>
      <c r="K284" s="198">
        <v>71331.39</v>
      </c>
    </row>
    <row r="285" spans="3:11" x14ac:dyDescent="0.2">
      <c r="C285" s="201" t="s">
        <v>15391</v>
      </c>
      <c r="D285" s="200">
        <v>44355</v>
      </c>
      <c r="E285" s="199" t="s">
        <v>15390</v>
      </c>
      <c r="I285" s="198">
        <v>1.29</v>
      </c>
      <c r="K285" s="198">
        <v>71332.679999999993</v>
      </c>
    </row>
    <row r="286" spans="3:11" x14ac:dyDescent="0.2">
      <c r="C286" s="201" t="s">
        <v>15389</v>
      </c>
      <c r="D286" s="200">
        <v>44355</v>
      </c>
      <c r="E286" s="199" t="s">
        <v>15388</v>
      </c>
      <c r="I286" s="198">
        <v>1.43</v>
      </c>
      <c r="K286" s="198">
        <v>71334.11</v>
      </c>
    </row>
    <row r="287" spans="3:11" x14ac:dyDescent="0.2">
      <c r="C287" s="201" t="s">
        <v>15387</v>
      </c>
      <c r="D287" s="200">
        <v>44355</v>
      </c>
      <c r="E287" s="199" t="s">
        <v>15386</v>
      </c>
      <c r="I287" s="198">
        <v>1.81</v>
      </c>
      <c r="K287" s="198">
        <v>71335.92</v>
      </c>
    </row>
    <row r="288" spans="3:11" x14ac:dyDescent="0.2">
      <c r="C288" s="201" t="s">
        <v>15385</v>
      </c>
      <c r="D288" s="200">
        <v>44355</v>
      </c>
      <c r="E288" s="199" t="s">
        <v>15384</v>
      </c>
      <c r="I288" s="198">
        <v>10.14</v>
      </c>
      <c r="K288" s="198">
        <v>71346.06</v>
      </c>
    </row>
    <row r="289" spans="3:11" x14ac:dyDescent="0.2">
      <c r="C289" s="201" t="s">
        <v>15383</v>
      </c>
      <c r="D289" s="200">
        <v>44355</v>
      </c>
      <c r="E289" s="199" t="s">
        <v>15382</v>
      </c>
      <c r="I289" s="198">
        <v>2.21</v>
      </c>
      <c r="K289" s="198">
        <v>71348.27</v>
      </c>
    </row>
    <row r="290" spans="3:11" x14ac:dyDescent="0.2">
      <c r="C290" s="201" t="s">
        <v>15381</v>
      </c>
      <c r="D290" s="200">
        <v>44355</v>
      </c>
      <c r="E290" s="199" t="s">
        <v>15380</v>
      </c>
      <c r="I290" s="198">
        <v>14.52</v>
      </c>
      <c r="K290" s="198">
        <v>71362.789999999994</v>
      </c>
    </row>
    <row r="291" spans="3:11" x14ac:dyDescent="0.2">
      <c r="C291" s="201" t="s">
        <v>15379</v>
      </c>
      <c r="D291" s="200">
        <v>44355</v>
      </c>
      <c r="E291" s="199" t="s">
        <v>15378</v>
      </c>
      <c r="I291" s="198">
        <v>5</v>
      </c>
      <c r="K291" s="198">
        <v>71367.789999999994</v>
      </c>
    </row>
    <row r="292" spans="3:11" x14ac:dyDescent="0.2">
      <c r="C292" s="201" t="s">
        <v>15377</v>
      </c>
      <c r="D292" s="200">
        <v>44355</v>
      </c>
      <c r="E292" s="199" t="s">
        <v>15376</v>
      </c>
      <c r="I292" s="198">
        <v>6.84</v>
      </c>
      <c r="K292" s="198">
        <v>71374.63</v>
      </c>
    </row>
    <row r="293" spans="3:11" x14ac:dyDescent="0.2">
      <c r="C293" s="201" t="s">
        <v>15375</v>
      </c>
      <c r="D293" s="200">
        <v>44355</v>
      </c>
      <c r="E293" s="199" t="s">
        <v>15374</v>
      </c>
      <c r="I293" s="198">
        <v>3.36</v>
      </c>
      <c r="K293" s="198">
        <v>71377.990000000005</v>
      </c>
    </row>
    <row r="294" spans="3:11" x14ac:dyDescent="0.2">
      <c r="C294" s="201" t="s">
        <v>15373</v>
      </c>
      <c r="D294" s="200">
        <v>44355</v>
      </c>
      <c r="E294" s="199" t="s">
        <v>15372</v>
      </c>
      <c r="I294" s="198">
        <v>97.75</v>
      </c>
      <c r="K294" s="198">
        <v>71475.740000000005</v>
      </c>
    </row>
    <row r="295" spans="3:11" x14ac:dyDescent="0.2">
      <c r="C295" s="201" t="s">
        <v>15371</v>
      </c>
      <c r="D295" s="200">
        <v>44355</v>
      </c>
      <c r="E295" s="199" t="s">
        <v>15370</v>
      </c>
      <c r="I295" s="198">
        <v>5.15</v>
      </c>
      <c r="K295" s="198">
        <v>71480.89</v>
      </c>
    </row>
    <row r="296" spans="3:11" x14ac:dyDescent="0.2">
      <c r="C296" s="201" t="s">
        <v>15369</v>
      </c>
      <c r="D296" s="200">
        <v>44355</v>
      </c>
      <c r="E296" s="199" t="s">
        <v>15368</v>
      </c>
      <c r="I296" s="198">
        <v>5.04</v>
      </c>
      <c r="K296" s="198">
        <v>71485.929999999993</v>
      </c>
    </row>
    <row r="297" spans="3:11" x14ac:dyDescent="0.2">
      <c r="C297" s="201" t="s">
        <v>15367</v>
      </c>
      <c r="D297" s="200">
        <v>44355</v>
      </c>
      <c r="E297" s="199" t="s">
        <v>15366</v>
      </c>
      <c r="I297" s="198">
        <v>6.25</v>
      </c>
      <c r="K297" s="198">
        <v>71492.179999999993</v>
      </c>
    </row>
    <row r="298" spans="3:11" x14ac:dyDescent="0.2">
      <c r="C298" s="201" t="s">
        <v>12308</v>
      </c>
      <c r="D298" s="200">
        <v>44355</v>
      </c>
      <c r="E298" s="199" t="s">
        <v>20198</v>
      </c>
      <c r="J298" s="222">
        <v>1000</v>
      </c>
      <c r="K298" s="198">
        <v>70492.179999999993</v>
      </c>
    </row>
    <row r="299" spans="3:11" x14ac:dyDescent="0.2">
      <c r="C299" s="201" t="s">
        <v>15365</v>
      </c>
      <c r="D299" s="200">
        <v>44356</v>
      </c>
      <c r="E299" s="199" t="s">
        <v>15364</v>
      </c>
      <c r="I299" s="198">
        <v>4.82</v>
      </c>
      <c r="K299" s="198">
        <v>70497</v>
      </c>
    </row>
    <row r="300" spans="3:11" x14ac:dyDescent="0.2">
      <c r="C300" s="201" t="s">
        <v>15363</v>
      </c>
      <c r="D300" s="200">
        <v>44356</v>
      </c>
      <c r="E300" s="199" t="s">
        <v>15362</v>
      </c>
      <c r="I300" s="198">
        <v>9.3800000000000008</v>
      </c>
      <c r="K300" s="198">
        <v>70506.38</v>
      </c>
    </row>
    <row r="301" spans="3:11" x14ac:dyDescent="0.2">
      <c r="C301" s="201" t="s">
        <v>15361</v>
      </c>
      <c r="D301" s="200">
        <v>44356</v>
      </c>
      <c r="E301" s="199" t="s">
        <v>15360</v>
      </c>
      <c r="I301" s="198">
        <v>4.9800000000000004</v>
      </c>
      <c r="K301" s="198">
        <v>70511.360000000001</v>
      </c>
    </row>
    <row r="302" spans="3:11" x14ac:dyDescent="0.2">
      <c r="C302" s="201" t="s">
        <v>15359</v>
      </c>
      <c r="D302" s="200">
        <v>44356</v>
      </c>
      <c r="E302" s="199" t="s">
        <v>15358</v>
      </c>
      <c r="I302" s="198">
        <v>4.7</v>
      </c>
      <c r="K302" s="198">
        <v>70516.06</v>
      </c>
    </row>
    <row r="303" spans="3:11" x14ac:dyDescent="0.2">
      <c r="C303" s="201" t="s">
        <v>15357</v>
      </c>
      <c r="D303" s="200">
        <v>44356</v>
      </c>
      <c r="E303" s="199" t="s">
        <v>15356</v>
      </c>
      <c r="I303" s="198">
        <v>6.08</v>
      </c>
      <c r="K303" s="198">
        <v>70522.14</v>
      </c>
    </row>
    <row r="304" spans="3:11" x14ac:dyDescent="0.2">
      <c r="C304" s="201" t="s">
        <v>15355</v>
      </c>
      <c r="D304" s="200">
        <v>44356</v>
      </c>
      <c r="E304" s="199" t="s">
        <v>15354</v>
      </c>
      <c r="I304" s="198">
        <v>12.91</v>
      </c>
      <c r="K304" s="198">
        <v>70535.05</v>
      </c>
    </row>
    <row r="305" spans="3:11" x14ac:dyDescent="0.2">
      <c r="C305" s="201" t="s">
        <v>15353</v>
      </c>
      <c r="D305" s="200">
        <v>44356</v>
      </c>
      <c r="E305" s="199" t="s">
        <v>15352</v>
      </c>
      <c r="I305" s="198">
        <v>2.61</v>
      </c>
      <c r="K305" s="198">
        <v>70537.66</v>
      </c>
    </row>
    <row r="306" spans="3:11" x14ac:dyDescent="0.2">
      <c r="C306" s="201" t="s">
        <v>15351</v>
      </c>
      <c r="D306" s="200">
        <v>44356</v>
      </c>
      <c r="E306" s="199" t="s">
        <v>15350</v>
      </c>
      <c r="I306" s="198">
        <v>19.43</v>
      </c>
      <c r="K306" s="198">
        <v>70557.09</v>
      </c>
    </row>
    <row r="307" spans="3:11" x14ac:dyDescent="0.2">
      <c r="C307" s="201" t="s">
        <v>15349</v>
      </c>
      <c r="D307" s="200">
        <v>44356</v>
      </c>
      <c r="E307" s="199" t="s">
        <v>15348</v>
      </c>
      <c r="I307" s="198">
        <v>24.54</v>
      </c>
      <c r="K307" s="198">
        <v>70581.63</v>
      </c>
    </row>
    <row r="308" spans="3:11" x14ac:dyDescent="0.2">
      <c r="C308" s="201" t="s">
        <v>15347</v>
      </c>
      <c r="D308" s="200">
        <v>44356</v>
      </c>
      <c r="E308" s="199" t="s">
        <v>15346</v>
      </c>
      <c r="I308" s="198">
        <v>6.24</v>
      </c>
      <c r="K308" s="198">
        <v>70587.87</v>
      </c>
    </row>
    <row r="309" spans="3:11" x14ac:dyDescent="0.2">
      <c r="C309" s="201" t="s">
        <v>15345</v>
      </c>
      <c r="D309" s="200">
        <v>44356</v>
      </c>
      <c r="E309" s="199" t="s">
        <v>15344</v>
      </c>
      <c r="I309" s="198">
        <v>4.8099999999999996</v>
      </c>
      <c r="K309" s="198">
        <v>70592.679999999993</v>
      </c>
    </row>
    <row r="310" spans="3:11" x14ac:dyDescent="0.2">
      <c r="C310" s="201" t="s">
        <v>15343</v>
      </c>
      <c r="D310" s="200">
        <v>44356</v>
      </c>
      <c r="E310" s="199" t="s">
        <v>15342</v>
      </c>
      <c r="I310" s="198">
        <v>2.88</v>
      </c>
      <c r="K310" s="198">
        <v>70595.56</v>
      </c>
    </row>
    <row r="311" spans="3:11" x14ac:dyDescent="0.2">
      <c r="C311" s="201" t="s">
        <v>15341</v>
      </c>
      <c r="D311" s="200">
        <v>44356</v>
      </c>
      <c r="E311" s="199" t="s">
        <v>15340</v>
      </c>
      <c r="I311" s="198">
        <v>11.83</v>
      </c>
      <c r="K311" s="198">
        <v>70607.39</v>
      </c>
    </row>
    <row r="312" spans="3:11" x14ac:dyDescent="0.2">
      <c r="C312" s="201" t="s">
        <v>15339</v>
      </c>
      <c r="D312" s="200">
        <v>44356</v>
      </c>
      <c r="E312" s="199" t="s">
        <v>15338</v>
      </c>
      <c r="I312" s="198">
        <v>2.9</v>
      </c>
      <c r="K312" s="198">
        <v>70610.289999999994</v>
      </c>
    </row>
    <row r="313" spans="3:11" x14ac:dyDescent="0.2">
      <c r="C313" s="201" t="s">
        <v>15337</v>
      </c>
      <c r="D313" s="200">
        <v>44356</v>
      </c>
      <c r="E313" s="199" t="s">
        <v>15336</v>
      </c>
      <c r="I313" s="198">
        <v>1.68</v>
      </c>
      <c r="K313" s="198">
        <v>70611.97</v>
      </c>
    </row>
    <row r="314" spans="3:11" x14ac:dyDescent="0.2">
      <c r="C314" s="201" t="s">
        <v>15335</v>
      </c>
      <c r="D314" s="200">
        <v>44356</v>
      </c>
      <c r="E314" s="199" t="s">
        <v>15334</v>
      </c>
      <c r="I314" s="198">
        <v>1.69</v>
      </c>
      <c r="K314" s="198">
        <v>70613.66</v>
      </c>
    </row>
    <row r="315" spans="3:11" x14ac:dyDescent="0.2">
      <c r="C315" s="201" t="s">
        <v>15333</v>
      </c>
      <c r="D315" s="200">
        <v>44356</v>
      </c>
      <c r="E315" s="199" t="s">
        <v>15332</v>
      </c>
      <c r="I315" s="198">
        <v>0.26</v>
      </c>
      <c r="K315" s="198">
        <v>70613.919999999998</v>
      </c>
    </row>
    <row r="316" spans="3:11" x14ac:dyDescent="0.2">
      <c r="C316" s="201" t="s">
        <v>15331</v>
      </c>
      <c r="D316" s="200">
        <v>44356</v>
      </c>
      <c r="E316" s="199" t="s">
        <v>15330</v>
      </c>
      <c r="I316" s="198">
        <v>3.19</v>
      </c>
      <c r="K316" s="198">
        <v>70617.11</v>
      </c>
    </row>
    <row r="317" spans="3:11" x14ac:dyDescent="0.2">
      <c r="C317" s="201" t="s">
        <v>15329</v>
      </c>
      <c r="D317" s="200">
        <v>44356</v>
      </c>
      <c r="E317" s="199" t="s">
        <v>15328</v>
      </c>
      <c r="I317" s="198">
        <v>5.07</v>
      </c>
      <c r="K317" s="198">
        <v>70622.179999999993</v>
      </c>
    </row>
    <row r="318" spans="3:11" x14ac:dyDescent="0.2">
      <c r="C318" s="201" t="s">
        <v>15327</v>
      </c>
      <c r="D318" s="200">
        <v>44356</v>
      </c>
      <c r="E318" s="199" t="s">
        <v>15326</v>
      </c>
      <c r="I318" s="198">
        <v>7.86</v>
      </c>
      <c r="K318" s="198">
        <v>70630.039999999994</v>
      </c>
    </row>
    <row r="319" spans="3:11" x14ac:dyDescent="0.2">
      <c r="C319" s="201" t="s">
        <v>15325</v>
      </c>
      <c r="D319" s="200">
        <v>44356</v>
      </c>
      <c r="E319" s="199" t="s">
        <v>15324</v>
      </c>
      <c r="I319" s="198">
        <v>1.94</v>
      </c>
      <c r="K319" s="198">
        <v>70631.98</v>
      </c>
    </row>
    <row r="320" spans="3:11" x14ac:dyDescent="0.2">
      <c r="C320" s="201" t="s">
        <v>15323</v>
      </c>
      <c r="D320" s="200">
        <v>44356</v>
      </c>
      <c r="E320" s="199" t="s">
        <v>15322</v>
      </c>
      <c r="I320" s="198">
        <v>12.71</v>
      </c>
      <c r="K320" s="198">
        <v>70644.69</v>
      </c>
    </row>
    <row r="321" spans="3:11" x14ac:dyDescent="0.2">
      <c r="C321" s="201" t="s">
        <v>15321</v>
      </c>
      <c r="D321" s="200">
        <v>44356</v>
      </c>
      <c r="E321" s="199" t="s">
        <v>15320</v>
      </c>
      <c r="I321" s="198">
        <v>6.38</v>
      </c>
      <c r="K321" s="198">
        <v>70651.070000000007</v>
      </c>
    </row>
    <row r="322" spans="3:11" x14ac:dyDescent="0.2">
      <c r="C322" s="201" t="s">
        <v>15319</v>
      </c>
      <c r="D322" s="200">
        <v>44356</v>
      </c>
      <c r="E322" s="199" t="s">
        <v>15318</v>
      </c>
      <c r="I322" s="198">
        <v>9.2799999999999994</v>
      </c>
      <c r="K322" s="198">
        <v>70660.350000000006</v>
      </c>
    </row>
    <row r="323" spans="3:11" x14ac:dyDescent="0.2">
      <c r="C323" s="201" t="s">
        <v>15317</v>
      </c>
      <c r="D323" s="200">
        <v>44356</v>
      </c>
      <c r="E323" s="199" t="s">
        <v>15316</v>
      </c>
      <c r="I323" s="198">
        <v>2.0499999999999998</v>
      </c>
      <c r="K323" s="198">
        <v>70662.399999999994</v>
      </c>
    </row>
    <row r="324" spans="3:11" x14ac:dyDescent="0.2">
      <c r="C324" s="201" t="s">
        <v>15315</v>
      </c>
      <c r="D324" s="200">
        <v>44356</v>
      </c>
      <c r="E324" s="199" t="s">
        <v>15314</v>
      </c>
      <c r="I324" s="198">
        <v>7</v>
      </c>
      <c r="K324" s="198">
        <v>70669.399999999994</v>
      </c>
    </row>
    <row r="325" spans="3:11" x14ac:dyDescent="0.2">
      <c r="C325" s="201" t="s">
        <v>15313</v>
      </c>
      <c r="D325" s="200">
        <v>44356</v>
      </c>
      <c r="E325" s="199" t="s">
        <v>15312</v>
      </c>
      <c r="I325" s="198">
        <v>8.1</v>
      </c>
      <c r="K325" s="198">
        <v>70677.5</v>
      </c>
    </row>
    <row r="326" spans="3:11" x14ac:dyDescent="0.2">
      <c r="C326" s="201" t="s">
        <v>15311</v>
      </c>
      <c r="D326" s="200">
        <v>44356</v>
      </c>
      <c r="E326" s="199" t="s">
        <v>15310</v>
      </c>
      <c r="I326" s="198">
        <v>101.24</v>
      </c>
      <c r="K326" s="198">
        <v>70778.740000000005</v>
      </c>
    </row>
    <row r="327" spans="3:11" x14ac:dyDescent="0.2">
      <c r="C327" s="201" t="s">
        <v>15309</v>
      </c>
      <c r="D327" s="200">
        <v>44356</v>
      </c>
      <c r="E327" s="199" t="s">
        <v>15308</v>
      </c>
      <c r="I327" s="198">
        <v>5.58</v>
      </c>
      <c r="K327" s="198">
        <v>70784.320000000007</v>
      </c>
    </row>
    <row r="328" spans="3:11" x14ac:dyDescent="0.2">
      <c r="C328" s="201" t="s">
        <v>15307</v>
      </c>
      <c r="D328" s="200">
        <v>44356</v>
      </c>
      <c r="E328" s="199" t="s">
        <v>15306</v>
      </c>
      <c r="I328" s="198">
        <v>0.01</v>
      </c>
      <c r="K328" s="198">
        <v>70784.33</v>
      </c>
    </row>
    <row r="329" spans="3:11" x14ac:dyDescent="0.2">
      <c r="C329" s="201" t="s">
        <v>15305</v>
      </c>
      <c r="D329" s="200">
        <v>44356</v>
      </c>
      <c r="E329" s="199" t="s">
        <v>15304</v>
      </c>
      <c r="I329" s="198">
        <v>1.84</v>
      </c>
      <c r="K329" s="198">
        <v>70786.17</v>
      </c>
    </row>
    <row r="330" spans="3:11" x14ac:dyDescent="0.2">
      <c r="C330" s="201" t="s">
        <v>15303</v>
      </c>
      <c r="D330" s="200">
        <v>44356</v>
      </c>
      <c r="E330" s="199" t="s">
        <v>15302</v>
      </c>
      <c r="I330" s="198">
        <v>1.68</v>
      </c>
      <c r="K330" s="198">
        <v>70787.850000000006</v>
      </c>
    </row>
    <row r="331" spans="3:11" x14ac:dyDescent="0.2">
      <c r="C331" s="201" t="s">
        <v>15301</v>
      </c>
      <c r="D331" s="200">
        <v>44356</v>
      </c>
      <c r="E331" s="199" t="s">
        <v>15300</v>
      </c>
      <c r="I331" s="198">
        <v>1.67</v>
      </c>
      <c r="K331" s="198">
        <v>70789.52</v>
      </c>
    </row>
    <row r="332" spans="3:11" x14ac:dyDescent="0.2">
      <c r="C332" s="201" t="s">
        <v>15299</v>
      </c>
      <c r="D332" s="200">
        <v>44356</v>
      </c>
      <c r="E332" s="199" t="s">
        <v>15298</v>
      </c>
      <c r="I332" s="198">
        <v>3.04</v>
      </c>
      <c r="K332" s="198">
        <v>70792.56</v>
      </c>
    </row>
    <row r="333" spans="3:11" x14ac:dyDescent="0.2">
      <c r="C333" s="201" t="s">
        <v>15297</v>
      </c>
      <c r="D333" s="200">
        <v>44356</v>
      </c>
      <c r="E333" s="199" t="s">
        <v>15296</v>
      </c>
      <c r="I333" s="198">
        <v>7.18</v>
      </c>
      <c r="K333" s="198">
        <v>70799.740000000005</v>
      </c>
    </row>
    <row r="334" spans="3:11" x14ac:dyDescent="0.2">
      <c r="C334" s="201" t="s">
        <v>15295</v>
      </c>
      <c r="D334" s="200">
        <v>44356</v>
      </c>
      <c r="E334" s="199" t="s">
        <v>15294</v>
      </c>
      <c r="I334" s="198">
        <v>5</v>
      </c>
      <c r="K334" s="198">
        <v>70804.740000000005</v>
      </c>
    </row>
    <row r="335" spans="3:11" x14ac:dyDescent="0.2">
      <c r="C335" s="201" t="s">
        <v>15293</v>
      </c>
      <c r="D335" s="200">
        <v>44356</v>
      </c>
      <c r="E335" s="199" t="s">
        <v>15292</v>
      </c>
      <c r="I335" s="198">
        <v>1.33</v>
      </c>
      <c r="K335" s="198">
        <v>70806.070000000007</v>
      </c>
    </row>
    <row r="336" spans="3:11" x14ac:dyDescent="0.2">
      <c r="C336" s="201" t="s">
        <v>15291</v>
      </c>
      <c r="D336" s="200">
        <v>44356</v>
      </c>
      <c r="E336" s="199" t="s">
        <v>15290</v>
      </c>
      <c r="I336" s="198">
        <v>1.94</v>
      </c>
      <c r="K336" s="198">
        <v>70808.009999999995</v>
      </c>
    </row>
    <row r="337" spans="3:11" x14ac:dyDescent="0.2">
      <c r="C337" s="201" t="s">
        <v>15289</v>
      </c>
      <c r="D337" s="200">
        <v>44356</v>
      </c>
      <c r="E337" s="199" t="s">
        <v>15288</v>
      </c>
      <c r="I337" s="198">
        <v>15.35</v>
      </c>
      <c r="K337" s="198">
        <v>70823.360000000001</v>
      </c>
    </row>
    <row r="338" spans="3:11" x14ac:dyDescent="0.2">
      <c r="C338" s="201" t="s">
        <v>15287</v>
      </c>
      <c r="D338" s="200">
        <v>44357</v>
      </c>
      <c r="E338" s="199" t="s">
        <v>15286</v>
      </c>
      <c r="I338" s="198">
        <v>2.2400000000000002</v>
      </c>
      <c r="K338" s="198">
        <v>70825.600000000006</v>
      </c>
    </row>
    <row r="339" spans="3:11" x14ac:dyDescent="0.2">
      <c r="C339" s="201" t="s">
        <v>15285</v>
      </c>
      <c r="D339" s="200">
        <v>44357</v>
      </c>
      <c r="E339" s="199" t="s">
        <v>15284</v>
      </c>
      <c r="I339" s="198">
        <v>3.36</v>
      </c>
      <c r="K339" s="198">
        <v>70828.960000000006</v>
      </c>
    </row>
    <row r="340" spans="3:11" x14ac:dyDescent="0.2">
      <c r="C340" s="201" t="s">
        <v>15283</v>
      </c>
      <c r="D340" s="200">
        <v>44357</v>
      </c>
      <c r="E340" s="199" t="s">
        <v>15282</v>
      </c>
      <c r="I340" s="198">
        <v>1.23</v>
      </c>
      <c r="K340" s="198">
        <v>70830.19</v>
      </c>
    </row>
    <row r="341" spans="3:11" x14ac:dyDescent="0.2">
      <c r="C341" s="201" t="s">
        <v>15281</v>
      </c>
      <c r="D341" s="200">
        <v>44357</v>
      </c>
      <c r="E341" s="199" t="s">
        <v>15280</v>
      </c>
      <c r="I341" s="198">
        <v>3.59</v>
      </c>
      <c r="K341" s="198">
        <v>70833.78</v>
      </c>
    </row>
    <row r="342" spans="3:11" x14ac:dyDescent="0.2">
      <c r="C342" s="201" t="s">
        <v>15279</v>
      </c>
      <c r="D342" s="200">
        <v>44357</v>
      </c>
      <c r="E342" s="199" t="s">
        <v>15278</v>
      </c>
      <c r="I342" s="198">
        <v>2.61</v>
      </c>
      <c r="K342" s="198">
        <v>70836.39</v>
      </c>
    </row>
    <row r="343" spans="3:11" x14ac:dyDescent="0.2">
      <c r="C343" s="201" t="s">
        <v>15277</v>
      </c>
      <c r="D343" s="200">
        <v>44357</v>
      </c>
      <c r="E343" s="199" t="s">
        <v>15276</v>
      </c>
      <c r="I343" s="198">
        <v>45.1</v>
      </c>
      <c r="K343" s="198">
        <v>70881.490000000005</v>
      </c>
    </row>
    <row r="344" spans="3:11" x14ac:dyDescent="0.2">
      <c r="C344" s="201" t="s">
        <v>15275</v>
      </c>
      <c r="D344" s="200">
        <v>44357</v>
      </c>
      <c r="E344" s="199" t="s">
        <v>15274</v>
      </c>
      <c r="I344" s="198">
        <v>14.39</v>
      </c>
      <c r="K344" s="198">
        <v>70895.88</v>
      </c>
    </row>
    <row r="345" spans="3:11" x14ac:dyDescent="0.2">
      <c r="C345" s="201" t="s">
        <v>15273</v>
      </c>
      <c r="D345" s="200">
        <v>44357</v>
      </c>
      <c r="E345" s="199" t="s">
        <v>15272</v>
      </c>
      <c r="I345" s="198">
        <v>3.36</v>
      </c>
      <c r="K345" s="198">
        <v>70899.240000000005</v>
      </c>
    </row>
    <row r="346" spans="3:11" x14ac:dyDescent="0.2">
      <c r="C346" s="201" t="s">
        <v>15271</v>
      </c>
      <c r="D346" s="200">
        <v>44357</v>
      </c>
      <c r="E346" s="199" t="s">
        <v>15270</v>
      </c>
      <c r="I346" s="198">
        <v>1.68</v>
      </c>
      <c r="K346" s="198">
        <v>70900.92</v>
      </c>
    </row>
    <row r="347" spans="3:11" x14ac:dyDescent="0.2">
      <c r="C347" s="201" t="s">
        <v>15269</v>
      </c>
      <c r="D347" s="200">
        <v>44357</v>
      </c>
      <c r="E347" s="199" t="s">
        <v>15268</v>
      </c>
      <c r="I347" s="198">
        <v>5.05</v>
      </c>
      <c r="K347" s="198">
        <v>70905.97</v>
      </c>
    </row>
    <row r="348" spans="3:11" x14ac:dyDescent="0.2">
      <c r="C348" s="201" t="s">
        <v>15267</v>
      </c>
      <c r="D348" s="200">
        <v>44357</v>
      </c>
      <c r="E348" s="199" t="s">
        <v>15266</v>
      </c>
      <c r="I348" s="198">
        <v>12.87</v>
      </c>
      <c r="K348" s="198">
        <v>70918.84</v>
      </c>
    </row>
    <row r="349" spans="3:11" x14ac:dyDescent="0.2">
      <c r="C349" s="201" t="s">
        <v>15265</v>
      </c>
      <c r="D349" s="200">
        <v>44357</v>
      </c>
      <c r="E349" s="199" t="s">
        <v>15264</v>
      </c>
      <c r="I349" s="198">
        <v>5.79</v>
      </c>
      <c r="K349" s="198">
        <v>70924.63</v>
      </c>
    </row>
    <row r="350" spans="3:11" x14ac:dyDescent="0.2">
      <c r="C350" s="201" t="s">
        <v>15263</v>
      </c>
      <c r="D350" s="200">
        <v>44357</v>
      </c>
      <c r="E350" s="199" t="s">
        <v>15262</v>
      </c>
      <c r="I350" s="198">
        <v>2.14</v>
      </c>
      <c r="K350" s="198">
        <v>70926.77</v>
      </c>
    </row>
    <row r="351" spans="3:11" x14ac:dyDescent="0.2">
      <c r="C351" s="201" t="s">
        <v>15261</v>
      </c>
      <c r="D351" s="200">
        <v>44357</v>
      </c>
      <c r="E351" s="199" t="s">
        <v>15260</v>
      </c>
      <c r="I351" s="198">
        <v>5.94</v>
      </c>
      <c r="K351" s="198">
        <v>70932.710000000006</v>
      </c>
    </row>
    <row r="352" spans="3:11" x14ac:dyDescent="0.2">
      <c r="C352" s="201" t="s">
        <v>15259</v>
      </c>
      <c r="D352" s="200">
        <v>44357</v>
      </c>
      <c r="E352" s="199" t="s">
        <v>15258</v>
      </c>
      <c r="I352" s="198">
        <v>7.72</v>
      </c>
      <c r="K352" s="198">
        <v>70940.429999999993</v>
      </c>
    </row>
    <row r="353" spans="3:11" x14ac:dyDescent="0.2">
      <c r="C353" s="201" t="s">
        <v>15257</v>
      </c>
      <c r="D353" s="200">
        <v>44357</v>
      </c>
      <c r="E353" s="199" t="s">
        <v>15256</v>
      </c>
      <c r="I353" s="198">
        <v>3.36</v>
      </c>
      <c r="K353" s="198">
        <v>70943.789999999994</v>
      </c>
    </row>
    <row r="354" spans="3:11" x14ac:dyDescent="0.2">
      <c r="C354" s="201" t="s">
        <v>15255</v>
      </c>
      <c r="D354" s="200">
        <v>44357</v>
      </c>
      <c r="E354" s="199" t="s">
        <v>15254</v>
      </c>
      <c r="I354" s="198">
        <v>6.09</v>
      </c>
      <c r="K354" s="198">
        <v>70949.88</v>
      </c>
    </row>
    <row r="355" spans="3:11" x14ac:dyDescent="0.2">
      <c r="C355" s="201" t="s">
        <v>15253</v>
      </c>
      <c r="D355" s="200">
        <v>44357</v>
      </c>
      <c r="E355" s="199" t="s">
        <v>15252</v>
      </c>
      <c r="I355" s="198">
        <v>36.85</v>
      </c>
      <c r="K355" s="198">
        <v>70986.73</v>
      </c>
    </row>
    <row r="356" spans="3:11" x14ac:dyDescent="0.2">
      <c r="C356" s="201" t="s">
        <v>15251</v>
      </c>
      <c r="D356" s="200">
        <v>44357</v>
      </c>
      <c r="E356" s="199" t="s">
        <v>15250</v>
      </c>
      <c r="I356" s="198">
        <v>8.3000000000000007</v>
      </c>
      <c r="K356" s="198">
        <v>70995.03</v>
      </c>
    </row>
    <row r="357" spans="3:11" x14ac:dyDescent="0.2">
      <c r="C357" s="201" t="s">
        <v>15249</v>
      </c>
      <c r="D357" s="200">
        <v>44357</v>
      </c>
      <c r="E357" s="199" t="s">
        <v>15248</v>
      </c>
      <c r="I357" s="198">
        <v>7.24</v>
      </c>
      <c r="K357" s="198">
        <v>71002.27</v>
      </c>
    </row>
    <row r="358" spans="3:11" x14ac:dyDescent="0.2">
      <c r="C358" s="201" t="s">
        <v>15247</v>
      </c>
      <c r="D358" s="200">
        <v>44357</v>
      </c>
      <c r="E358" s="199" t="s">
        <v>15246</v>
      </c>
      <c r="I358" s="198">
        <v>17.37</v>
      </c>
      <c r="K358" s="198">
        <v>71019.64</v>
      </c>
    </row>
    <row r="359" spans="3:11" x14ac:dyDescent="0.2">
      <c r="C359" s="201" t="s">
        <v>15245</v>
      </c>
      <c r="D359" s="200">
        <v>44357</v>
      </c>
      <c r="E359" s="199" t="s">
        <v>15244</v>
      </c>
      <c r="I359" s="198">
        <v>14.37</v>
      </c>
      <c r="K359" s="198">
        <v>71034.009999999995</v>
      </c>
    </row>
    <row r="360" spans="3:11" x14ac:dyDescent="0.2">
      <c r="C360" s="201" t="s">
        <v>15243</v>
      </c>
      <c r="D360" s="200">
        <v>44357</v>
      </c>
      <c r="E360" s="199" t="s">
        <v>15242</v>
      </c>
      <c r="I360" s="198">
        <v>1.68</v>
      </c>
      <c r="K360" s="198">
        <v>71035.69</v>
      </c>
    </row>
    <row r="361" spans="3:11" x14ac:dyDescent="0.2">
      <c r="C361" s="201" t="s">
        <v>15241</v>
      </c>
      <c r="D361" s="200">
        <v>44357</v>
      </c>
      <c r="E361" s="199" t="s">
        <v>15240</v>
      </c>
      <c r="I361" s="198">
        <v>4.32</v>
      </c>
      <c r="K361" s="198">
        <v>71040.009999999995</v>
      </c>
    </row>
    <row r="362" spans="3:11" x14ac:dyDescent="0.2">
      <c r="C362" s="201" t="s">
        <v>15239</v>
      </c>
      <c r="D362" s="200">
        <v>44357</v>
      </c>
      <c r="E362" s="199" t="s">
        <v>15238</v>
      </c>
      <c r="I362" s="198">
        <v>9.6</v>
      </c>
      <c r="K362" s="198">
        <v>71049.61</v>
      </c>
    </row>
    <row r="363" spans="3:11" x14ac:dyDescent="0.2">
      <c r="C363" s="201" t="s">
        <v>15237</v>
      </c>
      <c r="D363" s="200">
        <v>44357</v>
      </c>
      <c r="E363" s="199" t="s">
        <v>15236</v>
      </c>
      <c r="I363" s="198">
        <v>14.42</v>
      </c>
      <c r="K363" s="198">
        <v>71064.03</v>
      </c>
    </row>
    <row r="364" spans="3:11" x14ac:dyDescent="0.2">
      <c r="C364" s="201" t="s">
        <v>15235</v>
      </c>
      <c r="D364" s="200">
        <v>44357</v>
      </c>
      <c r="E364" s="199" t="s">
        <v>15234</v>
      </c>
      <c r="I364" s="198">
        <v>3.36</v>
      </c>
      <c r="K364" s="198">
        <v>71067.39</v>
      </c>
    </row>
    <row r="365" spans="3:11" x14ac:dyDescent="0.2">
      <c r="C365" s="201" t="s">
        <v>15233</v>
      </c>
      <c r="D365" s="200">
        <v>44357</v>
      </c>
      <c r="E365" s="199" t="s">
        <v>15232</v>
      </c>
      <c r="I365" s="198">
        <v>3.67</v>
      </c>
      <c r="K365" s="198">
        <v>71071.06</v>
      </c>
    </row>
    <row r="366" spans="3:11" x14ac:dyDescent="0.2">
      <c r="C366" s="201" t="s">
        <v>15231</v>
      </c>
      <c r="D366" s="200">
        <v>44357</v>
      </c>
      <c r="E366" s="199" t="s">
        <v>15230</v>
      </c>
      <c r="I366" s="198">
        <v>3.34</v>
      </c>
      <c r="K366" s="198">
        <v>71074.399999999994</v>
      </c>
    </row>
    <row r="367" spans="3:11" x14ac:dyDescent="0.2">
      <c r="C367" s="201" t="s">
        <v>15229</v>
      </c>
      <c r="D367" s="200">
        <v>44357</v>
      </c>
      <c r="E367" s="199" t="s">
        <v>15228</v>
      </c>
      <c r="I367" s="198">
        <v>14.62</v>
      </c>
      <c r="K367" s="198">
        <v>71089.02</v>
      </c>
    </row>
    <row r="368" spans="3:11" x14ac:dyDescent="0.2">
      <c r="C368" s="201" t="s">
        <v>15227</v>
      </c>
      <c r="D368" s="200">
        <v>44357</v>
      </c>
      <c r="E368" s="199" t="s">
        <v>15226</v>
      </c>
      <c r="I368" s="198">
        <v>5.62</v>
      </c>
      <c r="K368" s="198">
        <v>71094.64</v>
      </c>
    </row>
    <row r="369" spans="3:11" x14ac:dyDescent="0.2">
      <c r="C369" s="201" t="s">
        <v>15225</v>
      </c>
      <c r="D369" s="200">
        <v>44357</v>
      </c>
      <c r="E369" s="199" t="s">
        <v>15224</v>
      </c>
      <c r="I369" s="198">
        <v>10.34</v>
      </c>
      <c r="K369" s="198">
        <v>71104.98</v>
      </c>
    </row>
    <row r="370" spans="3:11" x14ac:dyDescent="0.2">
      <c r="C370" s="201" t="s">
        <v>15223</v>
      </c>
      <c r="D370" s="200">
        <v>44357</v>
      </c>
      <c r="E370" s="199" t="s">
        <v>15222</v>
      </c>
      <c r="I370" s="198">
        <v>9.0399999999999991</v>
      </c>
      <c r="K370" s="198">
        <v>71114.02</v>
      </c>
    </row>
    <row r="371" spans="3:11" x14ac:dyDescent="0.2">
      <c r="C371" s="201" t="s">
        <v>15221</v>
      </c>
      <c r="D371" s="200">
        <v>44357</v>
      </c>
      <c r="E371" s="199" t="s">
        <v>15220</v>
      </c>
      <c r="I371" s="198">
        <v>10.61</v>
      </c>
      <c r="K371" s="198">
        <v>71124.63</v>
      </c>
    </row>
    <row r="372" spans="3:11" x14ac:dyDescent="0.2">
      <c r="C372" s="201" t="s">
        <v>15219</v>
      </c>
      <c r="D372" s="200">
        <v>44357</v>
      </c>
      <c r="E372" s="199" t="s">
        <v>15218</v>
      </c>
      <c r="I372" s="198">
        <v>7.06</v>
      </c>
      <c r="K372" s="198">
        <v>71131.69</v>
      </c>
    </row>
    <row r="373" spans="3:11" x14ac:dyDescent="0.2">
      <c r="C373" s="201" t="s">
        <v>15217</v>
      </c>
      <c r="D373" s="200">
        <v>44357</v>
      </c>
      <c r="E373" s="199" t="s">
        <v>15216</v>
      </c>
      <c r="I373" s="198">
        <v>11.82</v>
      </c>
      <c r="K373" s="198">
        <v>71143.509999999995</v>
      </c>
    </row>
    <row r="374" spans="3:11" x14ac:dyDescent="0.2">
      <c r="C374" s="201" t="s">
        <v>15215</v>
      </c>
      <c r="D374" s="200">
        <v>44357</v>
      </c>
      <c r="E374" s="199" t="s">
        <v>15214</v>
      </c>
      <c r="I374" s="198">
        <v>1.57</v>
      </c>
      <c r="K374" s="198">
        <v>71145.08</v>
      </c>
    </row>
    <row r="375" spans="3:11" x14ac:dyDescent="0.2">
      <c r="C375" s="201" t="s">
        <v>15213</v>
      </c>
      <c r="D375" s="200">
        <v>44357</v>
      </c>
      <c r="E375" s="199" t="s">
        <v>15212</v>
      </c>
      <c r="I375" s="198">
        <v>7.21</v>
      </c>
      <c r="K375" s="198">
        <v>71152.289999999994</v>
      </c>
    </row>
    <row r="376" spans="3:11" x14ac:dyDescent="0.2">
      <c r="C376" s="201" t="s">
        <v>15211</v>
      </c>
      <c r="D376" s="200">
        <v>44357</v>
      </c>
      <c r="E376" s="199" t="s">
        <v>15210</v>
      </c>
      <c r="I376" s="198">
        <v>7.3</v>
      </c>
      <c r="K376" s="198">
        <v>71159.59</v>
      </c>
    </row>
    <row r="377" spans="3:11" x14ac:dyDescent="0.2">
      <c r="C377" s="201" t="s">
        <v>15209</v>
      </c>
      <c r="D377" s="200">
        <v>44357</v>
      </c>
      <c r="E377" s="199" t="s">
        <v>15208</v>
      </c>
      <c r="I377" s="198">
        <v>1.94</v>
      </c>
      <c r="K377" s="198">
        <v>71161.53</v>
      </c>
    </row>
    <row r="378" spans="3:11" x14ac:dyDescent="0.2">
      <c r="C378" s="201" t="s">
        <v>300</v>
      </c>
      <c r="D378" s="200">
        <v>44357</v>
      </c>
      <c r="E378" s="199" t="s">
        <v>15207</v>
      </c>
      <c r="J378" s="222">
        <v>1253.0999999999999</v>
      </c>
      <c r="K378" s="198">
        <v>69908.429999999993</v>
      </c>
    </row>
    <row r="379" spans="3:11" x14ac:dyDescent="0.2">
      <c r="C379" s="201" t="s">
        <v>15206</v>
      </c>
      <c r="D379" s="200">
        <v>44358</v>
      </c>
      <c r="E379" s="199" t="s">
        <v>15205</v>
      </c>
      <c r="I379" s="198">
        <v>3.53</v>
      </c>
      <c r="K379" s="198">
        <v>69911.960000000006</v>
      </c>
    </row>
    <row r="380" spans="3:11" x14ac:dyDescent="0.2">
      <c r="C380" s="201" t="s">
        <v>15204</v>
      </c>
      <c r="D380" s="200">
        <v>44358</v>
      </c>
      <c r="E380" s="199" t="s">
        <v>15203</v>
      </c>
      <c r="I380" s="198">
        <v>7.28</v>
      </c>
      <c r="K380" s="198">
        <v>69919.240000000005</v>
      </c>
    </row>
    <row r="381" spans="3:11" x14ac:dyDescent="0.2">
      <c r="C381" s="201" t="s">
        <v>15202</v>
      </c>
      <c r="D381" s="200">
        <v>44358</v>
      </c>
      <c r="E381" s="199" t="s">
        <v>15201</v>
      </c>
      <c r="I381" s="198">
        <v>0.75</v>
      </c>
      <c r="K381" s="198">
        <v>69919.990000000005</v>
      </c>
    </row>
    <row r="382" spans="3:11" x14ac:dyDescent="0.2">
      <c r="C382" s="201" t="s">
        <v>15200</v>
      </c>
      <c r="D382" s="200">
        <v>44358</v>
      </c>
      <c r="E382" s="199" t="s">
        <v>15199</v>
      </c>
      <c r="I382" s="198">
        <v>7.42</v>
      </c>
      <c r="K382" s="198">
        <v>69927.41</v>
      </c>
    </row>
    <row r="383" spans="3:11" x14ac:dyDescent="0.2">
      <c r="C383" s="201" t="s">
        <v>15198</v>
      </c>
      <c r="D383" s="200">
        <v>44358</v>
      </c>
      <c r="E383" s="199" t="s">
        <v>15197</v>
      </c>
      <c r="I383" s="198">
        <v>5.0599999999999996</v>
      </c>
      <c r="K383" s="198">
        <v>69932.47</v>
      </c>
    </row>
    <row r="384" spans="3:11" x14ac:dyDescent="0.2">
      <c r="C384" s="201" t="s">
        <v>15196</v>
      </c>
      <c r="D384" s="200">
        <v>44358</v>
      </c>
      <c r="E384" s="199" t="s">
        <v>15195</v>
      </c>
      <c r="I384" s="198">
        <v>9.77</v>
      </c>
      <c r="K384" s="198">
        <v>69942.240000000005</v>
      </c>
    </row>
    <row r="385" spans="3:11" x14ac:dyDescent="0.2">
      <c r="C385" s="201" t="s">
        <v>15194</v>
      </c>
      <c r="D385" s="200">
        <v>44358</v>
      </c>
      <c r="E385" s="199" t="s">
        <v>15193</v>
      </c>
      <c r="I385" s="198">
        <v>13</v>
      </c>
      <c r="K385" s="198">
        <v>69955.240000000005</v>
      </c>
    </row>
    <row r="386" spans="3:11" x14ac:dyDescent="0.2">
      <c r="C386" s="201" t="s">
        <v>15192</v>
      </c>
      <c r="D386" s="200">
        <v>44358</v>
      </c>
      <c r="E386" s="199" t="s">
        <v>15191</v>
      </c>
      <c r="I386" s="198">
        <v>5.41</v>
      </c>
      <c r="K386" s="198">
        <v>69960.649999999994</v>
      </c>
    </row>
    <row r="387" spans="3:11" x14ac:dyDescent="0.2">
      <c r="C387" s="201" t="s">
        <v>15190</v>
      </c>
      <c r="D387" s="200">
        <v>44358</v>
      </c>
      <c r="E387" s="199" t="s">
        <v>15189</v>
      </c>
      <c r="I387" s="198">
        <v>4.3600000000000003</v>
      </c>
      <c r="K387" s="198">
        <v>69965.009999999995</v>
      </c>
    </row>
    <row r="388" spans="3:11" x14ac:dyDescent="0.2">
      <c r="C388" s="201" t="s">
        <v>15188</v>
      </c>
      <c r="D388" s="200">
        <v>44358</v>
      </c>
      <c r="E388" s="199" t="s">
        <v>15187</v>
      </c>
      <c r="I388" s="198">
        <v>15.34</v>
      </c>
      <c r="K388" s="198">
        <v>69980.350000000006</v>
      </c>
    </row>
    <row r="389" spans="3:11" x14ac:dyDescent="0.2">
      <c r="C389" s="201" t="s">
        <v>15186</v>
      </c>
      <c r="D389" s="200">
        <v>44358</v>
      </c>
      <c r="E389" s="199" t="s">
        <v>15185</v>
      </c>
      <c r="I389" s="198">
        <v>14</v>
      </c>
      <c r="K389" s="198">
        <v>69994.350000000006</v>
      </c>
    </row>
    <row r="390" spans="3:11" x14ac:dyDescent="0.2">
      <c r="C390" s="201" t="s">
        <v>15184</v>
      </c>
      <c r="D390" s="200">
        <v>44358</v>
      </c>
      <c r="E390" s="199" t="s">
        <v>15183</v>
      </c>
      <c r="I390" s="198">
        <v>41.49</v>
      </c>
      <c r="K390" s="198">
        <v>70035.839999999997</v>
      </c>
    </row>
    <row r="391" spans="3:11" x14ac:dyDescent="0.2">
      <c r="C391" s="201" t="s">
        <v>15182</v>
      </c>
      <c r="D391" s="200">
        <v>44358</v>
      </c>
      <c r="E391" s="199" t="s">
        <v>15181</v>
      </c>
      <c r="I391" s="198">
        <v>72.63</v>
      </c>
      <c r="K391" s="198">
        <v>70108.47</v>
      </c>
    </row>
    <row r="392" spans="3:11" x14ac:dyDescent="0.2">
      <c r="C392" s="201" t="s">
        <v>15180</v>
      </c>
      <c r="D392" s="200">
        <v>44358</v>
      </c>
      <c r="E392" s="199" t="s">
        <v>15179</v>
      </c>
      <c r="I392" s="198">
        <v>35.799999999999997</v>
      </c>
      <c r="K392" s="198">
        <v>70144.27</v>
      </c>
    </row>
    <row r="393" spans="3:11" x14ac:dyDescent="0.2">
      <c r="C393" s="201" t="s">
        <v>15178</v>
      </c>
      <c r="D393" s="200">
        <v>44358</v>
      </c>
      <c r="E393" s="199" t="s">
        <v>15177</v>
      </c>
      <c r="I393" s="198">
        <v>4.0199999999999996</v>
      </c>
      <c r="K393" s="198">
        <v>70148.289999999994</v>
      </c>
    </row>
    <row r="394" spans="3:11" x14ac:dyDescent="0.2">
      <c r="C394" s="201" t="s">
        <v>15176</v>
      </c>
      <c r="D394" s="200">
        <v>44358</v>
      </c>
      <c r="E394" s="199" t="s">
        <v>15175</v>
      </c>
      <c r="I394" s="198">
        <v>15.57</v>
      </c>
      <c r="K394" s="198">
        <v>70163.86</v>
      </c>
    </row>
    <row r="395" spans="3:11" x14ac:dyDescent="0.2">
      <c r="C395" s="201" t="s">
        <v>15174</v>
      </c>
      <c r="D395" s="200">
        <v>44358</v>
      </c>
      <c r="E395" s="199" t="s">
        <v>15173</v>
      </c>
      <c r="I395" s="198">
        <v>15.3</v>
      </c>
      <c r="K395" s="198">
        <v>70179.16</v>
      </c>
    </row>
    <row r="396" spans="3:11" x14ac:dyDescent="0.2">
      <c r="C396" s="201" t="s">
        <v>15172</v>
      </c>
      <c r="D396" s="200">
        <v>44358</v>
      </c>
      <c r="E396" s="199" t="s">
        <v>15171</v>
      </c>
      <c r="I396" s="198">
        <v>5.15</v>
      </c>
      <c r="K396" s="198">
        <v>70184.31</v>
      </c>
    </row>
    <row r="397" spans="3:11" x14ac:dyDescent="0.2">
      <c r="C397" s="201" t="s">
        <v>15170</v>
      </c>
      <c r="D397" s="200">
        <v>44358</v>
      </c>
      <c r="E397" s="199" t="s">
        <v>15169</v>
      </c>
      <c r="I397" s="198">
        <v>6.05</v>
      </c>
      <c r="K397" s="198">
        <v>70190.36</v>
      </c>
    </row>
    <row r="398" spans="3:11" x14ac:dyDescent="0.2">
      <c r="C398" s="201" t="s">
        <v>15168</v>
      </c>
      <c r="D398" s="200">
        <v>44358</v>
      </c>
      <c r="E398" s="199" t="s">
        <v>15167</v>
      </c>
      <c r="I398" s="198">
        <v>29.07</v>
      </c>
      <c r="K398" s="198">
        <v>70219.429999999993</v>
      </c>
    </row>
    <row r="399" spans="3:11" x14ac:dyDescent="0.2">
      <c r="C399" s="201" t="s">
        <v>15166</v>
      </c>
      <c r="D399" s="200">
        <v>44358</v>
      </c>
      <c r="E399" s="199" t="s">
        <v>15165</v>
      </c>
      <c r="I399" s="198">
        <v>2.2400000000000002</v>
      </c>
      <c r="K399" s="198">
        <v>70221.67</v>
      </c>
    </row>
    <row r="400" spans="3:11" x14ac:dyDescent="0.2">
      <c r="C400" s="201" t="s">
        <v>15164</v>
      </c>
      <c r="D400" s="200">
        <v>44358</v>
      </c>
      <c r="E400" s="199" t="s">
        <v>15163</v>
      </c>
      <c r="I400" s="198">
        <v>13.96</v>
      </c>
      <c r="K400" s="198">
        <v>70235.63</v>
      </c>
    </row>
    <row r="401" spans="3:11" x14ac:dyDescent="0.2">
      <c r="C401" s="201" t="s">
        <v>15162</v>
      </c>
      <c r="D401" s="200">
        <v>44358</v>
      </c>
      <c r="E401" s="199" t="s">
        <v>15161</v>
      </c>
      <c r="I401" s="198">
        <v>6.78</v>
      </c>
      <c r="K401" s="198">
        <v>70242.41</v>
      </c>
    </row>
    <row r="402" spans="3:11" x14ac:dyDescent="0.2">
      <c r="C402" s="201" t="s">
        <v>15160</v>
      </c>
      <c r="D402" s="200">
        <v>44358</v>
      </c>
      <c r="E402" s="199" t="s">
        <v>15159</v>
      </c>
      <c r="I402" s="198">
        <v>4.22</v>
      </c>
      <c r="K402" s="198">
        <v>70246.63</v>
      </c>
    </row>
    <row r="403" spans="3:11" x14ac:dyDescent="0.2">
      <c r="C403" s="201" t="s">
        <v>15158</v>
      </c>
      <c r="D403" s="200">
        <v>44358</v>
      </c>
      <c r="E403" s="199" t="s">
        <v>15157</v>
      </c>
      <c r="I403" s="198">
        <v>1.18</v>
      </c>
      <c r="K403" s="198">
        <v>70247.81</v>
      </c>
    </row>
    <row r="404" spans="3:11" x14ac:dyDescent="0.2">
      <c r="C404" s="201" t="s">
        <v>15156</v>
      </c>
      <c r="D404" s="200">
        <v>44358</v>
      </c>
      <c r="E404" s="199" t="s">
        <v>15155</v>
      </c>
      <c r="I404" s="198">
        <v>3.51</v>
      </c>
      <c r="K404" s="198">
        <v>70251.320000000007</v>
      </c>
    </row>
    <row r="405" spans="3:11" x14ac:dyDescent="0.2">
      <c r="C405" s="201" t="s">
        <v>15154</v>
      </c>
      <c r="D405" s="200">
        <v>44358</v>
      </c>
      <c r="E405" s="199" t="s">
        <v>15153</v>
      </c>
      <c r="I405" s="198">
        <v>1.85</v>
      </c>
      <c r="K405" s="198">
        <v>70253.17</v>
      </c>
    </row>
    <row r="406" spans="3:11" x14ac:dyDescent="0.2">
      <c r="C406" s="201" t="s">
        <v>15152</v>
      </c>
      <c r="D406" s="200">
        <v>44358</v>
      </c>
      <c r="E406" s="199" t="s">
        <v>15151</v>
      </c>
      <c r="I406" s="198">
        <v>1.68</v>
      </c>
      <c r="K406" s="198">
        <v>70254.850000000006</v>
      </c>
    </row>
    <row r="407" spans="3:11" x14ac:dyDescent="0.2">
      <c r="C407" s="201" t="s">
        <v>15150</v>
      </c>
      <c r="D407" s="200">
        <v>44358</v>
      </c>
      <c r="E407" s="199" t="s">
        <v>15149</v>
      </c>
      <c r="I407" s="198">
        <v>3.64</v>
      </c>
      <c r="K407" s="198">
        <v>70258.490000000005</v>
      </c>
    </row>
    <row r="408" spans="3:11" x14ac:dyDescent="0.2">
      <c r="C408" s="201" t="s">
        <v>15148</v>
      </c>
      <c r="D408" s="200">
        <v>44359</v>
      </c>
      <c r="E408" s="199" t="s">
        <v>15147</v>
      </c>
      <c r="I408" s="198">
        <v>2.74</v>
      </c>
      <c r="K408" s="198">
        <v>70261.23</v>
      </c>
    </row>
    <row r="409" spans="3:11" x14ac:dyDescent="0.2">
      <c r="C409" s="201" t="s">
        <v>15146</v>
      </c>
      <c r="D409" s="200">
        <v>44359</v>
      </c>
      <c r="E409" s="199" t="s">
        <v>15145</v>
      </c>
      <c r="I409" s="198">
        <v>28.7</v>
      </c>
      <c r="K409" s="198">
        <v>70289.929999999993</v>
      </c>
    </row>
    <row r="410" spans="3:11" x14ac:dyDescent="0.2">
      <c r="C410" s="201" t="s">
        <v>15144</v>
      </c>
      <c r="D410" s="200">
        <v>44359</v>
      </c>
      <c r="E410" s="199" t="s">
        <v>15143</v>
      </c>
      <c r="I410" s="198">
        <v>11.76</v>
      </c>
      <c r="K410" s="198">
        <v>70301.69</v>
      </c>
    </row>
    <row r="411" spans="3:11" x14ac:dyDescent="0.2">
      <c r="C411" s="201" t="s">
        <v>15142</v>
      </c>
      <c r="D411" s="200">
        <v>44359</v>
      </c>
      <c r="E411" s="199" t="s">
        <v>15141</v>
      </c>
      <c r="I411" s="198">
        <v>6.55</v>
      </c>
      <c r="K411" s="198">
        <v>70308.240000000005</v>
      </c>
    </row>
    <row r="412" spans="3:11" x14ac:dyDescent="0.2">
      <c r="C412" s="201" t="s">
        <v>15140</v>
      </c>
      <c r="D412" s="200">
        <v>44359</v>
      </c>
      <c r="E412" s="199" t="s">
        <v>15139</v>
      </c>
      <c r="I412" s="198">
        <v>1.68</v>
      </c>
      <c r="K412" s="198">
        <v>70309.919999999998</v>
      </c>
    </row>
    <row r="413" spans="3:11" x14ac:dyDescent="0.2">
      <c r="C413" s="201" t="s">
        <v>15138</v>
      </c>
      <c r="D413" s="200">
        <v>44359</v>
      </c>
      <c r="E413" s="199" t="s">
        <v>15137</v>
      </c>
      <c r="I413" s="198">
        <v>2.0299999999999998</v>
      </c>
      <c r="K413" s="198">
        <v>70311.95</v>
      </c>
    </row>
    <row r="414" spans="3:11" x14ac:dyDescent="0.2">
      <c r="C414" s="201" t="s">
        <v>15136</v>
      </c>
      <c r="D414" s="200">
        <v>44359</v>
      </c>
      <c r="E414" s="199" t="s">
        <v>15135</v>
      </c>
      <c r="I414" s="198">
        <v>6.48</v>
      </c>
      <c r="K414" s="198">
        <v>70318.429999999993</v>
      </c>
    </row>
    <row r="415" spans="3:11" x14ac:dyDescent="0.2">
      <c r="C415" s="201" t="s">
        <v>15134</v>
      </c>
      <c r="D415" s="200">
        <v>44360</v>
      </c>
      <c r="E415" s="199" t="s">
        <v>15133</v>
      </c>
      <c r="I415" s="198">
        <v>1.85</v>
      </c>
      <c r="K415" s="198">
        <v>70320.28</v>
      </c>
    </row>
    <row r="416" spans="3:11" x14ac:dyDescent="0.2">
      <c r="C416" s="201" t="s">
        <v>15132</v>
      </c>
      <c r="D416" s="200">
        <v>44360</v>
      </c>
      <c r="E416" s="199" t="s">
        <v>15131</v>
      </c>
      <c r="I416" s="198">
        <v>3.36</v>
      </c>
      <c r="K416" s="198">
        <v>70323.64</v>
      </c>
    </row>
    <row r="417" spans="3:11" x14ac:dyDescent="0.2">
      <c r="C417" s="201" t="s">
        <v>15130</v>
      </c>
      <c r="D417" s="200">
        <v>44360</v>
      </c>
      <c r="E417" s="199" t="s">
        <v>15129</v>
      </c>
      <c r="I417" s="198">
        <v>6.67</v>
      </c>
      <c r="K417" s="198">
        <v>70330.31</v>
      </c>
    </row>
    <row r="418" spans="3:11" x14ac:dyDescent="0.2">
      <c r="C418" s="201" t="s">
        <v>15128</v>
      </c>
      <c r="D418" s="200">
        <v>44360</v>
      </c>
      <c r="E418" s="199" t="s">
        <v>15127</v>
      </c>
      <c r="I418" s="198">
        <v>15.65</v>
      </c>
      <c r="K418" s="198">
        <v>70345.960000000006</v>
      </c>
    </row>
    <row r="419" spans="3:11" x14ac:dyDescent="0.2">
      <c r="C419" s="201" t="s">
        <v>1535</v>
      </c>
      <c r="D419" s="200">
        <v>44360</v>
      </c>
      <c r="E419" s="199" t="s">
        <v>15126</v>
      </c>
      <c r="J419" s="222">
        <v>665.76</v>
      </c>
      <c r="K419" s="198">
        <v>69680.2</v>
      </c>
    </row>
    <row r="420" spans="3:11" x14ac:dyDescent="0.2">
      <c r="C420" s="201" t="s">
        <v>15125</v>
      </c>
      <c r="D420" s="200">
        <v>44361</v>
      </c>
      <c r="E420" s="199" t="s">
        <v>15124</v>
      </c>
      <c r="I420" s="198">
        <v>2.0499999999999998</v>
      </c>
      <c r="K420" s="198">
        <v>69682.25</v>
      </c>
    </row>
    <row r="421" spans="3:11" x14ac:dyDescent="0.2">
      <c r="C421" s="201" t="s">
        <v>15123</v>
      </c>
      <c r="D421" s="200">
        <v>44361</v>
      </c>
      <c r="E421" s="199" t="s">
        <v>15122</v>
      </c>
      <c r="I421" s="198">
        <v>2.13</v>
      </c>
      <c r="K421" s="198">
        <v>69684.38</v>
      </c>
    </row>
    <row r="422" spans="3:11" x14ac:dyDescent="0.2">
      <c r="C422" s="201" t="s">
        <v>15121</v>
      </c>
      <c r="D422" s="200">
        <v>44361</v>
      </c>
      <c r="E422" s="199" t="s">
        <v>15120</v>
      </c>
      <c r="I422" s="198">
        <v>19350.650000000001</v>
      </c>
      <c r="K422" s="198">
        <v>89035.03</v>
      </c>
    </row>
    <row r="423" spans="3:11" x14ac:dyDescent="0.2">
      <c r="C423" s="201" t="s">
        <v>15119</v>
      </c>
      <c r="D423" s="200">
        <v>44361</v>
      </c>
      <c r="E423" s="199" t="s">
        <v>15118</v>
      </c>
      <c r="I423" s="198">
        <v>42.74</v>
      </c>
      <c r="K423" s="198">
        <v>89077.77</v>
      </c>
    </row>
    <row r="424" spans="3:11" x14ac:dyDescent="0.2">
      <c r="C424" s="201" t="s">
        <v>15117</v>
      </c>
      <c r="D424" s="200">
        <v>44361</v>
      </c>
      <c r="E424" s="199" t="s">
        <v>15116</v>
      </c>
      <c r="I424" s="198">
        <v>60.88</v>
      </c>
      <c r="K424" s="198">
        <v>89138.65</v>
      </c>
    </row>
    <row r="425" spans="3:11" x14ac:dyDescent="0.2">
      <c r="C425" s="201" t="s">
        <v>15115</v>
      </c>
      <c r="D425" s="200">
        <v>44361</v>
      </c>
      <c r="E425" s="199" t="s">
        <v>15114</v>
      </c>
      <c r="I425" s="198">
        <v>2.44</v>
      </c>
      <c r="K425" s="198">
        <v>89141.09</v>
      </c>
    </row>
    <row r="426" spans="3:11" x14ac:dyDescent="0.2">
      <c r="C426" s="201" t="s">
        <v>15113</v>
      </c>
      <c r="D426" s="200">
        <v>44361</v>
      </c>
      <c r="E426" s="199" t="s">
        <v>15112</v>
      </c>
      <c r="I426" s="198">
        <v>3.44</v>
      </c>
      <c r="K426" s="198">
        <v>89144.53</v>
      </c>
    </row>
    <row r="427" spans="3:11" x14ac:dyDescent="0.2">
      <c r="C427" s="201" t="s">
        <v>15111</v>
      </c>
      <c r="D427" s="200">
        <v>44361</v>
      </c>
      <c r="E427" s="199" t="s">
        <v>15110</v>
      </c>
      <c r="I427" s="198">
        <v>5.04</v>
      </c>
      <c r="K427" s="198">
        <v>89149.57</v>
      </c>
    </row>
    <row r="428" spans="3:11" x14ac:dyDescent="0.2">
      <c r="C428" s="201" t="s">
        <v>15109</v>
      </c>
      <c r="D428" s="200">
        <v>44361</v>
      </c>
      <c r="E428" s="199" t="s">
        <v>15108</v>
      </c>
      <c r="I428" s="198">
        <v>7.76</v>
      </c>
      <c r="K428" s="198">
        <v>89157.33</v>
      </c>
    </row>
    <row r="429" spans="3:11" x14ac:dyDescent="0.2">
      <c r="C429" s="201" t="s">
        <v>15107</v>
      </c>
      <c r="D429" s="200">
        <v>44361</v>
      </c>
      <c r="E429" s="199" t="s">
        <v>15106</v>
      </c>
      <c r="I429" s="198">
        <v>4.3</v>
      </c>
      <c r="K429" s="198">
        <v>89161.63</v>
      </c>
    </row>
    <row r="430" spans="3:11" x14ac:dyDescent="0.2">
      <c r="C430" s="201" t="s">
        <v>15105</v>
      </c>
      <c r="D430" s="200">
        <v>44361</v>
      </c>
      <c r="E430" s="199" t="s">
        <v>15104</v>
      </c>
      <c r="I430" s="198">
        <v>6.97</v>
      </c>
      <c r="K430" s="198">
        <v>89168.6</v>
      </c>
    </row>
    <row r="431" spans="3:11" x14ac:dyDescent="0.2">
      <c r="C431" s="201" t="s">
        <v>15103</v>
      </c>
      <c r="D431" s="200">
        <v>44361</v>
      </c>
      <c r="E431" s="199" t="s">
        <v>15102</v>
      </c>
      <c r="I431" s="198">
        <v>2.87</v>
      </c>
      <c r="K431" s="198">
        <v>89171.47</v>
      </c>
    </row>
    <row r="432" spans="3:11" x14ac:dyDescent="0.2">
      <c r="C432" s="201" t="s">
        <v>15101</v>
      </c>
      <c r="D432" s="200">
        <v>44361</v>
      </c>
      <c r="E432" s="199" t="s">
        <v>15100</v>
      </c>
      <c r="I432" s="198">
        <v>4.58</v>
      </c>
      <c r="K432" s="198">
        <v>89176.05</v>
      </c>
    </row>
    <row r="433" spans="3:11" x14ac:dyDescent="0.2">
      <c r="C433" s="201" t="s">
        <v>15099</v>
      </c>
      <c r="D433" s="200">
        <v>44361</v>
      </c>
      <c r="E433" s="199" t="s">
        <v>15098</v>
      </c>
      <c r="I433" s="198">
        <v>1.68</v>
      </c>
      <c r="K433" s="198">
        <v>89177.73</v>
      </c>
    </row>
    <row r="434" spans="3:11" x14ac:dyDescent="0.2">
      <c r="C434" s="201" t="s">
        <v>15097</v>
      </c>
      <c r="D434" s="200">
        <v>44361</v>
      </c>
      <c r="E434" s="199" t="s">
        <v>15096</v>
      </c>
      <c r="I434" s="198">
        <v>2.92</v>
      </c>
      <c r="K434" s="198">
        <v>89180.65</v>
      </c>
    </row>
    <row r="435" spans="3:11" x14ac:dyDescent="0.2">
      <c r="C435" s="201" t="s">
        <v>15095</v>
      </c>
      <c r="D435" s="200">
        <v>44361</v>
      </c>
      <c r="E435" s="199" t="s">
        <v>15094</v>
      </c>
      <c r="I435" s="198">
        <v>4.2300000000000004</v>
      </c>
      <c r="K435" s="198">
        <v>89184.88</v>
      </c>
    </row>
    <row r="436" spans="3:11" x14ac:dyDescent="0.2">
      <c r="C436" s="201" t="s">
        <v>15093</v>
      </c>
      <c r="D436" s="200">
        <v>44361</v>
      </c>
      <c r="E436" s="199" t="s">
        <v>15092</v>
      </c>
      <c r="I436" s="198">
        <v>1.84</v>
      </c>
      <c r="K436" s="198">
        <v>89186.72</v>
      </c>
    </row>
    <row r="437" spans="3:11" x14ac:dyDescent="0.2">
      <c r="C437" s="201" t="s">
        <v>15091</v>
      </c>
      <c r="D437" s="200">
        <v>44361</v>
      </c>
      <c r="E437" s="199" t="s">
        <v>15090</v>
      </c>
      <c r="I437" s="198">
        <v>2.35</v>
      </c>
      <c r="K437" s="198">
        <v>89189.07</v>
      </c>
    </row>
    <row r="438" spans="3:11" x14ac:dyDescent="0.2">
      <c r="C438" s="201" t="s">
        <v>15089</v>
      </c>
      <c r="D438" s="200">
        <v>44361</v>
      </c>
      <c r="E438" s="199" t="s">
        <v>15088</v>
      </c>
      <c r="I438" s="198">
        <v>5.14</v>
      </c>
      <c r="K438" s="198">
        <v>89194.21</v>
      </c>
    </row>
    <row r="439" spans="3:11" x14ac:dyDescent="0.2">
      <c r="C439" s="201" t="s">
        <v>15087</v>
      </c>
      <c r="D439" s="200">
        <v>44361</v>
      </c>
      <c r="E439" s="199" t="s">
        <v>15086</v>
      </c>
      <c r="I439" s="198">
        <v>6.3</v>
      </c>
      <c r="K439" s="198">
        <v>89200.51</v>
      </c>
    </row>
    <row r="440" spans="3:11" x14ac:dyDescent="0.2">
      <c r="C440" s="201" t="s">
        <v>15085</v>
      </c>
      <c r="D440" s="200">
        <v>44361</v>
      </c>
      <c r="E440" s="199" t="s">
        <v>15084</v>
      </c>
      <c r="I440" s="198">
        <v>2.56</v>
      </c>
      <c r="K440" s="198">
        <v>89203.07</v>
      </c>
    </row>
    <row r="441" spans="3:11" x14ac:dyDescent="0.2">
      <c r="C441" s="201" t="s">
        <v>15083</v>
      </c>
      <c r="D441" s="200">
        <v>44361</v>
      </c>
      <c r="E441" s="199" t="s">
        <v>15082</v>
      </c>
      <c r="I441" s="198">
        <v>21.81</v>
      </c>
      <c r="K441" s="198">
        <v>89224.88</v>
      </c>
    </row>
    <row r="442" spans="3:11" x14ac:dyDescent="0.2">
      <c r="C442" s="201" t="s">
        <v>15081</v>
      </c>
      <c r="D442" s="200">
        <v>44361</v>
      </c>
      <c r="E442" s="199" t="s">
        <v>15080</v>
      </c>
      <c r="I442" s="198">
        <v>2</v>
      </c>
      <c r="K442" s="198">
        <v>89226.880000000005</v>
      </c>
    </row>
    <row r="443" spans="3:11" x14ac:dyDescent="0.2">
      <c r="C443" s="201" t="s">
        <v>15079</v>
      </c>
      <c r="D443" s="200">
        <v>44361</v>
      </c>
      <c r="E443" s="199" t="s">
        <v>15078</v>
      </c>
      <c r="I443" s="198">
        <v>3.36</v>
      </c>
      <c r="K443" s="198">
        <v>89230.24</v>
      </c>
    </row>
    <row r="444" spans="3:11" x14ac:dyDescent="0.2">
      <c r="C444" s="201" t="s">
        <v>15077</v>
      </c>
      <c r="D444" s="200">
        <v>44361</v>
      </c>
      <c r="E444" s="199" t="s">
        <v>15076</v>
      </c>
      <c r="I444" s="198">
        <v>2.46</v>
      </c>
      <c r="K444" s="198">
        <v>89232.7</v>
      </c>
    </row>
    <row r="445" spans="3:11" x14ac:dyDescent="0.2">
      <c r="C445" s="201" t="s">
        <v>15075</v>
      </c>
      <c r="D445" s="200">
        <v>44361</v>
      </c>
      <c r="E445" s="199" t="s">
        <v>15074</v>
      </c>
      <c r="I445" s="198">
        <v>12.06</v>
      </c>
      <c r="K445" s="198">
        <v>89244.76</v>
      </c>
    </row>
    <row r="446" spans="3:11" x14ac:dyDescent="0.2">
      <c r="C446" s="201" t="s">
        <v>15073</v>
      </c>
      <c r="D446" s="200">
        <v>44361</v>
      </c>
      <c r="E446" s="199" t="s">
        <v>15072</v>
      </c>
      <c r="I446" s="198">
        <v>1.72</v>
      </c>
      <c r="K446" s="198">
        <v>89246.48</v>
      </c>
    </row>
    <row r="447" spans="3:11" x14ac:dyDescent="0.2">
      <c r="C447" s="201" t="s">
        <v>15071</v>
      </c>
      <c r="D447" s="200">
        <v>44361</v>
      </c>
      <c r="E447" s="199" t="s">
        <v>15070</v>
      </c>
      <c r="I447" s="198">
        <v>2.14</v>
      </c>
      <c r="K447" s="198">
        <v>89248.62</v>
      </c>
    </row>
    <row r="448" spans="3:11" x14ac:dyDescent="0.2">
      <c r="C448" s="201" t="s">
        <v>15069</v>
      </c>
      <c r="D448" s="200">
        <v>44361</v>
      </c>
      <c r="E448" s="199" t="s">
        <v>15068</v>
      </c>
      <c r="I448" s="198">
        <v>4.3600000000000003</v>
      </c>
      <c r="K448" s="198">
        <v>89252.98</v>
      </c>
    </row>
    <row r="449" spans="3:11" x14ac:dyDescent="0.2">
      <c r="C449" s="201" t="s">
        <v>15067</v>
      </c>
      <c r="D449" s="200">
        <v>44361</v>
      </c>
      <c r="E449" s="199" t="s">
        <v>15066</v>
      </c>
      <c r="I449" s="198">
        <v>0.03</v>
      </c>
      <c r="K449" s="198">
        <v>89253.01</v>
      </c>
    </row>
    <row r="450" spans="3:11" x14ac:dyDescent="0.2">
      <c r="C450" s="201" t="s">
        <v>15065</v>
      </c>
      <c r="D450" s="200">
        <v>44361</v>
      </c>
      <c r="E450" s="199" t="s">
        <v>15064</v>
      </c>
      <c r="I450" s="198">
        <v>2.34</v>
      </c>
      <c r="K450" s="198">
        <v>89255.35</v>
      </c>
    </row>
    <row r="451" spans="3:11" x14ac:dyDescent="0.2">
      <c r="C451" s="201" t="s">
        <v>15063</v>
      </c>
      <c r="D451" s="200">
        <v>44361</v>
      </c>
      <c r="E451" s="199" t="s">
        <v>15062</v>
      </c>
      <c r="I451" s="198">
        <v>3.36</v>
      </c>
      <c r="K451" s="198">
        <v>89258.71</v>
      </c>
    </row>
    <row r="452" spans="3:11" x14ac:dyDescent="0.2">
      <c r="C452" s="201" t="s">
        <v>15061</v>
      </c>
      <c r="D452" s="200">
        <v>44361</v>
      </c>
      <c r="E452" s="199" t="s">
        <v>15060</v>
      </c>
      <c r="I452" s="198">
        <v>3.88</v>
      </c>
      <c r="K452" s="198">
        <v>89262.59</v>
      </c>
    </row>
    <row r="453" spans="3:11" x14ac:dyDescent="0.2">
      <c r="C453" s="201" t="s">
        <v>15059</v>
      </c>
      <c r="D453" s="200">
        <v>44361</v>
      </c>
      <c r="E453" s="199" t="s">
        <v>15058</v>
      </c>
      <c r="I453" s="198">
        <v>3.88</v>
      </c>
      <c r="K453" s="198">
        <v>89266.47</v>
      </c>
    </row>
    <row r="454" spans="3:11" x14ac:dyDescent="0.2">
      <c r="C454" s="201" t="s">
        <v>15057</v>
      </c>
      <c r="D454" s="200">
        <v>44361</v>
      </c>
      <c r="E454" s="199" t="s">
        <v>15056</v>
      </c>
      <c r="I454" s="198">
        <v>20.82</v>
      </c>
      <c r="K454" s="198">
        <v>89287.29</v>
      </c>
    </row>
    <row r="455" spans="3:11" x14ac:dyDescent="0.2">
      <c r="C455" s="201" t="s">
        <v>15055</v>
      </c>
      <c r="D455" s="200">
        <v>44361</v>
      </c>
      <c r="E455" s="199" t="s">
        <v>15054</v>
      </c>
      <c r="I455" s="198">
        <v>3.98</v>
      </c>
      <c r="K455" s="198">
        <v>89291.27</v>
      </c>
    </row>
    <row r="456" spans="3:11" x14ac:dyDescent="0.2">
      <c r="C456" s="201" t="s">
        <v>15053</v>
      </c>
      <c r="D456" s="200">
        <v>44362</v>
      </c>
      <c r="E456" s="199" t="s">
        <v>15052</v>
      </c>
      <c r="I456" s="198">
        <v>3.45</v>
      </c>
      <c r="K456" s="198">
        <v>89294.720000000001</v>
      </c>
    </row>
    <row r="457" spans="3:11" x14ac:dyDescent="0.2">
      <c r="C457" s="201" t="s">
        <v>15051</v>
      </c>
      <c r="D457" s="200">
        <v>44362</v>
      </c>
      <c r="E457" s="199" t="s">
        <v>15050</v>
      </c>
      <c r="I457" s="198">
        <v>7.46</v>
      </c>
      <c r="K457" s="198">
        <v>89302.18</v>
      </c>
    </row>
    <row r="458" spans="3:11" x14ac:dyDescent="0.2">
      <c r="C458" s="201" t="s">
        <v>15049</v>
      </c>
      <c r="D458" s="200">
        <v>44362</v>
      </c>
      <c r="E458" s="199" t="s">
        <v>15048</v>
      </c>
      <c r="I458" s="198">
        <v>17.350000000000001</v>
      </c>
      <c r="K458" s="198">
        <v>89319.53</v>
      </c>
    </row>
    <row r="459" spans="3:11" x14ac:dyDescent="0.2">
      <c r="C459" s="201" t="s">
        <v>15047</v>
      </c>
      <c r="D459" s="200">
        <v>44362</v>
      </c>
      <c r="E459" s="199" t="s">
        <v>15046</v>
      </c>
      <c r="I459" s="198">
        <v>6.48</v>
      </c>
      <c r="K459" s="198">
        <v>89326.01</v>
      </c>
    </row>
    <row r="460" spans="3:11" x14ac:dyDescent="0.2">
      <c r="C460" s="201" t="s">
        <v>15045</v>
      </c>
      <c r="D460" s="200">
        <v>44362</v>
      </c>
      <c r="E460" s="199" t="s">
        <v>15044</v>
      </c>
      <c r="I460" s="198">
        <v>8.5399999999999991</v>
      </c>
      <c r="K460" s="198">
        <v>89334.55</v>
      </c>
    </row>
    <row r="461" spans="3:11" x14ac:dyDescent="0.2">
      <c r="C461" s="201" t="s">
        <v>15043</v>
      </c>
      <c r="D461" s="200">
        <v>44362</v>
      </c>
      <c r="E461" s="199" t="s">
        <v>15042</v>
      </c>
      <c r="I461" s="198">
        <v>1.96</v>
      </c>
      <c r="K461" s="198">
        <v>89336.51</v>
      </c>
    </row>
    <row r="462" spans="3:11" x14ac:dyDescent="0.2">
      <c r="C462" s="201" t="s">
        <v>15041</v>
      </c>
      <c r="D462" s="200">
        <v>44362</v>
      </c>
      <c r="E462" s="199" t="s">
        <v>15040</v>
      </c>
      <c r="I462" s="198">
        <v>8.3800000000000008</v>
      </c>
      <c r="K462" s="198">
        <v>89344.89</v>
      </c>
    </row>
    <row r="463" spans="3:11" x14ac:dyDescent="0.2">
      <c r="C463" s="201" t="s">
        <v>15039</v>
      </c>
      <c r="D463" s="200">
        <v>44362</v>
      </c>
      <c r="E463" s="199" t="s">
        <v>15038</v>
      </c>
      <c r="I463" s="198">
        <v>6.2</v>
      </c>
      <c r="K463" s="198">
        <v>89351.09</v>
      </c>
    </row>
    <row r="464" spans="3:11" x14ac:dyDescent="0.2">
      <c r="C464" s="201" t="s">
        <v>15037</v>
      </c>
      <c r="D464" s="200">
        <v>44362</v>
      </c>
      <c r="E464" s="199" t="s">
        <v>15036</v>
      </c>
      <c r="I464" s="198">
        <v>5.79</v>
      </c>
      <c r="K464" s="198">
        <v>89356.88</v>
      </c>
    </row>
    <row r="465" spans="3:11" x14ac:dyDescent="0.2">
      <c r="C465" s="201" t="s">
        <v>15035</v>
      </c>
      <c r="D465" s="200">
        <v>44362</v>
      </c>
      <c r="E465" s="199" t="s">
        <v>15034</v>
      </c>
      <c r="I465" s="198">
        <v>1.9</v>
      </c>
      <c r="K465" s="198">
        <v>89358.78</v>
      </c>
    </row>
    <row r="466" spans="3:11" x14ac:dyDescent="0.2">
      <c r="C466" s="201" t="s">
        <v>15033</v>
      </c>
      <c r="D466" s="200">
        <v>44362</v>
      </c>
      <c r="E466" s="199" t="s">
        <v>15032</v>
      </c>
      <c r="I466" s="198">
        <v>1.9</v>
      </c>
      <c r="K466" s="198">
        <v>89360.68</v>
      </c>
    </row>
    <row r="467" spans="3:11" x14ac:dyDescent="0.2">
      <c r="C467" s="201" t="s">
        <v>15031</v>
      </c>
      <c r="D467" s="200">
        <v>44362</v>
      </c>
      <c r="E467" s="199" t="s">
        <v>15030</v>
      </c>
      <c r="I467" s="198">
        <v>8.3800000000000008</v>
      </c>
      <c r="K467" s="198">
        <v>89369.06</v>
      </c>
    </row>
    <row r="468" spans="3:11" x14ac:dyDescent="0.2">
      <c r="C468" s="201" t="s">
        <v>15029</v>
      </c>
      <c r="D468" s="200">
        <v>44362</v>
      </c>
      <c r="E468" s="199" t="s">
        <v>15028</v>
      </c>
      <c r="I468" s="198">
        <v>4.66</v>
      </c>
      <c r="K468" s="198">
        <v>89373.72</v>
      </c>
    </row>
    <row r="469" spans="3:11" x14ac:dyDescent="0.2">
      <c r="C469" s="201" t="s">
        <v>15027</v>
      </c>
      <c r="D469" s="200">
        <v>44362</v>
      </c>
      <c r="E469" s="199" t="s">
        <v>15026</v>
      </c>
      <c r="I469" s="198">
        <v>12.3</v>
      </c>
      <c r="K469" s="198">
        <v>89386.02</v>
      </c>
    </row>
    <row r="470" spans="3:11" x14ac:dyDescent="0.2">
      <c r="C470" s="201" t="s">
        <v>15025</v>
      </c>
      <c r="D470" s="200">
        <v>44362</v>
      </c>
      <c r="E470" s="199" t="s">
        <v>15024</v>
      </c>
      <c r="I470" s="198">
        <v>7.3</v>
      </c>
      <c r="K470" s="198">
        <v>89393.32</v>
      </c>
    </row>
    <row r="471" spans="3:11" x14ac:dyDescent="0.2">
      <c r="C471" s="201" t="s">
        <v>15023</v>
      </c>
      <c r="D471" s="200">
        <v>44362</v>
      </c>
      <c r="E471" s="199" t="s">
        <v>15022</v>
      </c>
      <c r="I471" s="198">
        <v>6.33</v>
      </c>
      <c r="K471" s="198">
        <v>89399.65</v>
      </c>
    </row>
    <row r="472" spans="3:11" x14ac:dyDescent="0.2">
      <c r="C472" s="201" t="s">
        <v>15021</v>
      </c>
      <c r="D472" s="200">
        <v>44362</v>
      </c>
      <c r="E472" s="199" t="s">
        <v>15020</v>
      </c>
      <c r="I472" s="198">
        <v>8.8000000000000007</v>
      </c>
      <c r="K472" s="198">
        <v>89408.45</v>
      </c>
    </row>
    <row r="473" spans="3:11" x14ac:dyDescent="0.2">
      <c r="C473" s="201" t="s">
        <v>15019</v>
      </c>
      <c r="D473" s="200">
        <v>44362</v>
      </c>
      <c r="E473" s="199" t="s">
        <v>15018</v>
      </c>
      <c r="I473" s="198">
        <v>23.14</v>
      </c>
      <c r="K473" s="198">
        <v>89431.59</v>
      </c>
    </row>
    <row r="474" spans="3:11" x14ac:dyDescent="0.2">
      <c r="C474" s="201" t="s">
        <v>15017</v>
      </c>
      <c r="D474" s="200">
        <v>44362</v>
      </c>
      <c r="E474" s="199" t="s">
        <v>15016</v>
      </c>
      <c r="I474" s="198">
        <v>5.09</v>
      </c>
      <c r="K474" s="198">
        <v>89436.68</v>
      </c>
    </row>
    <row r="475" spans="3:11" x14ac:dyDescent="0.2">
      <c r="C475" s="201" t="s">
        <v>15015</v>
      </c>
      <c r="D475" s="200">
        <v>44362</v>
      </c>
      <c r="E475" s="199" t="s">
        <v>15014</v>
      </c>
      <c r="I475" s="198">
        <v>4.97</v>
      </c>
      <c r="K475" s="198">
        <v>89441.65</v>
      </c>
    </row>
    <row r="476" spans="3:11" x14ac:dyDescent="0.2">
      <c r="C476" s="201" t="s">
        <v>15013</v>
      </c>
      <c r="D476" s="200">
        <v>44362</v>
      </c>
      <c r="E476" s="199" t="s">
        <v>15012</v>
      </c>
      <c r="I476" s="198">
        <v>3.62</v>
      </c>
      <c r="K476" s="198">
        <v>89445.27</v>
      </c>
    </row>
    <row r="477" spans="3:11" x14ac:dyDescent="0.2">
      <c r="C477" s="201" t="s">
        <v>15011</v>
      </c>
      <c r="D477" s="200">
        <v>44362</v>
      </c>
      <c r="E477" s="199" t="s">
        <v>15010</v>
      </c>
      <c r="I477" s="198">
        <v>1.94</v>
      </c>
      <c r="K477" s="198">
        <v>89447.21</v>
      </c>
    </row>
    <row r="478" spans="3:11" x14ac:dyDescent="0.2">
      <c r="C478" s="201" t="s">
        <v>15009</v>
      </c>
      <c r="D478" s="200">
        <v>44362</v>
      </c>
      <c r="E478" s="199" t="s">
        <v>15008</v>
      </c>
      <c r="I478" s="198">
        <v>23.23</v>
      </c>
      <c r="K478" s="198">
        <v>89470.44</v>
      </c>
    </row>
    <row r="479" spans="3:11" x14ac:dyDescent="0.2">
      <c r="C479" s="201" t="s">
        <v>15007</v>
      </c>
      <c r="D479" s="200">
        <v>44362</v>
      </c>
      <c r="E479" s="199" t="s">
        <v>15006</v>
      </c>
      <c r="I479" s="198">
        <v>8.3800000000000008</v>
      </c>
      <c r="K479" s="198">
        <v>89478.82</v>
      </c>
    </row>
    <row r="480" spans="3:11" x14ac:dyDescent="0.2">
      <c r="C480" s="201" t="s">
        <v>15005</v>
      </c>
      <c r="D480" s="200">
        <v>44362</v>
      </c>
      <c r="E480" s="199" t="s">
        <v>15004</v>
      </c>
      <c r="I480" s="198">
        <v>8.08</v>
      </c>
      <c r="K480" s="198">
        <v>89486.9</v>
      </c>
    </row>
    <row r="481" spans="3:11" x14ac:dyDescent="0.2">
      <c r="C481" s="201" t="s">
        <v>215</v>
      </c>
      <c r="D481" s="200">
        <v>44362</v>
      </c>
      <c r="E481" s="199" t="s">
        <v>15003</v>
      </c>
      <c r="J481" s="222">
        <v>341.66</v>
      </c>
      <c r="K481" s="198">
        <v>89145.24</v>
      </c>
    </row>
    <row r="482" spans="3:11" x14ac:dyDescent="0.2">
      <c r="C482" s="201" t="s">
        <v>8280</v>
      </c>
      <c r="D482" s="200">
        <v>44362</v>
      </c>
      <c r="E482" s="199" t="s">
        <v>15002</v>
      </c>
      <c r="J482" s="222">
        <v>1704.78</v>
      </c>
      <c r="K482" s="198">
        <v>87440.46</v>
      </c>
    </row>
    <row r="483" spans="3:11" x14ac:dyDescent="0.2">
      <c r="C483" s="201" t="s">
        <v>7051</v>
      </c>
      <c r="D483" s="200">
        <v>44362</v>
      </c>
      <c r="E483" s="199" t="s">
        <v>15001</v>
      </c>
      <c r="J483" s="222">
        <v>88</v>
      </c>
      <c r="K483" s="198">
        <v>87352.46</v>
      </c>
    </row>
    <row r="484" spans="3:11" x14ac:dyDescent="0.2">
      <c r="C484" s="201" t="s">
        <v>7049</v>
      </c>
      <c r="D484" s="200">
        <v>44362</v>
      </c>
      <c r="E484" s="199" t="s">
        <v>15000</v>
      </c>
      <c r="J484" s="222">
        <v>571.01</v>
      </c>
      <c r="K484" s="198">
        <v>86781.45</v>
      </c>
    </row>
    <row r="485" spans="3:11" x14ac:dyDescent="0.2">
      <c r="C485" s="201" t="s">
        <v>6751</v>
      </c>
      <c r="D485" s="200">
        <v>44362</v>
      </c>
      <c r="E485" s="199" t="s">
        <v>14999</v>
      </c>
      <c r="J485" s="222">
        <v>307.22000000000003</v>
      </c>
      <c r="K485" s="198">
        <v>86474.23</v>
      </c>
    </row>
    <row r="486" spans="3:11" x14ac:dyDescent="0.2">
      <c r="C486" s="201" t="s">
        <v>6749</v>
      </c>
      <c r="D486" s="200">
        <v>44362</v>
      </c>
      <c r="E486" s="199" t="s">
        <v>14998</v>
      </c>
      <c r="J486" s="222">
        <v>116.99</v>
      </c>
      <c r="K486" s="198">
        <v>86357.24</v>
      </c>
    </row>
    <row r="487" spans="3:11" x14ac:dyDescent="0.2">
      <c r="C487" s="201" t="s">
        <v>1544</v>
      </c>
      <c r="D487" s="200">
        <v>44362</v>
      </c>
      <c r="E487" s="199" t="s">
        <v>14997</v>
      </c>
      <c r="J487" s="222">
        <v>2800</v>
      </c>
      <c r="K487" s="198">
        <v>83557.240000000005</v>
      </c>
    </row>
    <row r="488" spans="3:11" x14ac:dyDescent="0.2">
      <c r="C488" s="201" t="s">
        <v>6744</v>
      </c>
      <c r="D488" s="200">
        <v>44362</v>
      </c>
      <c r="E488" s="199" t="s">
        <v>14996</v>
      </c>
      <c r="J488" s="222">
        <v>513.33000000000004</v>
      </c>
      <c r="K488" s="198">
        <v>83043.91</v>
      </c>
    </row>
    <row r="489" spans="3:11" x14ac:dyDescent="0.2">
      <c r="C489" s="201" t="s">
        <v>12330</v>
      </c>
      <c r="D489" s="200">
        <v>44362</v>
      </c>
      <c r="E489" s="199" t="s">
        <v>14995</v>
      </c>
      <c r="J489" s="222">
        <v>1800</v>
      </c>
      <c r="K489" s="198">
        <v>81243.91</v>
      </c>
    </row>
    <row r="490" spans="3:11" x14ac:dyDescent="0.2">
      <c r="C490" s="201" t="s">
        <v>6742</v>
      </c>
      <c r="D490" s="200">
        <v>44362</v>
      </c>
      <c r="E490" s="199" t="s">
        <v>14994</v>
      </c>
      <c r="J490" s="222">
        <v>1174.8800000000001</v>
      </c>
      <c r="K490" s="198">
        <v>80069.03</v>
      </c>
    </row>
    <row r="491" spans="3:11" x14ac:dyDescent="0.2">
      <c r="C491" s="201" t="s">
        <v>1539</v>
      </c>
      <c r="D491" s="200">
        <v>44362</v>
      </c>
      <c r="E491" s="199" t="s">
        <v>14993</v>
      </c>
      <c r="J491" s="222">
        <v>15.55</v>
      </c>
      <c r="K491" s="198">
        <v>80053.48</v>
      </c>
    </row>
    <row r="492" spans="3:11" x14ac:dyDescent="0.2">
      <c r="C492" s="201" t="s">
        <v>1538</v>
      </c>
      <c r="D492" s="200">
        <v>44362</v>
      </c>
      <c r="E492" s="199" t="s">
        <v>14992</v>
      </c>
      <c r="J492" s="222">
        <v>12.16</v>
      </c>
      <c r="K492" s="198">
        <v>80041.320000000007</v>
      </c>
    </row>
    <row r="493" spans="3:11" x14ac:dyDescent="0.2">
      <c r="C493" s="201" t="s">
        <v>1542</v>
      </c>
      <c r="D493" s="200">
        <v>44362</v>
      </c>
      <c r="E493" s="199" t="s">
        <v>14991</v>
      </c>
      <c r="J493" s="222">
        <v>13.52</v>
      </c>
      <c r="K493" s="198">
        <v>80027.8</v>
      </c>
    </row>
    <row r="494" spans="3:11" x14ac:dyDescent="0.2">
      <c r="C494" s="201" t="s">
        <v>1537</v>
      </c>
      <c r="D494" s="200">
        <v>44362</v>
      </c>
      <c r="E494" s="199" t="s">
        <v>14990</v>
      </c>
      <c r="J494" s="222">
        <v>16.579999999999998</v>
      </c>
      <c r="K494" s="198">
        <v>80011.22</v>
      </c>
    </row>
    <row r="495" spans="3:11" x14ac:dyDescent="0.2">
      <c r="C495" s="201" t="s">
        <v>6600</v>
      </c>
      <c r="D495" s="200">
        <v>44362</v>
      </c>
      <c r="E495" s="199" t="s">
        <v>14989</v>
      </c>
      <c r="J495" s="222">
        <v>12.04</v>
      </c>
      <c r="K495" s="198">
        <v>79999.179999999993</v>
      </c>
    </row>
    <row r="496" spans="3:11" x14ac:dyDescent="0.2">
      <c r="C496" s="201" t="s">
        <v>6598</v>
      </c>
      <c r="D496" s="200">
        <v>44362</v>
      </c>
      <c r="E496" s="199" t="s">
        <v>14988</v>
      </c>
      <c r="J496" s="222">
        <v>21.29</v>
      </c>
      <c r="K496" s="198">
        <v>79977.89</v>
      </c>
    </row>
    <row r="497" spans="3:11" x14ac:dyDescent="0.2">
      <c r="C497" s="201" t="s">
        <v>1536</v>
      </c>
      <c r="D497" s="200">
        <v>44362</v>
      </c>
      <c r="E497" s="199" t="s">
        <v>14987</v>
      </c>
      <c r="J497" s="222">
        <v>9.75</v>
      </c>
      <c r="K497" s="198">
        <v>79968.14</v>
      </c>
    </row>
    <row r="498" spans="3:11" x14ac:dyDescent="0.2">
      <c r="C498" s="201" t="s">
        <v>14986</v>
      </c>
      <c r="D498" s="200">
        <v>44363</v>
      </c>
      <c r="E498" s="199" t="s">
        <v>14985</v>
      </c>
      <c r="I498" s="198">
        <v>29.86</v>
      </c>
      <c r="K498" s="198">
        <v>79998</v>
      </c>
    </row>
    <row r="499" spans="3:11" x14ac:dyDescent="0.2">
      <c r="C499" s="201" t="s">
        <v>14984</v>
      </c>
      <c r="D499" s="200">
        <v>44363</v>
      </c>
      <c r="E499" s="199" t="s">
        <v>14983</v>
      </c>
      <c r="I499" s="198">
        <v>7.58</v>
      </c>
      <c r="K499" s="198">
        <v>80005.58</v>
      </c>
    </row>
    <row r="500" spans="3:11" x14ac:dyDescent="0.2">
      <c r="C500" s="201" t="s">
        <v>14982</v>
      </c>
      <c r="D500" s="200">
        <v>44363</v>
      </c>
      <c r="E500" s="199" t="s">
        <v>14981</v>
      </c>
      <c r="I500" s="198">
        <v>12.42</v>
      </c>
      <c r="K500" s="198">
        <v>80018</v>
      </c>
    </row>
    <row r="501" spans="3:11" x14ac:dyDescent="0.2">
      <c r="C501" s="201" t="s">
        <v>14980</v>
      </c>
      <c r="D501" s="200">
        <v>44363</v>
      </c>
      <c r="E501" s="199" t="s">
        <v>14979</v>
      </c>
      <c r="I501" s="198">
        <v>13.71</v>
      </c>
      <c r="K501" s="198">
        <v>80031.710000000006</v>
      </c>
    </row>
    <row r="502" spans="3:11" x14ac:dyDescent="0.2">
      <c r="C502" s="201" t="s">
        <v>14978</v>
      </c>
      <c r="D502" s="200">
        <v>44363</v>
      </c>
      <c r="E502" s="199" t="s">
        <v>14977</v>
      </c>
      <c r="I502" s="198">
        <v>5.62</v>
      </c>
      <c r="K502" s="198">
        <v>80037.33</v>
      </c>
    </row>
    <row r="503" spans="3:11" x14ac:dyDescent="0.2">
      <c r="C503" s="201" t="s">
        <v>14976</v>
      </c>
      <c r="D503" s="200">
        <v>44363</v>
      </c>
      <c r="E503" s="199" t="s">
        <v>14975</v>
      </c>
      <c r="I503" s="198">
        <v>3.92</v>
      </c>
      <c r="K503" s="198">
        <v>80041.25</v>
      </c>
    </row>
    <row r="504" spans="3:11" x14ac:dyDescent="0.2">
      <c r="C504" s="201" t="s">
        <v>14974</v>
      </c>
      <c r="D504" s="200">
        <v>44363</v>
      </c>
      <c r="E504" s="199" t="s">
        <v>14973</v>
      </c>
      <c r="I504" s="198">
        <v>25.14</v>
      </c>
      <c r="K504" s="198">
        <v>80066.39</v>
      </c>
    </row>
    <row r="505" spans="3:11" x14ac:dyDescent="0.2">
      <c r="C505" s="201" t="s">
        <v>14972</v>
      </c>
      <c r="D505" s="200">
        <v>44363</v>
      </c>
      <c r="E505" s="199" t="s">
        <v>14971</v>
      </c>
      <c r="I505" s="198">
        <v>2.68</v>
      </c>
      <c r="K505" s="198">
        <v>80069.070000000007</v>
      </c>
    </row>
    <row r="506" spans="3:11" x14ac:dyDescent="0.2">
      <c r="C506" s="201" t="s">
        <v>14970</v>
      </c>
      <c r="D506" s="200">
        <v>44363</v>
      </c>
      <c r="E506" s="199" t="s">
        <v>14969</v>
      </c>
      <c r="I506" s="198">
        <v>8.3800000000000008</v>
      </c>
      <c r="K506" s="198">
        <v>80077.45</v>
      </c>
    </row>
    <row r="507" spans="3:11" x14ac:dyDescent="0.2">
      <c r="C507" s="201" t="s">
        <v>14968</v>
      </c>
      <c r="D507" s="200">
        <v>44363</v>
      </c>
      <c r="E507" s="199" t="s">
        <v>14967</v>
      </c>
      <c r="I507" s="198">
        <v>1.92</v>
      </c>
      <c r="K507" s="198">
        <v>80079.37</v>
      </c>
    </row>
    <row r="508" spans="3:11" x14ac:dyDescent="0.2">
      <c r="C508" s="201" t="s">
        <v>14966</v>
      </c>
      <c r="D508" s="200">
        <v>44363</v>
      </c>
      <c r="E508" s="199" t="s">
        <v>14965</v>
      </c>
      <c r="I508" s="198">
        <v>2.61</v>
      </c>
      <c r="K508" s="198">
        <v>80081.98</v>
      </c>
    </row>
    <row r="509" spans="3:11" x14ac:dyDescent="0.2">
      <c r="C509" s="201" t="s">
        <v>14964</v>
      </c>
      <c r="D509" s="200">
        <v>44363</v>
      </c>
      <c r="E509" s="199" t="s">
        <v>14963</v>
      </c>
      <c r="I509" s="198">
        <v>4.37</v>
      </c>
      <c r="K509" s="198">
        <v>80086.350000000006</v>
      </c>
    </row>
    <row r="510" spans="3:11" x14ac:dyDescent="0.2">
      <c r="C510" s="201" t="s">
        <v>14962</v>
      </c>
      <c r="D510" s="200">
        <v>44363</v>
      </c>
      <c r="E510" s="199" t="s">
        <v>14961</v>
      </c>
      <c r="I510" s="198">
        <v>8.3800000000000008</v>
      </c>
      <c r="K510" s="198">
        <v>80094.73</v>
      </c>
    </row>
    <row r="511" spans="3:11" x14ac:dyDescent="0.2">
      <c r="C511" s="201" t="s">
        <v>14960</v>
      </c>
      <c r="D511" s="200">
        <v>44363</v>
      </c>
      <c r="E511" s="199" t="s">
        <v>14959</v>
      </c>
      <c r="I511" s="198">
        <v>57.1</v>
      </c>
      <c r="K511" s="198">
        <v>80151.83</v>
      </c>
    </row>
    <row r="512" spans="3:11" x14ac:dyDescent="0.2">
      <c r="C512" s="201" t="s">
        <v>14958</v>
      </c>
      <c r="D512" s="200">
        <v>44363</v>
      </c>
      <c r="E512" s="199" t="s">
        <v>14957</v>
      </c>
      <c r="I512" s="198">
        <v>40.01</v>
      </c>
      <c r="K512" s="198">
        <v>80191.839999999997</v>
      </c>
    </row>
    <row r="513" spans="3:11" x14ac:dyDescent="0.2">
      <c r="C513" s="201" t="s">
        <v>14956</v>
      </c>
      <c r="D513" s="200">
        <v>44363</v>
      </c>
      <c r="E513" s="199" t="s">
        <v>14955</v>
      </c>
      <c r="I513" s="198">
        <v>11.84</v>
      </c>
      <c r="K513" s="198">
        <v>80203.679999999993</v>
      </c>
    </row>
    <row r="514" spans="3:11" x14ac:dyDescent="0.2">
      <c r="C514" s="201" t="s">
        <v>14954</v>
      </c>
      <c r="D514" s="200">
        <v>44363</v>
      </c>
      <c r="E514" s="199" t="s">
        <v>14953</v>
      </c>
      <c r="I514" s="198">
        <v>3.36</v>
      </c>
      <c r="K514" s="198">
        <v>80207.039999999994</v>
      </c>
    </row>
    <row r="515" spans="3:11" x14ac:dyDescent="0.2">
      <c r="C515" s="201" t="s">
        <v>14952</v>
      </c>
      <c r="D515" s="200">
        <v>44363</v>
      </c>
      <c r="E515" s="199" t="s">
        <v>14951</v>
      </c>
      <c r="I515" s="198">
        <v>3.44</v>
      </c>
      <c r="K515" s="198">
        <v>80210.48</v>
      </c>
    </row>
    <row r="516" spans="3:11" x14ac:dyDescent="0.2">
      <c r="C516" s="201" t="s">
        <v>14950</v>
      </c>
      <c r="D516" s="200">
        <v>44363</v>
      </c>
      <c r="E516" s="199" t="s">
        <v>14949</v>
      </c>
      <c r="I516" s="198">
        <v>3.36</v>
      </c>
      <c r="K516" s="198">
        <v>80213.84</v>
      </c>
    </row>
    <row r="517" spans="3:11" x14ac:dyDescent="0.2">
      <c r="C517" s="201" t="s">
        <v>14948</v>
      </c>
      <c r="D517" s="200">
        <v>44363</v>
      </c>
      <c r="E517" s="199" t="s">
        <v>14947</v>
      </c>
      <c r="I517" s="198">
        <v>1.68</v>
      </c>
      <c r="K517" s="198">
        <v>80215.520000000004</v>
      </c>
    </row>
    <row r="518" spans="3:11" x14ac:dyDescent="0.2">
      <c r="C518" s="201" t="s">
        <v>14946</v>
      </c>
      <c r="D518" s="200">
        <v>44363</v>
      </c>
      <c r="E518" s="199" t="s">
        <v>14945</v>
      </c>
      <c r="I518" s="198">
        <v>1.81</v>
      </c>
      <c r="K518" s="198">
        <v>80217.33</v>
      </c>
    </row>
    <row r="519" spans="3:11" x14ac:dyDescent="0.2">
      <c r="C519" s="201" t="s">
        <v>14944</v>
      </c>
      <c r="D519" s="200">
        <v>44363</v>
      </c>
      <c r="E519" s="199" t="s">
        <v>14943</v>
      </c>
      <c r="I519" s="198">
        <v>2.91</v>
      </c>
      <c r="K519" s="198">
        <v>80220.240000000005</v>
      </c>
    </row>
    <row r="520" spans="3:11" x14ac:dyDescent="0.2">
      <c r="C520" s="201" t="s">
        <v>14942</v>
      </c>
      <c r="D520" s="200">
        <v>44363</v>
      </c>
      <c r="E520" s="199" t="s">
        <v>14941</v>
      </c>
      <c r="I520" s="198">
        <v>3.01</v>
      </c>
      <c r="K520" s="198">
        <v>80223.25</v>
      </c>
    </row>
    <row r="521" spans="3:11" x14ac:dyDescent="0.2">
      <c r="C521" s="201" t="s">
        <v>14940</v>
      </c>
      <c r="D521" s="200">
        <v>44363</v>
      </c>
      <c r="E521" s="199" t="s">
        <v>14939</v>
      </c>
      <c r="I521" s="198">
        <v>12.3</v>
      </c>
      <c r="K521" s="198">
        <v>80235.55</v>
      </c>
    </row>
    <row r="522" spans="3:11" x14ac:dyDescent="0.2">
      <c r="C522" s="201" t="s">
        <v>14938</v>
      </c>
      <c r="D522" s="200">
        <v>44363</v>
      </c>
      <c r="E522" s="199" t="s">
        <v>14937</v>
      </c>
      <c r="I522" s="198">
        <v>12.3</v>
      </c>
      <c r="K522" s="198">
        <v>80247.850000000006</v>
      </c>
    </row>
    <row r="523" spans="3:11" x14ac:dyDescent="0.2">
      <c r="C523" s="201" t="s">
        <v>14936</v>
      </c>
      <c r="D523" s="200">
        <v>44363</v>
      </c>
      <c r="E523" s="199" t="s">
        <v>14935</v>
      </c>
      <c r="I523" s="198">
        <v>17.899999999999999</v>
      </c>
      <c r="K523" s="198">
        <v>80265.75</v>
      </c>
    </row>
    <row r="524" spans="3:11" x14ac:dyDescent="0.2">
      <c r="C524" s="201" t="s">
        <v>14934</v>
      </c>
      <c r="D524" s="200">
        <v>44363</v>
      </c>
      <c r="E524" s="199" t="s">
        <v>14933</v>
      </c>
      <c r="I524" s="198">
        <v>3.12</v>
      </c>
      <c r="K524" s="198">
        <v>80268.87</v>
      </c>
    </row>
    <row r="525" spans="3:11" x14ac:dyDescent="0.2">
      <c r="C525" s="201" t="s">
        <v>14932</v>
      </c>
      <c r="D525" s="200">
        <v>44363</v>
      </c>
      <c r="E525" s="199" t="s">
        <v>14931</v>
      </c>
      <c r="I525" s="198">
        <v>3.36</v>
      </c>
      <c r="K525" s="198">
        <v>80272.23</v>
      </c>
    </row>
    <row r="526" spans="3:11" x14ac:dyDescent="0.2">
      <c r="C526" s="201" t="s">
        <v>14930</v>
      </c>
      <c r="D526" s="200">
        <v>44363</v>
      </c>
      <c r="E526" s="199" t="s">
        <v>14929</v>
      </c>
      <c r="I526" s="198">
        <v>22.3</v>
      </c>
      <c r="K526" s="198">
        <v>80294.53</v>
      </c>
    </row>
    <row r="527" spans="3:11" x14ac:dyDescent="0.2">
      <c r="C527" s="201" t="s">
        <v>14928</v>
      </c>
      <c r="D527" s="200">
        <v>44363</v>
      </c>
      <c r="E527" s="199" t="s">
        <v>14927</v>
      </c>
      <c r="I527" s="198">
        <v>3.49</v>
      </c>
      <c r="K527" s="198">
        <v>80298.02</v>
      </c>
    </row>
    <row r="528" spans="3:11" x14ac:dyDescent="0.2">
      <c r="C528" s="201" t="s">
        <v>14926</v>
      </c>
      <c r="D528" s="200">
        <v>44363</v>
      </c>
      <c r="E528" s="199" t="s">
        <v>14925</v>
      </c>
      <c r="I528" s="198">
        <v>6.14</v>
      </c>
      <c r="K528" s="198">
        <v>80304.160000000003</v>
      </c>
    </row>
    <row r="529" spans="3:11" x14ac:dyDescent="0.2">
      <c r="C529" s="201" t="s">
        <v>14924</v>
      </c>
      <c r="D529" s="200">
        <v>44363</v>
      </c>
      <c r="E529" s="199" t="s">
        <v>14923</v>
      </c>
      <c r="I529" s="198">
        <v>3</v>
      </c>
      <c r="K529" s="198">
        <v>80307.16</v>
      </c>
    </row>
    <row r="530" spans="3:11" x14ac:dyDescent="0.2">
      <c r="C530" s="201" t="s">
        <v>14922</v>
      </c>
      <c r="D530" s="200">
        <v>44364</v>
      </c>
      <c r="E530" s="199" t="s">
        <v>14921</v>
      </c>
      <c r="I530" s="198">
        <v>3.36</v>
      </c>
      <c r="K530" s="198">
        <v>80310.52</v>
      </c>
    </row>
    <row r="531" spans="3:11" x14ac:dyDescent="0.2">
      <c r="C531" s="201" t="s">
        <v>14920</v>
      </c>
      <c r="D531" s="200">
        <v>44364</v>
      </c>
      <c r="E531" s="199" t="s">
        <v>14919</v>
      </c>
      <c r="I531" s="198">
        <v>20</v>
      </c>
      <c r="K531" s="198">
        <v>80330.52</v>
      </c>
    </row>
    <row r="532" spans="3:11" x14ac:dyDescent="0.2">
      <c r="C532" s="201" t="s">
        <v>14918</v>
      </c>
      <c r="D532" s="200">
        <v>44364</v>
      </c>
      <c r="E532" s="199" t="s">
        <v>14917</v>
      </c>
      <c r="I532" s="198">
        <v>5.23</v>
      </c>
      <c r="K532" s="198">
        <v>80335.75</v>
      </c>
    </row>
    <row r="533" spans="3:11" x14ac:dyDescent="0.2">
      <c r="C533" s="201" t="s">
        <v>14916</v>
      </c>
      <c r="D533" s="200">
        <v>44364</v>
      </c>
      <c r="E533" s="199" t="s">
        <v>14915</v>
      </c>
      <c r="I533" s="198">
        <v>8.3800000000000008</v>
      </c>
      <c r="K533" s="198">
        <v>80344.13</v>
      </c>
    </row>
    <row r="534" spans="3:11" x14ac:dyDescent="0.2">
      <c r="C534" s="201" t="s">
        <v>14914</v>
      </c>
      <c r="D534" s="200">
        <v>44364</v>
      </c>
      <c r="E534" s="199" t="s">
        <v>14913</v>
      </c>
      <c r="I534" s="198">
        <v>41.5</v>
      </c>
      <c r="K534" s="198">
        <v>80385.63</v>
      </c>
    </row>
    <row r="535" spans="3:11" x14ac:dyDescent="0.2">
      <c r="C535" s="201" t="s">
        <v>14912</v>
      </c>
      <c r="D535" s="200">
        <v>44364</v>
      </c>
      <c r="E535" s="199" t="s">
        <v>14911</v>
      </c>
      <c r="I535" s="198">
        <v>3.36</v>
      </c>
      <c r="K535" s="198">
        <v>80388.990000000005</v>
      </c>
    </row>
    <row r="536" spans="3:11" x14ac:dyDescent="0.2">
      <c r="C536" s="201" t="s">
        <v>14910</v>
      </c>
      <c r="D536" s="200">
        <v>44364</v>
      </c>
      <c r="E536" s="199" t="s">
        <v>14909</v>
      </c>
      <c r="I536" s="198">
        <v>5.45</v>
      </c>
      <c r="K536" s="198">
        <v>80394.44</v>
      </c>
    </row>
    <row r="537" spans="3:11" x14ac:dyDescent="0.2">
      <c r="C537" s="201" t="s">
        <v>14908</v>
      </c>
      <c r="D537" s="200">
        <v>44364</v>
      </c>
      <c r="E537" s="199" t="s">
        <v>14907</v>
      </c>
      <c r="I537" s="198">
        <v>0.02</v>
      </c>
      <c r="K537" s="198">
        <v>80394.460000000006</v>
      </c>
    </row>
    <row r="538" spans="3:11" x14ac:dyDescent="0.2">
      <c r="C538" s="201" t="s">
        <v>14906</v>
      </c>
      <c r="D538" s="200">
        <v>44364</v>
      </c>
      <c r="E538" s="199" t="s">
        <v>14905</v>
      </c>
      <c r="I538" s="198">
        <v>1.94</v>
      </c>
      <c r="K538" s="198">
        <v>80396.399999999994</v>
      </c>
    </row>
    <row r="539" spans="3:11" x14ac:dyDescent="0.2">
      <c r="C539" s="201" t="s">
        <v>14904</v>
      </c>
      <c r="D539" s="200">
        <v>44364</v>
      </c>
      <c r="E539" s="199" t="s">
        <v>14903</v>
      </c>
      <c r="I539" s="198">
        <v>2.6</v>
      </c>
      <c r="K539" s="198">
        <v>80399</v>
      </c>
    </row>
    <row r="540" spans="3:11" x14ac:dyDescent="0.2">
      <c r="C540" s="201" t="s">
        <v>14902</v>
      </c>
      <c r="D540" s="200">
        <v>44364</v>
      </c>
      <c r="E540" s="199" t="s">
        <v>14901</v>
      </c>
      <c r="I540" s="198">
        <v>2.12</v>
      </c>
      <c r="K540" s="198">
        <v>80401.119999999995</v>
      </c>
    </row>
    <row r="541" spans="3:11" x14ac:dyDescent="0.2">
      <c r="C541" s="201" t="s">
        <v>14900</v>
      </c>
      <c r="D541" s="200">
        <v>44364</v>
      </c>
      <c r="E541" s="199" t="s">
        <v>14899</v>
      </c>
      <c r="I541" s="198">
        <v>4.1100000000000003</v>
      </c>
      <c r="K541" s="198">
        <v>80405.23</v>
      </c>
    </row>
    <row r="542" spans="3:11" x14ac:dyDescent="0.2">
      <c r="C542" s="201" t="s">
        <v>14898</v>
      </c>
      <c r="D542" s="200">
        <v>44364</v>
      </c>
      <c r="E542" s="199" t="s">
        <v>14897</v>
      </c>
      <c r="I542" s="198">
        <v>1.68</v>
      </c>
      <c r="K542" s="198">
        <v>80406.91</v>
      </c>
    </row>
    <row r="543" spans="3:11" x14ac:dyDescent="0.2">
      <c r="C543" s="201" t="s">
        <v>14896</v>
      </c>
      <c r="D543" s="200">
        <v>44364</v>
      </c>
      <c r="E543" s="199" t="s">
        <v>14895</v>
      </c>
      <c r="I543" s="198">
        <v>10.46</v>
      </c>
      <c r="K543" s="198">
        <v>80417.37</v>
      </c>
    </row>
    <row r="544" spans="3:11" x14ac:dyDescent="0.2">
      <c r="C544" s="201" t="s">
        <v>14894</v>
      </c>
      <c r="D544" s="200">
        <v>44364</v>
      </c>
      <c r="E544" s="199" t="s">
        <v>14893</v>
      </c>
      <c r="I544" s="198">
        <v>4.2</v>
      </c>
      <c r="K544" s="198">
        <v>80421.570000000007</v>
      </c>
    </row>
    <row r="545" spans="3:11" x14ac:dyDescent="0.2">
      <c r="C545" s="201" t="s">
        <v>14892</v>
      </c>
      <c r="D545" s="200">
        <v>44364</v>
      </c>
      <c r="E545" s="199" t="s">
        <v>14891</v>
      </c>
      <c r="I545" s="198">
        <v>2.14</v>
      </c>
      <c r="K545" s="198">
        <v>80423.710000000006</v>
      </c>
    </row>
    <row r="546" spans="3:11" x14ac:dyDescent="0.2">
      <c r="C546" s="201" t="s">
        <v>14890</v>
      </c>
      <c r="D546" s="200">
        <v>44364</v>
      </c>
      <c r="E546" s="199" t="s">
        <v>14889</v>
      </c>
      <c r="I546" s="198">
        <v>6.2</v>
      </c>
      <c r="K546" s="198">
        <v>80429.91</v>
      </c>
    </row>
    <row r="547" spans="3:11" x14ac:dyDescent="0.2">
      <c r="C547" s="201" t="s">
        <v>14888</v>
      </c>
      <c r="D547" s="200">
        <v>44364</v>
      </c>
      <c r="E547" s="199" t="s">
        <v>14887</v>
      </c>
      <c r="I547" s="198">
        <v>15.3</v>
      </c>
      <c r="K547" s="198">
        <v>80445.210000000006</v>
      </c>
    </row>
    <row r="548" spans="3:11" x14ac:dyDescent="0.2">
      <c r="C548" s="201" t="s">
        <v>14886</v>
      </c>
      <c r="D548" s="200">
        <v>44364</v>
      </c>
      <c r="E548" s="199" t="s">
        <v>14885</v>
      </c>
      <c r="I548" s="198">
        <v>1.68</v>
      </c>
      <c r="K548" s="198">
        <v>80446.89</v>
      </c>
    </row>
    <row r="549" spans="3:11" x14ac:dyDescent="0.2">
      <c r="C549" s="201" t="s">
        <v>14884</v>
      </c>
      <c r="D549" s="200">
        <v>44364</v>
      </c>
      <c r="E549" s="199" t="s">
        <v>14883</v>
      </c>
      <c r="I549" s="198">
        <v>1.94</v>
      </c>
      <c r="K549" s="198">
        <v>80448.83</v>
      </c>
    </row>
    <row r="550" spans="3:11" x14ac:dyDescent="0.2">
      <c r="C550" s="201" t="s">
        <v>14882</v>
      </c>
      <c r="D550" s="200">
        <v>44364</v>
      </c>
      <c r="E550" s="199" t="s">
        <v>14881</v>
      </c>
      <c r="I550" s="198">
        <v>23.46</v>
      </c>
      <c r="K550" s="198">
        <v>80472.289999999994</v>
      </c>
    </row>
    <row r="551" spans="3:11" x14ac:dyDescent="0.2">
      <c r="C551" s="201" t="s">
        <v>14880</v>
      </c>
      <c r="D551" s="200">
        <v>44365</v>
      </c>
      <c r="E551" s="199" t="s">
        <v>14879</v>
      </c>
      <c r="I551" s="198">
        <v>35.799999999999997</v>
      </c>
      <c r="K551" s="198">
        <v>80508.09</v>
      </c>
    </row>
    <row r="552" spans="3:11" x14ac:dyDescent="0.2">
      <c r="C552" s="201" t="s">
        <v>14878</v>
      </c>
      <c r="D552" s="200">
        <v>44365</v>
      </c>
      <c r="E552" s="199" t="s">
        <v>14877</v>
      </c>
      <c r="I552" s="198">
        <v>8.3800000000000008</v>
      </c>
      <c r="K552" s="198">
        <v>80516.47</v>
      </c>
    </row>
    <row r="553" spans="3:11" x14ac:dyDescent="0.2">
      <c r="C553" s="201" t="s">
        <v>14876</v>
      </c>
      <c r="D553" s="200">
        <v>44365</v>
      </c>
      <c r="E553" s="199" t="s">
        <v>14875</v>
      </c>
      <c r="I553" s="198">
        <v>168.72</v>
      </c>
      <c r="K553" s="198">
        <v>80685.19</v>
      </c>
    </row>
    <row r="554" spans="3:11" x14ac:dyDescent="0.2">
      <c r="C554" s="201" t="s">
        <v>14874</v>
      </c>
      <c r="D554" s="200">
        <v>44365</v>
      </c>
      <c r="E554" s="199" t="s">
        <v>14873</v>
      </c>
      <c r="I554" s="198">
        <v>1</v>
      </c>
      <c r="K554" s="198">
        <v>80686.19</v>
      </c>
    </row>
    <row r="555" spans="3:11" x14ac:dyDescent="0.2">
      <c r="C555" s="201" t="s">
        <v>14872</v>
      </c>
      <c r="D555" s="200">
        <v>44365</v>
      </c>
      <c r="E555" s="199" t="s">
        <v>14871</v>
      </c>
      <c r="I555" s="198">
        <v>3.39</v>
      </c>
      <c r="K555" s="198">
        <v>80689.58</v>
      </c>
    </row>
    <row r="556" spans="3:11" x14ac:dyDescent="0.2">
      <c r="C556" s="201" t="s">
        <v>14870</v>
      </c>
      <c r="D556" s="200">
        <v>44365</v>
      </c>
      <c r="E556" s="199" t="s">
        <v>14869</v>
      </c>
      <c r="I556" s="198">
        <v>4.58</v>
      </c>
      <c r="K556" s="198">
        <v>80694.16</v>
      </c>
    </row>
    <row r="557" spans="3:11" x14ac:dyDescent="0.2">
      <c r="C557" s="201" t="s">
        <v>14868</v>
      </c>
      <c r="D557" s="200">
        <v>44365</v>
      </c>
      <c r="E557" s="199" t="s">
        <v>14867</v>
      </c>
      <c r="I557" s="198">
        <v>11.24</v>
      </c>
      <c r="K557" s="198">
        <v>80705.399999999994</v>
      </c>
    </row>
    <row r="558" spans="3:11" x14ac:dyDescent="0.2">
      <c r="C558" s="201" t="s">
        <v>14866</v>
      </c>
      <c r="D558" s="200">
        <v>44365</v>
      </c>
      <c r="E558" s="199" t="s">
        <v>14865</v>
      </c>
      <c r="I558" s="198">
        <v>1.68</v>
      </c>
      <c r="K558" s="198">
        <v>80707.08</v>
      </c>
    </row>
    <row r="559" spans="3:11" x14ac:dyDescent="0.2">
      <c r="C559" s="201" t="s">
        <v>14864</v>
      </c>
      <c r="D559" s="200">
        <v>44365</v>
      </c>
      <c r="E559" s="199" t="s">
        <v>14863</v>
      </c>
      <c r="I559" s="198">
        <v>1.94</v>
      </c>
      <c r="K559" s="198">
        <v>80709.02</v>
      </c>
    </row>
    <row r="560" spans="3:11" x14ac:dyDescent="0.2">
      <c r="C560" s="201" t="s">
        <v>14862</v>
      </c>
      <c r="D560" s="200">
        <v>44365</v>
      </c>
      <c r="E560" s="199" t="s">
        <v>14861</v>
      </c>
      <c r="I560" s="198">
        <v>3.19</v>
      </c>
      <c r="K560" s="198">
        <v>80712.210000000006</v>
      </c>
    </row>
    <row r="561" spans="3:11" x14ac:dyDescent="0.2">
      <c r="C561" s="201" t="s">
        <v>14860</v>
      </c>
      <c r="D561" s="200">
        <v>44365</v>
      </c>
      <c r="E561" s="199" t="s">
        <v>14859</v>
      </c>
      <c r="I561" s="198">
        <v>1.68</v>
      </c>
      <c r="K561" s="198">
        <v>80713.89</v>
      </c>
    </row>
    <row r="562" spans="3:11" x14ac:dyDescent="0.2">
      <c r="C562" s="201" t="s">
        <v>14858</v>
      </c>
      <c r="D562" s="200">
        <v>44365</v>
      </c>
      <c r="E562" s="199" t="s">
        <v>14857</v>
      </c>
      <c r="I562" s="198">
        <v>5.29</v>
      </c>
      <c r="K562" s="198">
        <v>80719.179999999993</v>
      </c>
    </row>
    <row r="563" spans="3:11" x14ac:dyDescent="0.2">
      <c r="C563" s="201" t="s">
        <v>14856</v>
      </c>
      <c r="D563" s="200">
        <v>44365</v>
      </c>
      <c r="E563" s="199" t="s">
        <v>14855</v>
      </c>
      <c r="I563" s="198">
        <v>5.21</v>
      </c>
      <c r="K563" s="198">
        <v>80724.39</v>
      </c>
    </row>
    <row r="564" spans="3:11" x14ac:dyDescent="0.2">
      <c r="C564" s="201" t="s">
        <v>14854</v>
      </c>
      <c r="D564" s="200">
        <v>44365</v>
      </c>
      <c r="E564" s="199" t="s">
        <v>14853</v>
      </c>
      <c r="I564" s="198">
        <v>5.03</v>
      </c>
      <c r="K564" s="198">
        <v>80729.42</v>
      </c>
    </row>
    <row r="565" spans="3:11" x14ac:dyDescent="0.2">
      <c r="C565" s="201" t="s">
        <v>14852</v>
      </c>
      <c r="D565" s="200">
        <v>44365</v>
      </c>
      <c r="E565" s="199" t="s">
        <v>14851</v>
      </c>
      <c r="I565" s="198">
        <v>32.97</v>
      </c>
      <c r="K565" s="198">
        <v>80762.39</v>
      </c>
    </row>
    <row r="566" spans="3:11" x14ac:dyDescent="0.2">
      <c r="C566" s="201" t="s">
        <v>14850</v>
      </c>
      <c r="D566" s="200">
        <v>44365</v>
      </c>
      <c r="E566" s="199" t="s">
        <v>14849</v>
      </c>
      <c r="I566" s="198">
        <v>9.86</v>
      </c>
      <c r="K566" s="198">
        <v>80772.25</v>
      </c>
    </row>
    <row r="567" spans="3:11" x14ac:dyDescent="0.2">
      <c r="C567" s="201" t="s">
        <v>14848</v>
      </c>
      <c r="D567" s="200">
        <v>44365</v>
      </c>
      <c r="E567" s="199" t="s">
        <v>14847</v>
      </c>
      <c r="I567" s="198">
        <v>5.36</v>
      </c>
      <c r="K567" s="198">
        <v>80777.61</v>
      </c>
    </row>
    <row r="568" spans="3:11" x14ac:dyDescent="0.2">
      <c r="C568" s="201" t="s">
        <v>14846</v>
      </c>
      <c r="D568" s="200">
        <v>44365</v>
      </c>
      <c r="E568" s="199" t="s">
        <v>14845</v>
      </c>
      <c r="I568" s="198">
        <v>8.3800000000000008</v>
      </c>
      <c r="K568" s="198">
        <v>80785.990000000005</v>
      </c>
    </row>
    <row r="569" spans="3:11" x14ac:dyDescent="0.2">
      <c r="C569" s="201" t="s">
        <v>14844</v>
      </c>
      <c r="D569" s="200">
        <v>44365</v>
      </c>
      <c r="E569" s="199" t="s">
        <v>14843</v>
      </c>
      <c r="I569" s="198">
        <v>3.12</v>
      </c>
      <c r="K569" s="198">
        <v>80789.11</v>
      </c>
    </row>
    <row r="570" spans="3:11" x14ac:dyDescent="0.2">
      <c r="C570" s="201" t="s">
        <v>14842</v>
      </c>
      <c r="D570" s="200">
        <v>44365</v>
      </c>
      <c r="E570" s="199" t="s">
        <v>14841</v>
      </c>
      <c r="I570" s="198">
        <v>3.4</v>
      </c>
      <c r="K570" s="198">
        <v>80792.509999999995</v>
      </c>
    </row>
    <row r="571" spans="3:11" x14ac:dyDescent="0.2">
      <c r="C571" s="201" t="s">
        <v>1555</v>
      </c>
      <c r="D571" s="200">
        <v>44365</v>
      </c>
      <c r="E571" s="199" t="s">
        <v>14840</v>
      </c>
      <c r="J571" s="222">
        <v>46.66</v>
      </c>
      <c r="K571" s="198">
        <v>80745.850000000006</v>
      </c>
    </row>
    <row r="572" spans="3:11" x14ac:dyDescent="0.2">
      <c r="C572" s="201" t="s">
        <v>14839</v>
      </c>
      <c r="D572" s="200">
        <v>44366</v>
      </c>
      <c r="E572" s="199" t="s">
        <v>14838</v>
      </c>
      <c r="I572" s="198">
        <v>1.68</v>
      </c>
      <c r="K572" s="198">
        <v>80747.53</v>
      </c>
    </row>
    <row r="573" spans="3:11" x14ac:dyDescent="0.2">
      <c r="C573" s="201" t="s">
        <v>14837</v>
      </c>
      <c r="D573" s="200">
        <v>44366</v>
      </c>
      <c r="E573" s="199" t="s">
        <v>14836</v>
      </c>
      <c r="I573" s="198">
        <v>1.93</v>
      </c>
      <c r="K573" s="198">
        <v>80749.460000000006</v>
      </c>
    </row>
    <row r="574" spans="3:11" x14ac:dyDescent="0.2">
      <c r="C574" s="201" t="s">
        <v>14835</v>
      </c>
      <c r="D574" s="200">
        <v>44366</v>
      </c>
      <c r="E574" s="199" t="s">
        <v>14834</v>
      </c>
      <c r="I574" s="198">
        <v>2.46</v>
      </c>
      <c r="K574" s="198">
        <v>80751.92</v>
      </c>
    </row>
    <row r="575" spans="3:11" x14ac:dyDescent="0.2">
      <c r="C575" s="201" t="s">
        <v>14833</v>
      </c>
      <c r="D575" s="200">
        <v>44366</v>
      </c>
      <c r="E575" s="199" t="s">
        <v>14832</v>
      </c>
      <c r="I575" s="198">
        <v>1.99</v>
      </c>
      <c r="K575" s="198">
        <v>80753.91</v>
      </c>
    </row>
    <row r="576" spans="3:11" x14ac:dyDescent="0.2">
      <c r="C576" s="201" t="s">
        <v>14831</v>
      </c>
      <c r="D576" s="200">
        <v>44366</v>
      </c>
      <c r="E576" s="199" t="s">
        <v>14830</v>
      </c>
      <c r="I576" s="198">
        <v>2.4</v>
      </c>
      <c r="K576" s="198">
        <v>80756.31</v>
      </c>
    </row>
    <row r="577" spans="3:11" x14ac:dyDescent="0.2">
      <c r="C577" s="201" t="s">
        <v>14829</v>
      </c>
      <c r="D577" s="200">
        <v>44366</v>
      </c>
      <c r="E577" s="199" t="s">
        <v>14828</v>
      </c>
      <c r="I577" s="198">
        <v>7.32</v>
      </c>
      <c r="K577" s="198">
        <v>80763.63</v>
      </c>
    </row>
    <row r="578" spans="3:11" x14ac:dyDescent="0.2">
      <c r="C578" s="201" t="s">
        <v>14827</v>
      </c>
      <c r="D578" s="200">
        <v>44366</v>
      </c>
      <c r="E578" s="199" t="s">
        <v>14826</v>
      </c>
      <c r="I578" s="198">
        <v>6.21</v>
      </c>
      <c r="K578" s="198">
        <v>80769.84</v>
      </c>
    </row>
    <row r="579" spans="3:11" x14ac:dyDescent="0.2">
      <c r="C579" s="201" t="s">
        <v>14825</v>
      </c>
      <c r="D579" s="200">
        <v>44366</v>
      </c>
      <c r="E579" s="199" t="s">
        <v>14824</v>
      </c>
      <c r="I579" s="198">
        <v>4.82</v>
      </c>
      <c r="K579" s="198">
        <v>80774.66</v>
      </c>
    </row>
    <row r="580" spans="3:11" x14ac:dyDescent="0.2">
      <c r="C580" s="201" t="s">
        <v>14823</v>
      </c>
      <c r="D580" s="200">
        <v>44367</v>
      </c>
      <c r="E580" s="199" t="s">
        <v>14822</v>
      </c>
      <c r="I580" s="198">
        <v>3.19</v>
      </c>
      <c r="K580" s="198">
        <v>80777.850000000006</v>
      </c>
    </row>
    <row r="581" spans="3:11" x14ac:dyDescent="0.2">
      <c r="C581" s="201" t="s">
        <v>14821</v>
      </c>
      <c r="D581" s="200">
        <v>44367</v>
      </c>
      <c r="E581" s="199" t="s">
        <v>14820</v>
      </c>
      <c r="I581" s="198">
        <v>3.36</v>
      </c>
      <c r="K581" s="198">
        <v>80781.210000000006</v>
      </c>
    </row>
    <row r="582" spans="3:11" x14ac:dyDescent="0.2">
      <c r="C582" s="201" t="s">
        <v>14819</v>
      </c>
      <c r="D582" s="200">
        <v>44367</v>
      </c>
      <c r="E582" s="199" t="s">
        <v>14818</v>
      </c>
      <c r="I582" s="198">
        <v>14.03</v>
      </c>
      <c r="K582" s="198">
        <v>80795.240000000005</v>
      </c>
    </row>
    <row r="583" spans="3:11" x14ac:dyDescent="0.2">
      <c r="C583" s="201" t="s">
        <v>14817</v>
      </c>
      <c r="D583" s="200">
        <v>44368</v>
      </c>
      <c r="E583" s="199" t="s">
        <v>14816</v>
      </c>
      <c r="I583" s="198">
        <v>174.59</v>
      </c>
      <c r="K583" s="198">
        <v>80969.83</v>
      </c>
    </row>
    <row r="584" spans="3:11" x14ac:dyDescent="0.2">
      <c r="C584" s="201" t="s">
        <v>14815</v>
      </c>
      <c r="D584" s="200">
        <v>44368</v>
      </c>
      <c r="E584" s="199" t="s">
        <v>14814</v>
      </c>
      <c r="I584" s="198">
        <v>2.89</v>
      </c>
      <c r="K584" s="198">
        <v>80972.72</v>
      </c>
    </row>
    <row r="585" spans="3:11" x14ac:dyDescent="0.2">
      <c r="C585" s="201" t="s">
        <v>14813</v>
      </c>
      <c r="D585" s="200">
        <v>44368</v>
      </c>
      <c r="E585" s="199" t="s">
        <v>14812</v>
      </c>
      <c r="I585" s="198">
        <v>1.68</v>
      </c>
      <c r="K585" s="198">
        <v>80974.399999999994</v>
      </c>
    </row>
    <row r="586" spans="3:11" x14ac:dyDescent="0.2">
      <c r="C586" s="201" t="s">
        <v>14811</v>
      </c>
      <c r="D586" s="200">
        <v>44368</v>
      </c>
      <c r="E586" s="199" t="s">
        <v>14810</v>
      </c>
      <c r="I586" s="198">
        <v>16.760000000000002</v>
      </c>
      <c r="K586" s="198">
        <v>80991.16</v>
      </c>
    </row>
    <row r="587" spans="3:11" x14ac:dyDescent="0.2">
      <c r="C587" s="201" t="s">
        <v>14809</v>
      </c>
      <c r="D587" s="200">
        <v>44368</v>
      </c>
      <c r="E587" s="199" t="s">
        <v>14808</v>
      </c>
      <c r="I587" s="198">
        <v>8.3800000000000008</v>
      </c>
      <c r="K587" s="198">
        <v>80999.539999999994</v>
      </c>
    </row>
    <row r="588" spans="3:11" x14ac:dyDescent="0.2">
      <c r="C588" s="201" t="s">
        <v>14807</v>
      </c>
      <c r="D588" s="200">
        <v>44368</v>
      </c>
      <c r="E588" s="199" t="s">
        <v>14806</v>
      </c>
      <c r="I588" s="198">
        <v>8.3800000000000008</v>
      </c>
      <c r="K588" s="198">
        <v>81007.92</v>
      </c>
    </row>
    <row r="589" spans="3:11" x14ac:dyDescent="0.2">
      <c r="C589" s="201" t="s">
        <v>14805</v>
      </c>
      <c r="D589" s="200">
        <v>44368</v>
      </c>
      <c r="E589" s="199" t="s">
        <v>14804</v>
      </c>
      <c r="I589" s="198">
        <v>4.1900000000000004</v>
      </c>
      <c r="K589" s="198">
        <v>81012.11</v>
      </c>
    </row>
    <row r="590" spans="3:11" x14ac:dyDescent="0.2">
      <c r="C590" s="201" t="s">
        <v>14803</v>
      </c>
      <c r="D590" s="200">
        <v>44368</v>
      </c>
      <c r="E590" s="199" t="s">
        <v>14802</v>
      </c>
      <c r="I590" s="198">
        <v>24.18</v>
      </c>
      <c r="K590" s="198">
        <v>81036.289999999994</v>
      </c>
    </row>
    <row r="591" spans="3:11" x14ac:dyDescent="0.2">
      <c r="C591" s="201" t="s">
        <v>14801</v>
      </c>
      <c r="D591" s="200">
        <v>44368</v>
      </c>
      <c r="E591" s="199" t="s">
        <v>14800</v>
      </c>
      <c r="I591" s="198">
        <v>9.31</v>
      </c>
      <c r="K591" s="198">
        <v>81045.600000000006</v>
      </c>
    </row>
    <row r="592" spans="3:11" x14ac:dyDescent="0.2">
      <c r="C592" s="201" t="s">
        <v>14799</v>
      </c>
      <c r="D592" s="200">
        <v>44368</v>
      </c>
      <c r="E592" s="199" t="s">
        <v>14798</v>
      </c>
      <c r="I592" s="198">
        <v>5.04</v>
      </c>
      <c r="K592" s="198">
        <v>81050.64</v>
      </c>
    </row>
    <row r="593" spans="3:11" x14ac:dyDescent="0.2">
      <c r="C593" s="201" t="s">
        <v>14797</v>
      </c>
      <c r="D593" s="200">
        <v>44368</v>
      </c>
      <c r="E593" s="199" t="s">
        <v>14796</v>
      </c>
      <c r="I593" s="198">
        <v>6.74</v>
      </c>
      <c r="K593" s="198">
        <v>81057.38</v>
      </c>
    </row>
    <row r="594" spans="3:11" x14ac:dyDescent="0.2">
      <c r="C594" s="201" t="s">
        <v>14795</v>
      </c>
      <c r="D594" s="200">
        <v>44368</v>
      </c>
      <c r="E594" s="199" t="s">
        <v>14794</v>
      </c>
      <c r="I594" s="198">
        <v>6.51</v>
      </c>
      <c r="K594" s="198">
        <v>81063.89</v>
      </c>
    </row>
    <row r="595" spans="3:11" x14ac:dyDescent="0.2">
      <c r="C595" s="201" t="s">
        <v>14793</v>
      </c>
      <c r="D595" s="200">
        <v>44368</v>
      </c>
      <c r="E595" s="199" t="s">
        <v>14792</v>
      </c>
      <c r="I595" s="198">
        <v>12.57</v>
      </c>
      <c r="K595" s="198">
        <v>81076.460000000006</v>
      </c>
    </row>
    <row r="596" spans="3:11" x14ac:dyDescent="0.2">
      <c r="C596" s="201" t="s">
        <v>14791</v>
      </c>
      <c r="D596" s="200">
        <v>44368</v>
      </c>
      <c r="E596" s="199" t="s">
        <v>14790</v>
      </c>
      <c r="I596" s="198">
        <v>5.22</v>
      </c>
      <c r="K596" s="198">
        <v>81081.679999999993</v>
      </c>
    </row>
    <row r="597" spans="3:11" x14ac:dyDescent="0.2">
      <c r="C597" s="201" t="s">
        <v>14789</v>
      </c>
      <c r="D597" s="200">
        <v>44368</v>
      </c>
      <c r="E597" s="199" t="s">
        <v>14788</v>
      </c>
      <c r="I597" s="198">
        <v>5.04</v>
      </c>
      <c r="K597" s="198">
        <v>81086.720000000001</v>
      </c>
    </row>
    <row r="598" spans="3:11" x14ac:dyDescent="0.2">
      <c r="C598" s="201" t="s">
        <v>14787</v>
      </c>
      <c r="D598" s="200">
        <v>44368</v>
      </c>
      <c r="E598" s="199" t="s">
        <v>14786</v>
      </c>
      <c r="I598" s="198">
        <v>623.24</v>
      </c>
      <c r="K598" s="198">
        <v>81709.960000000006</v>
      </c>
    </row>
    <row r="599" spans="3:11" x14ac:dyDescent="0.2">
      <c r="C599" s="201" t="s">
        <v>7879</v>
      </c>
      <c r="D599" s="200">
        <v>44368</v>
      </c>
      <c r="E599" s="199" t="s">
        <v>14785</v>
      </c>
      <c r="I599" s="198">
        <v>2.5299999999999998</v>
      </c>
      <c r="K599" s="198">
        <v>81712.490000000005</v>
      </c>
    </row>
    <row r="600" spans="3:11" x14ac:dyDescent="0.2">
      <c r="C600" s="201" t="s">
        <v>7713</v>
      </c>
      <c r="D600" s="200">
        <v>44368</v>
      </c>
      <c r="E600" s="199" t="s">
        <v>14784</v>
      </c>
      <c r="I600" s="198">
        <v>80.209999999999994</v>
      </c>
      <c r="K600" s="198">
        <v>81792.7</v>
      </c>
    </row>
    <row r="601" spans="3:11" x14ac:dyDescent="0.2">
      <c r="C601" s="201" t="s">
        <v>6176</v>
      </c>
      <c r="D601" s="200">
        <v>44368</v>
      </c>
      <c r="E601" s="199" t="s">
        <v>20196</v>
      </c>
      <c r="J601" s="222">
        <v>9.6999999999999993</v>
      </c>
      <c r="K601" s="198">
        <v>81783</v>
      </c>
    </row>
    <row r="602" spans="3:11" x14ac:dyDescent="0.2">
      <c r="C602" s="201" t="s">
        <v>14783</v>
      </c>
      <c r="D602" s="200">
        <v>44369</v>
      </c>
      <c r="E602" s="199" t="s">
        <v>14782</v>
      </c>
      <c r="I602" s="198">
        <v>20.82</v>
      </c>
      <c r="K602" s="198">
        <v>81803.820000000007</v>
      </c>
    </row>
    <row r="603" spans="3:11" x14ac:dyDescent="0.2">
      <c r="C603" s="201" t="s">
        <v>14781</v>
      </c>
      <c r="D603" s="200">
        <v>44369</v>
      </c>
      <c r="E603" s="199" t="s">
        <v>14780</v>
      </c>
      <c r="I603" s="198">
        <v>8.3800000000000008</v>
      </c>
      <c r="K603" s="198">
        <v>81812.2</v>
      </c>
    </row>
    <row r="604" spans="3:11" x14ac:dyDescent="0.2">
      <c r="C604" s="201" t="s">
        <v>14779</v>
      </c>
      <c r="D604" s="200">
        <v>44369</v>
      </c>
      <c r="E604" s="199" t="s">
        <v>14778</v>
      </c>
      <c r="I604" s="198">
        <v>15.3</v>
      </c>
      <c r="K604" s="198">
        <v>81827.5</v>
      </c>
    </row>
    <row r="605" spans="3:11" x14ac:dyDescent="0.2">
      <c r="C605" s="201" t="s">
        <v>14777</v>
      </c>
      <c r="D605" s="200">
        <v>44369</v>
      </c>
      <c r="E605" s="199" t="s">
        <v>14776</v>
      </c>
      <c r="I605" s="198">
        <v>4.1900000000000004</v>
      </c>
      <c r="K605" s="198">
        <v>81831.69</v>
      </c>
    </row>
    <row r="606" spans="3:11" x14ac:dyDescent="0.2">
      <c r="C606" s="201" t="s">
        <v>14775</v>
      </c>
      <c r="D606" s="200">
        <v>44369</v>
      </c>
      <c r="E606" s="199" t="s">
        <v>14774</v>
      </c>
      <c r="I606" s="198">
        <v>8.4600000000000009</v>
      </c>
      <c r="K606" s="198">
        <v>81840.149999999994</v>
      </c>
    </row>
    <row r="607" spans="3:11" x14ac:dyDescent="0.2">
      <c r="C607" s="201" t="s">
        <v>14773</v>
      </c>
      <c r="D607" s="200">
        <v>44369</v>
      </c>
      <c r="E607" s="199" t="s">
        <v>14772</v>
      </c>
      <c r="I607" s="198">
        <v>2.4500000000000002</v>
      </c>
      <c r="K607" s="198">
        <v>81842.600000000006</v>
      </c>
    </row>
    <row r="608" spans="3:11" x14ac:dyDescent="0.2">
      <c r="C608" s="201" t="s">
        <v>14771</v>
      </c>
      <c r="D608" s="200">
        <v>44369</v>
      </c>
      <c r="E608" s="199" t="s">
        <v>14770</v>
      </c>
      <c r="I608" s="198">
        <v>110.12</v>
      </c>
      <c r="K608" s="198">
        <v>81952.72</v>
      </c>
    </row>
    <row r="609" spans="3:11" x14ac:dyDescent="0.2">
      <c r="C609" s="201" t="s">
        <v>14769</v>
      </c>
      <c r="D609" s="200">
        <v>44370</v>
      </c>
      <c r="E609" s="199" t="s">
        <v>14768</v>
      </c>
      <c r="I609" s="198">
        <v>20.260000000000002</v>
      </c>
      <c r="K609" s="198">
        <v>81972.98</v>
      </c>
    </row>
    <row r="610" spans="3:11" x14ac:dyDescent="0.2">
      <c r="C610" s="201" t="s">
        <v>14767</v>
      </c>
      <c r="D610" s="200">
        <v>44370</v>
      </c>
      <c r="E610" s="199" t="s">
        <v>14766</v>
      </c>
      <c r="I610" s="198">
        <v>6.94</v>
      </c>
      <c r="K610" s="198">
        <v>81979.92</v>
      </c>
    </row>
    <row r="611" spans="3:11" x14ac:dyDescent="0.2">
      <c r="C611" s="201" t="s">
        <v>14765</v>
      </c>
      <c r="D611" s="200">
        <v>44370</v>
      </c>
      <c r="E611" s="199" t="s">
        <v>14764</v>
      </c>
      <c r="I611" s="198">
        <v>10</v>
      </c>
      <c r="K611" s="198">
        <v>81989.919999999998</v>
      </c>
    </row>
    <row r="612" spans="3:11" x14ac:dyDescent="0.2">
      <c r="C612" s="201" t="s">
        <v>14763</v>
      </c>
      <c r="D612" s="200">
        <v>44370</v>
      </c>
      <c r="E612" s="199" t="s">
        <v>14762</v>
      </c>
      <c r="I612" s="198">
        <v>4.55</v>
      </c>
      <c r="K612" s="198">
        <v>81994.47</v>
      </c>
    </row>
    <row r="613" spans="3:11" x14ac:dyDescent="0.2">
      <c r="C613" s="201" t="s">
        <v>14761</v>
      </c>
      <c r="D613" s="200">
        <v>44370</v>
      </c>
      <c r="E613" s="199" t="s">
        <v>14760</v>
      </c>
      <c r="I613" s="198">
        <v>6.61</v>
      </c>
      <c r="K613" s="198">
        <v>82001.08</v>
      </c>
    </row>
    <row r="614" spans="3:11" x14ac:dyDescent="0.2">
      <c r="C614" s="201" t="s">
        <v>14759</v>
      </c>
      <c r="D614" s="200">
        <v>44370</v>
      </c>
      <c r="E614" s="199" t="s">
        <v>14758</v>
      </c>
      <c r="I614" s="198">
        <v>3.91</v>
      </c>
      <c r="K614" s="198">
        <v>82004.990000000005</v>
      </c>
    </row>
    <row r="615" spans="3:11" x14ac:dyDescent="0.2">
      <c r="C615" s="201" t="s">
        <v>14757</v>
      </c>
      <c r="D615" s="200">
        <v>44370</v>
      </c>
      <c r="E615" s="199" t="s">
        <v>14756</v>
      </c>
      <c r="I615" s="198">
        <v>1.84</v>
      </c>
      <c r="K615" s="198">
        <v>82006.83</v>
      </c>
    </row>
    <row r="616" spans="3:11" x14ac:dyDescent="0.2">
      <c r="C616" s="201" t="s">
        <v>14755</v>
      </c>
      <c r="D616" s="200">
        <v>44370</v>
      </c>
      <c r="E616" s="199" t="s">
        <v>14754</v>
      </c>
      <c r="I616" s="198">
        <v>17.36</v>
      </c>
      <c r="K616" s="198">
        <v>82024.19</v>
      </c>
    </row>
    <row r="617" spans="3:11" x14ac:dyDescent="0.2">
      <c r="C617" s="201" t="s">
        <v>14753</v>
      </c>
      <c r="D617" s="200">
        <v>44371</v>
      </c>
      <c r="E617" s="199" t="s">
        <v>14752</v>
      </c>
      <c r="I617" s="198">
        <v>10.77</v>
      </c>
      <c r="K617" s="198">
        <v>82034.960000000006</v>
      </c>
    </row>
    <row r="618" spans="3:11" x14ac:dyDescent="0.2">
      <c r="C618" s="201" t="s">
        <v>14751</v>
      </c>
      <c r="D618" s="200">
        <v>44371</v>
      </c>
      <c r="E618" s="199" t="s">
        <v>14750</v>
      </c>
      <c r="I618" s="198">
        <v>16.760000000000002</v>
      </c>
      <c r="K618" s="198">
        <v>82051.72</v>
      </c>
    </row>
    <row r="619" spans="3:11" x14ac:dyDescent="0.2">
      <c r="C619" s="201" t="s">
        <v>14749</v>
      </c>
      <c r="D619" s="200">
        <v>44371</v>
      </c>
      <c r="E619" s="199" t="s">
        <v>14748</v>
      </c>
      <c r="I619" s="198">
        <v>1.68</v>
      </c>
      <c r="K619" s="198">
        <v>82053.399999999994</v>
      </c>
    </row>
    <row r="620" spans="3:11" x14ac:dyDescent="0.2">
      <c r="C620" s="201" t="s">
        <v>14747</v>
      </c>
      <c r="D620" s="200">
        <v>44371</v>
      </c>
      <c r="E620" s="199" t="s">
        <v>14746</v>
      </c>
      <c r="I620" s="198">
        <v>1.68</v>
      </c>
      <c r="K620" s="198">
        <v>82055.08</v>
      </c>
    </row>
    <row r="621" spans="3:11" x14ac:dyDescent="0.2">
      <c r="C621" s="201" t="s">
        <v>14745</v>
      </c>
      <c r="D621" s="200">
        <v>44371</v>
      </c>
      <c r="E621" s="199" t="s">
        <v>14744</v>
      </c>
      <c r="I621" s="198">
        <v>7.55</v>
      </c>
      <c r="K621" s="198">
        <v>82062.63</v>
      </c>
    </row>
    <row r="622" spans="3:11" x14ac:dyDescent="0.2">
      <c r="C622" s="201" t="s">
        <v>14743</v>
      </c>
      <c r="D622" s="200">
        <v>44371</v>
      </c>
      <c r="E622" s="199" t="s">
        <v>14742</v>
      </c>
      <c r="I622" s="198">
        <v>8.3800000000000008</v>
      </c>
      <c r="K622" s="198">
        <v>82071.009999999995</v>
      </c>
    </row>
    <row r="623" spans="3:11" x14ac:dyDescent="0.2">
      <c r="C623" s="201" t="s">
        <v>14741</v>
      </c>
      <c r="D623" s="200">
        <v>44371</v>
      </c>
      <c r="E623" s="199" t="s">
        <v>14740</v>
      </c>
      <c r="I623" s="198">
        <v>6.8</v>
      </c>
      <c r="K623" s="198">
        <v>82077.81</v>
      </c>
    </row>
    <row r="624" spans="3:11" x14ac:dyDescent="0.2">
      <c r="C624" s="201" t="s">
        <v>14739</v>
      </c>
      <c r="D624" s="200">
        <v>44371</v>
      </c>
      <c r="E624" s="199" t="s">
        <v>14738</v>
      </c>
      <c r="I624" s="198">
        <v>5</v>
      </c>
      <c r="K624" s="198">
        <v>82082.81</v>
      </c>
    </row>
    <row r="625" spans="3:11" x14ac:dyDescent="0.2">
      <c r="C625" s="201" t="s">
        <v>14737</v>
      </c>
      <c r="D625" s="200">
        <v>44371</v>
      </c>
      <c r="E625" s="199" t="s">
        <v>14736</v>
      </c>
      <c r="I625" s="198">
        <v>3.36</v>
      </c>
      <c r="K625" s="198">
        <v>82086.17</v>
      </c>
    </row>
    <row r="626" spans="3:11" x14ac:dyDescent="0.2">
      <c r="C626" s="201" t="s">
        <v>14735</v>
      </c>
      <c r="D626" s="200">
        <v>44372</v>
      </c>
      <c r="E626" s="199" t="s">
        <v>14734</v>
      </c>
      <c r="I626" s="198">
        <v>22.28</v>
      </c>
      <c r="K626" s="198">
        <v>82108.45</v>
      </c>
    </row>
    <row r="627" spans="3:11" x14ac:dyDescent="0.2">
      <c r="C627" s="201" t="s">
        <v>14733</v>
      </c>
      <c r="D627" s="200">
        <v>44372</v>
      </c>
      <c r="E627" s="199" t="s">
        <v>14732</v>
      </c>
      <c r="I627" s="198">
        <v>8.3800000000000008</v>
      </c>
      <c r="K627" s="198">
        <v>82116.83</v>
      </c>
    </row>
    <row r="628" spans="3:11" x14ac:dyDescent="0.2">
      <c r="C628" s="201" t="s">
        <v>14731</v>
      </c>
      <c r="D628" s="200">
        <v>44372</v>
      </c>
      <c r="E628" s="199" t="s">
        <v>14730</v>
      </c>
      <c r="I628" s="198">
        <v>1.68</v>
      </c>
      <c r="K628" s="198">
        <v>82118.509999999995</v>
      </c>
    </row>
    <row r="629" spans="3:11" x14ac:dyDescent="0.2">
      <c r="C629" s="201" t="s">
        <v>14729</v>
      </c>
      <c r="D629" s="200">
        <v>44372</v>
      </c>
      <c r="E629" s="199" t="s">
        <v>14728</v>
      </c>
      <c r="I629" s="198">
        <v>1.78</v>
      </c>
      <c r="K629" s="198">
        <v>82120.289999999994</v>
      </c>
    </row>
    <row r="630" spans="3:11" x14ac:dyDescent="0.2">
      <c r="C630" s="201" t="s">
        <v>14727</v>
      </c>
      <c r="D630" s="200">
        <v>44372</v>
      </c>
      <c r="E630" s="199" t="s">
        <v>14726</v>
      </c>
      <c r="I630" s="198">
        <v>6.94</v>
      </c>
      <c r="K630" s="198">
        <v>82127.23</v>
      </c>
    </row>
    <row r="631" spans="3:11" x14ac:dyDescent="0.2">
      <c r="C631" s="201" t="s">
        <v>14725</v>
      </c>
      <c r="D631" s="200">
        <v>44372</v>
      </c>
      <c r="E631" s="199" t="s">
        <v>14724</v>
      </c>
      <c r="I631" s="198">
        <v>26.15</v>
      </c>
      <c r="K631" s="198">
        <v>82153.38</v>
      </c>
    </row>
    <row r="632" spans="3:11" x14ac:dyDescent="0.2">
      <c r="C632" s="201" t="s">
        <v>14723</v>
      </c>
      <c r="D632" s="200">
        <v>44372</v>
      </c>
      <c r="E632" s="199" t="s">
        <v>14722</v>
      </c>
      <c r="I632" s="198">
        <v>3.47</v>
      </c>
      <c r="K632" s="198">
        <v>82156.850000000006</v>
      </c>
    </row>
    <row r="633" spans="3:11" x14ac:dyDescent="0.2">
      <c r="C633" s="201" t="s">
        <v>14721</v>
      </c>
      <c r="D633" s="200">
        <v>44372</v>
      </c>
      <c r="E633" s="199" t="s">
        <v>14720</v>
      </c>
      <c r="I633" s="198">
        <v>7.58</v>
      </c>
      <c r="K633" s="198">
        <v>82164.429999999993</v>
      </c>
    </row>
    <row r="634" spans="3:11" x14ac:dyDescent="0.2">
      <c r="C634" s="201" t="s">
        <v>14719</v>
      </c>
      <c r="D634" s="200">
        <v>44372</v>
      </c>
      <c r="E634" s="199" t="s">
        <v>14718</v>
      </c>
      <c r="I634" s="198">
        <v>4.24</v>
      </c>
      <c r="K634" s="198">
        <v>82168.67</v>
      </c>
    </row>
    <row r="635" spans="3:11" x14ac:dyDescent="0.2">
      <c r="C635" s="201" t="s">
        <v>14717</v>
      </c>
      <c r="D635" s="200">
        <v>44372</v>
      </c>
      <c r="E635" s="199" t="s">
        <v>14716</v>
      </c>
      <c r="I635" s="198">
        <v>4.41</v>
      </c>
      <c r="K635" s="198">
        <v>82173.08</v>
      </c>
    </row>
    <row r="636" spans="3:11" x14ac:dyDescent="0.2">
      <c r="C636" s="201" t="s">
        <v>14715</v>
      </c>
      <c r="D636" s="200">
        <v>44372</v>
      </c>
      <c r="E636" s="199" t="s">
        <v>14714</v>
      </c>
      <c r="I636" s="198">
        <v>7.21</v>
      </c>
      <c r="K636" s="198">
        <v>82180.289999999994</v>
      </c>
    </row>
    <row r="637" spans="3:11" x14ac:dyDescent="0.2">
      <c r="C637" s="201" t="s">
        <v>14713</v>
      </c>
      <c r="D637" s="200">
        <v>44372</v>
      </c>
      <c r="E637" s="199" t="s">
        <v>14712</v>
      </c>
      <c r="I637" s="198">
        <v>1.68</v>
      </c>
      <c r="K637" s="198">
        <v>82181.97</v>
      </c>
    </row>
    <row r="638" spans="3:11" x14ac:dyDescent="0.2">
      <c r="C638" s="201" t="s">
        <v>14711</v>
      </c>
      <c r="D638" s="200">
        <v>44372</v>
      </c>
      <c r="E638" s="199" t="s">
        <v>14710</v>
      </c>
      <c r="I638" s="198">
        <v>2.2200000000000002</v>
      </c>
      <c r="K638" s="198">
        <v>82184.19</v>
      </c>
    </row>
    <row r="639" spans="3:11" x14ac:dyDescent="0.2">
      <c r="C639" s="201" t="s">
        <v>14709</v>
      </c>
      <c r="D639" s="200">
        <v>44372</v>
      </c>
      <c r="E639" s="199" t="s">
        <v>14708</v>
      </c>
      <c r="I639" s="198">
        <v>20.82</v>
      </c>
      <c r="K639" s="198">
        <v>82205.009999999995</v>
      </c>
    </row>
    <row r="640" spans="3:11" x14ac:dyDescent="0.2">
      <c r="C640" s="201" t="s">
        <v>14707</v>
      </c>
      <c r="D640" s="200">
        <v>44372</v>
      </c>
      <c r="E640" s="199" t="s">
        <v>14706</v>
      </c>
      <c r="I640" s="198">
        <v>4.6100000000000003</v>
      </c>
      <c r="K640" s="198">
        <v>82209.62</v>
      </c>
    </row>
    <row r="641" spans="3:11" x14ac:dyDescent="0.2">
      <c r="C641" s="201" t="s">
        <v>14705</v>
      </c>
      <c r="D641" s="200">
        <v>44372</v>
      </c>
      <c r="E641" s="199" t="s">
        <v>14704</v>
      </c>
      <c r="I641" s="198">
        <v>3.36</v>
      </c>
      <c r="K641" s="198">
        <v>82212.98</v>
      </c>
    </row>
    <row r="642" spans="3:11" x14ac:dyDescent="0.2">
      <c r="C642" s="201" t="s">
        <v>14703</v>
      </c>
      <c r="D642" s="200">
        <v>44372</v>
      </c>
      <c r="E642" s="199" t="s">
        <v>14702</v>
      </c>
      <c r="I642" s="198">
        <v>2.4300000000000002</v>
      </c>
      <c r="K642" s="198">
        <v>82215.41</v>
      </c>
    </row>
    <row r="643" spans="3:11" x14ac:dyDescent="0.2">
      <c r="C643" s="201" t="s">
        <v>14701</v>
      </c>
      <c r="D643" s="200">
        <v>44372</v>
      </c>
      <c r="E643" s="199" t="s">
        <v>14700</v>
      </c>
      <c r="I643" s="198">
        <v>5.97</v>
      </c>
      <c r="K643" s="198">
        <v>82221.38</v>
      </c>
    </row>
    <row r="644" spans="3:11" x14ac:dyDescent="0.2">
      <c r="C644" s="201" t="s">
        <v>14699</v>
      </c>
      <c r="D644" s="200">
        <v>44372</v>
      </c>
      <c r="E644" s="199" t="s">
        <v>14698</v>
      </c>
      <c r="I644" s="198">
        <v>3.84</v>
      </c>
      <c r="K644" s="198">
        <v>82225.22</v>
      </c>
    </row>
    <row r="645" spans="3:11" x14ac:dyDescent="0.2">
      <c r="C645" s="201" t="s">
        <v>14697</v>
      </c>
      <c r="D645" s="200">
        <v>44372</v>
      </c>
      <c r="E645" s="199" t="s">
        <v>14696</v>
      </c>
      <c r="I645" s="198">
        <v>1.71</v>
      </c>
      <c r="K645" s="198">
        <v>82226.929999999993</v>
      </c>
    </row>
    <row r="646" spans="3:11" x14ac:dyDescent="0.2">
      <c r="C646" s="201" t="s">
        <v>14695</v>
      </c>
      <c r="D646" s="200">
        <v>44372</v>
      </c>
      <c r="E646" s="199" t="s">
        <v>14694</v>
      </c>
      <c r="I646" s="198">
        <v>7.51</v>
      </c>
      <c r="K646" s="198">
        <v>82234.44</v>
      </c>
    </row>
    <row r="647" spans="3:11" x14ac:dyDescent="0.2">
      <c r="C647" s="201" t="s">
        <v>14693</v>
      </c>
      <c r="D647" s="200">
        <v>44372</v>
      </c>
      <c r="E647" s="199" t="s">
        <v>14692</v>
      </c>
      <c r="I647" s="198">
        <v>6.94</v>
      </c>
      <c r="K647" s="198">
        <v>82241.38</v>
      </c>
    </row>
    <row r="648" spans="3:11" x14ac:dyDescent="0.2">
      <c r="C648" s="201" t="s">
        <v>14691</v>
      </c>
      <c r="D648" s="200">
        <v>44372</v>
      </c>
      <c r="E648" s="199" t="s">
        <v>14690</v>
      </c>
      <c r="I648" s="198">
        <v>2.08</v>
      </c>
      <c r="K648" s="198">
        <v>82243.460000000006</v>
      </c>
    </row>
    <row r="649" spans="3:11" x14ac:dyDescent="0.2">
      <c r="C649" s="201" t="s">
        <v>14689</v>
      </c>
      <c r="D649" s="200">
        <v>44372</v>
      </c>
      <c r="E649" s="199" t="s">
        <v>14688</v>
      </c>
      <c r="I649" s="198">
        <v>4.6900000000000004</v>
      </c>
      <c r="K649" s="198">
        <v>82248.149999999994</v>
      </c>
    </row>
    <row r="650" spans="3:11" x14ac:dyDescent="0.2">
      <c r="C650" s="201" t="s">
        <v>14687</v>
      </c>
      <c r="D650" s="200">
        <v>44372</v>
      </c>
      <c r="E650" s="199" t="s">
        <v>14686</v>
      </c>
      <c r="I650" s="198">
        <v>16.760000000000002</v>
      </c>
      <c r="K650" s="198">
        <v>82264.91</v>
      </c>
    </row>
    <row r="651" spans="3:11" x14ac:dyDescent="0.2">
      <c r="C651" s="201" t="s">
        <v>14685</v>
      </c>
      <c r="D651" s="200">
        <v>44372</v>
      </c>
      <c r="E651" s="199" t="s">
        <v>14684</v>
      </c>
      <c r="I651" s="198">
        <v>4.07</v>
      </c>
      <c r="K651" s="198">
        <v>82268.98</v>
      </c>
    </row>
    <row r="652" spans="3:11" x14ac:dyDescent="0.2">
      <c r="C652" s="201" t="s">
        <v>14683</v>
      </c>
      <c r="D652" s="200">
        <v>44372</v>
      </c>
      <c r="E652" s="199" t="s">
        <v>14682</v>
      </c>
      <c r="I652" s="198">
        <v>1.79</v>
      </c>
      <c r="K652" s="198">
        <v>82270.77</v>
      </c>
    </row>
    <row r="653" spans="3:11" x14ac:dyDescent="0.2">
      <c r="C653" s="201" t="s">
        <v>14681</v>
      </c>
      <c r="D653" s="200">
        <v>44372</v>
      </c>
      <c r="E653" s="199" t="s">
        <v>14680</v>
      </c>
      <c r="I653" s="198">
        <v>1.68</v>
      </c>
      <c r="K653" s="198">
        <v>82272.45</v>
      </c>
    </row>
    <row r="654" spans="3:11" x14ac:dyDescent="0.2">
      <c r="C654" s="201" t="s">
        <v>14679</v>
      </c>
      <c r="D654" s="200">
        <v>44372</v>
      </c>
      <c r="E654" s="199" t="s">
        <v>14678</v>
      </c>
      <c r="I654" s="198">
        <v>1.68</v>
      </c>
      <c r="K654" s="198">
        <v>82274.13</v>
      </c>
    </row>
    <row r="655" spans="3:11" x14ac:dyDescent="0.2">
      <c r="C655" s="201" t="s">
        <v>14677</v>
      </c>
      <c r="D655" s="200">
        <v>44372</v>
      </c>
      <c r="E655" s="199" t="s">
        <v>14676</v>
      </c>
      <c r="I655" s="198">
        <v>1.68</v>
      </c>
      <c r="K655" s="198">
        <v>82275.81</v>
      </c>
    </row>
    <row r="656" spans="3:11" x14ac:dyDescent="0.2">
      <c r="C656" s="201" t="s">
        <v>14675</v>
      </c>
      <c r="D656" s="200">
        <v>44372</v>
      </c>
      <c r="E656" s="199" t="s">
        <v>14674</v>
      </c>
      <c r="I656" s="198">
        <v>6.1</v>
      </c>
      <c r="K656" s="198">
        <v>82281.91</v>
      </c>
    </row>
    <row r="657" spans="3:11" x14ac:dyDescent="0.2">
      <c r="C657" s="201" t="s">
        <v>14673</v>
      </c>
      <c r="D657" s="200">
        <v>44372</v>
      </c>
      <c r="E657" s="199" t="s">
        <v>14672</v>
      </c>
      <c r="I657" s="198">
        <v>6.5</v>
      </c>
      <c r="K657" s="198">
        <v>82288.41</v>
      </c>
    </row>
    <row r="658" spans="3:11" x14ac:dyDescent="0.2">
      <c r="C658" s="201" t="s">
        <v>14671</v>
      </c>
      <c r="D658" s="200">
        <v>44372</v>
      </c>
      <c r="E658" s="199" t="s">
        <v>14670</v>
      </c>
      <c r="I658" s="198">
        <v>259.18</v>
      </c>
      <c r="K658" s="198">
        <v>82547.59</v>
      </c>
    </row>
    <row r="659" spans="3:11" x14ac:dyDescent="0.2">
      <c r="C659" s="201" t="s">
        <v>14669</v>
      </c>
      <c r="D659" s="200">
        <v>44372</v>
      </c>
      <c r="E659" s="199" t="s">
        <v>14668</v>
      </c>
      <c r="I659" s="198">
        <v>4015.64</v>
      </c>
      <c r="K659" s="198">
        <v>86563.23</v>
      </c>
    </row>
    <row r="660" spans="3:11" x14ac:dyDescent="0.2">
      <c r="C660" s="201" t="s">
        <v>14667</v>
      </c>
      <c r="D660" s="200">
        <v>44372</v>
      </c>
      <c r="E660" s="199" t="s">
        <v>14666</v>
      </c>
      <c r="J660" s="222">
        <v>83.73</v>
      </c>
      <c r="K660" s="198">
        <v>86479.5</v>
      </c>
    </row>
    <row r="661" spans="3:11" x14ac:dyDescent="0.2">
      <c r="C661" s="201" t="s">
        <v>14665</v>
      </c>
      <c r="D661" s="200">
        <v>44373</v>
      </c>
      <c r="E661" s="199" t="s">
        <v>14664</v>
      </c>
      <c r="I661" s="198">
        <v>1.68</v>
      </c>
      <c r="K661" s="198">
        <v>86481.18</v>
      </c>
    </row>
    <row r="662" spans="3:11" x14ac:dyDescent="0.2">
      <c r="C662" s="201" t="s">
        <v>14663</v>
      </c>
      <c r="D662" s="200">
        <v>44373</v>
      </c>
      <c r="E662" s="199" t="s">
        <v>14662</v>
      </c>
      <c r="I662" s="198">
        <v>0.8</v>
      </c>
      <c r="K662" s="198">
        <v>86481.98</v>
      </c>
    </row>
    <row r="663" spans="3:11" x14ac:dyDescent="0.2">
      <c r="C663" s="201" t="s">
        <v>14661</v>
      </c>
      <c r="D663" s="200">
        <v>44373</v>
      </c>
      <c r="E663" s="199" t="s">
        <v>14660</v>
      </c>
      <c r="I663" s="198">
        <v>1.68</v>
      </c>
      <c r="K663" s="198">
        <v>86483.66</v>
      </c>
    </row>
    <row r="664" spans="3:11" x14ac:dyDescent="0.2">
      <c r="C664" s="201" t="s">
        <v>14659</v>
      </c>
      <c r="D664" s="200">
        <v>44373</v>
      </c>
      <c r="E664" s="199" t="s">
        <v>14658</v>
      </c>
      <c r="I664" s="198">
        <v>2.68</v>
      </c>
      <c r="K664" s="198">
        <v>86486.34</v>
      </c>
    </row>
    <row r="665" spans="3:11" x14ac:dyDescent="0.2">
      <c r="C665" s="201" t="s">
        <v>14657</v>
      </c>
      <c r="D665" s="200">
        <v>44373</v>
      </c>
      <c r="E665" s="199" t="s">
        <v>14656</v>
      </c>
      <c r="I665" s="198">
        <v>2.2599999999999998</v>
      </c>
      <c r="K665" s="198">
        <v>86488.6</v>
      </c>
    </row>
    <row r="666" spans="3:11" x14ac:dyDescent="0.2">
      <c r="C666" s="201" t="s">
        <v>14655</v>
      </c>
      <c r="D666" s="200">
        <v>44373</v>
      </c>
      <c r="E666" s="199" t="s">
        <v>14654</v>
      </c>
      <c r="I666" s="198">
        <v>2.58</v>
      </c>
      <c r="K666" s="198">
        <v>86491.18</v>
      </c>
    </row>
    <row r="667" spans="3:11" x14ac:dyDescent="0.2">
      <c r="C667" s="201" t="s">
        <v>14653</v>
      </c>
      <c r="D667" s="200">
        <v>44373</v>
      </c>
      <c r="E667" s="199" t="s">
        <v>14652</v>
      </c>
      <c r="I667" s="198">
        <v>1.31</v>
      </c>
      <c r="K667" s="198">
        <v>86492.49</v>
      </c>
    </row>
    <row r="668" spans="3:11" x14ac:dyDescent="0.2">
      <c r="C668" s="201" t="s">
        <v>14651</v>
      </c>
      <c r="D668" s="200">
        <v>44373</v>
      </c>
      <c r="E668" s="199" t="s">
        <v>14650</v>
      </c>
      <c r="I668" s="198">
        <v>1.86</v>
      </c>
      <c r="K668" s="198">
        <v>86494.35</v>
      </c>
    </row>
    <row r="669" spans="3:11" x14ac:dyDescent="0.2">
      <c r="C669" s="201" t="s">
        <v>14649</v>
      </c>
      <c r="D669" s="200">
        <v>44373</v>
      </c>
      <c r="E669" s="199" t="s">
        <v>14648</v>
      </c>
      <c r="I669" s="198">
        <v>5.17</v>
      </c>
      <c r="K669" s="198">
        <v>86499.520000000004</v>
      </c>
    </row>
    <row r="670" spans="3:11" x14ac:dyDescent="0.2">
      <c r="C670" s="201" t="s">
        <v>14647</v>
      </c>
      <c r="D670" s="200">
        <v>44373</v>
      </c>
      <c r="E670" s="199" t="s">
        <v>14646</v>
      </c>
      <c r="I670" s="198">
        <v>0.84</v>
      </c>
      <c r="K670" s="198">
        <v>86500.36</v>
      </c>
    </row>
    <row r="671" spans="3:11" x14ac:dyDescent="0.2">
      <c r="C671" s="201" t="s">
        <v>14645</v>
      </c>
      <c r="D671" s="200">
        <v>44373</v>
      </c>
      <c r="E671" s="199" t="s">
        <v>14644</v>
      </c>
      <c r="I671" s="198">
        <v>5.04</v>
      </c>
      <c r="K671" s="198">
        <v>86505.4</v>
      </c>
    </row>
    <row r="672" spans="3:11" x14ac:dyDescent="0.2">
      <c r="C672" s="201" t="s">
        <v>14643</v>
      </c>
      <c r="D672" s="200">
        <v>44373</v>
      </c>
      <c r="E672" s="199" t="s">
        <v>14642</v>
      </c>
      <c r="I672" s="198">
        <v>2.2400000000000002</v>
      </c>
      <c r="K672" s="198">
        <v>86507.64</v>
      </c>
    </row>
    <row r="673" spans="3:11" x14ac:dyDescent="0.2">
      <c r="C673" s="201" t="s">
        <v>14641</v>
      </c>
      <c r="D673" s="200">
        <v>44373</v>
      </c>
      <c r="E673" s="199" t="s">
        <v>14640</v>
      </c>
      <c r="I673" s="198">
        <v>9.81</v>
      </c>
      <c r="K673" s="198">
        <v>86517.45</v>
      </c>
    </row>
    <row r="674" spans="3:11" x14ac:dyDescent="0.2">
      <c r="C674" s="201" t="s">
        <v>14639</v>
      </c>
      <c r="D674" s="200">
        <v>44373</v>
      </c>
      <c r="E674" s="199" t="s">
        <v>14638</v>
      </c>
      <c r="I674" s="198">
        <v>2.0299999999999998</v>
      </c>
      <c r="K674" s="198">
        <v>86519.48</v>
      </c>
    </row>
    <row r="675" spans="3:11" x14ac:dyDescent="0.2">
      <c r="C675" s="201" t="s">
        <v>14637</v>
      </c>
      <c r="D675" s="200">
        <v>44373</v>
      </c>
      <c r="E675" s="199" t="s">
        <v>14636</v>
      </c>
      <c r="I675" s="198">
        <v>1.69</v>
      </c>
      <c r="K675" s="198">
        <v>86521.17</v>
      </c>
    </row>
    <row r="676" spans="3:11" x14ac:dyDescent="0.2">
      <c r="C676" s="201" t="s">
        <v>14635</v>
      </c>
      <c r="D676" s="200">
        <v>44373</v>
      </c>
      <c r="E676" s="199" t="s">
        <v>14634</v>
      </c>
      <c r="I676" s="198">
        <v>1.92</v>
      </c>
      <c r="K676" s="198">
        <v>86523.09</v>
      </c>
    </row>
    <row r="677" spans="3:11" x14ac:dyDescent="0.2">
      <c r="C677" s="201" t="s">
        <v>14633</v>
      </c>
      <c r="D677" s="200">
        <v>44373</v>
      </c>
      <c r="E677" s="199" t="s">
        <v>14632</v>
      </c>
      <c r="I677" s="198">
        <v>4.33</v>
      </c>
      <c r="K677" s="198">
        <v>86527.42</v>
      </c>
    </row>
    <row r="678" spans="3:11" x14ac:dyDescent="0.2">
      <c r="C678" s="201" t="s">
        <v>14631</v>
      </c>
      <c r="D678" s="200">
        <v>44373</v>
      </c>
      <c r="E678" s="199" t="s">
        <v>14630</v>
      </c>
      <c r="I678" s="198">
        <v>4.0199999999999996</v>
      </c>
      <c r="K678" s="198">
        <v>86531.44</v>
      </c>
    </row>
    <row r="679" spans="3:11" x14ac:dyDescent="0.2">
      <c r="C679" s="201" t="s">
        <v>14629</v>
      </c>
      <c r="D679" s="200">
        <v>44373</v>
      </c>
      <c r="E679" s="199" t="s">
        <v>14628</v>
      </c>
      <c r="I679" s="198">
        <v>0.65</v>
      </c>
      <c r="K679" s="198">
        <v>86532.09</v>
      </c>
    </row>
    <row r="680" spans="3:11" x14ac:dyDescent="0.2">
      <c r="C680" s="201" t="s">
        <v>14627</v>
      </c>
      <c r="D680" s="200">
        <v>44373</v>
      </c>
      <c r="E680" s="199" t="s">
        <v>14626</v>
      </c>
      <c r="I680" s="198">
        <v>4.51</v>
      </c>
      <c r="K680" s="198">
        <v>86536.6</v>
      </c>
    </row>
    <row r="681" spans="3:11" x14ac:dyDescent="0.2">
      <c r="C681" s="201" t="s">
        <v>14625</v>
      </c>
      <c r="D681" s="200">
        <v>44373</v>
      </c>
      <c r="E681" s="199" t="s">
        <v>14624</v>
      </c>
      <c r="I681" s="198">
        <v>4.08</v>
      </c>
      <c r="K681" s="198">
        <v>86540.68</v>
      </c>
    </row>
    <row r="682" spans="3:11" x14ac:dyDescent="0.2">
      <c r="C682" s="201" t="s">
        <v>14623</v>
      </c>
      <c r="D682" s="200">
        <v>44373</v>
      </c>
      <c r="E682" s="199" t="s">
        <v>14622</v>
      </c>
      <c r="I682" s="198">
        <v>5.04</v>
      </c>
      <c r="K682" s="198">
        <v>86545.72</v>
      </c>
    </row>
    <row r="683" spans="3:11" x14ac:dyDescent="0.2">
      <c r="C683" s="201" t="s">
        <v>14621</v>
      </c>
      <c r="D683" s="200">
        <v>44374</v>
      </c>
      <c r="E683" s="199" t="s">
        <v>14620</v>
      </c>
      <c r="I683" s="198">
        <v>7.0000000000000007E-2</v>
      </c>
      <c r="K683" s="198">
        <v>86545.79</v>
      </c>
    </row>
    <row r="684" spans="3:11" x14ac:dyDescent="0.2">
      <c r="C684" s="201" t="s">
        <v>14619</v>
      </c>
      <c r="D684" s="200">
        <v>44374</v>
      </c>
      <c r="E684" s="199" t="s">
        <v>14618</v>
      </c>
      <c r="I684" s="198">
        <v>5.63</v>
      </c>
      <c r="K684" s="198">
        <v>86551.42</v>
      </c>
    </row>
    <row r="685" spans="3:11" x14ac:dyDescent="0.2">
      <c r="C685" s="201" t="s">
        <v>14617</v>
      </c>
      <c r="D685" s="200">
        <v>44374</v>
      </c>
      <c r="E685" s="199" t="s">
        <v>14616</v>
      </c>
      <c r="I685" s="198">
        <v>1.59</v>
      </c>
      <c r="K685" s="198">
        <v>86553.01</v>
      </c>
    </row>
    <row r="686" spans="3:11" x14ac:dyDescent="0.2">
      <c r="C686" s="201" t="s">
        <v>14615</v>
      </c>
      <c r="D686" s="200">
        <v>44374</v>
      </c>
      <c r="E686" s="199" t="s">
        <v>14614</v>
      </c>
      <c r="I686" s="198">
        <v>2.2200000000000002</v>
      </c>
      <c r="K686" s="198">
        <v>86555.23</v>
      </c>
    </row>
    <row r="687" spans="3:11" x14ac:dyDescent="0.2">
      <c r="C687" s="201" t="s">
        <v>14613</v>
      </c>
      <c r="D687" s="200">
        <v>44374</v>
      </c>
      <c r="E687" s="199" t="s">
        <v>14612</v>
      </c>
      <c r="I687" s="198">
        <v>3.4</v>
      </c>
      <c r="K687" s="198">
        <v>86558.63</v>
      </c>
    </row>
    <row r="688" spans="3:11" x14ac:dyDescent="0.2">
      <c r="C688" s="201" t="s">
        <v>14611</v>
      </c>
      <c r="D688" s="200">
        <v>44375</v>
      </c>
      <c r="E688" s="199" t="s">
        <v>14610</v>
      </c>
      <c r="I688" s="198">
        <v>1.69</v>
      </c>
      <c r="K688" s="198">
        <v>86560.320000000007</v>
      </c>
    </row>
    <row r="689" spans="3:11" x14ac:dyDescent="0.2">
      <c r="C689" s="201" t="s">
        <v>14609</v>
      </c>
      <c r="D689" s="200">
        <v>44375</v>
      </c>
      <c r="E689" s="199" t="s">
        <v>14608</v>
      </c>
      <c r="I689" s="198">
        <v>5.78</v>
      </c>
      <c r="K689" s="198">
        <v>86566.1</v>
      </c>
    </row>
    <row r="690" spans="3:11" x14ac:dyDescent="0.2">
      <c r="C690" s="201" t="s">
        <v>14607</v>
      </c>
      <c r="D690" s="200">
        <v>44375</v>
      </c>
      <c r="E690" s="199" t="s">
        <v>14606</v>
      </c>
      <c r="I690" s="198">
        <v>13.82</v>
      </c>
      <c r="K690" s="198">
        <v>86579.92</v>
      </c>
    </row>
    <row r="691" spans="3:11" x14ac:dyDescent="0.2">
      <c r="C691" s="201" t="s">
        <v>14605</v>
      </c>
      <c r="D691" s="200">
        <v>44375</v>
      </c>
      <c r="E691" s="199" t="s">
        <v>14604</v>
      </c>
      <c r="I691" s="198">
        <v>2.2200000000000002</v>
      </c>
      <c r="K691" s="198">
        <v>86582.14</v>
      </c>
    </row>
    <row r="692" spans="3:11" x14ac:dyDescent="0.2">
      <c r="C692" s="201" t="s">
        <v>14603</v>
      </c>
      <c r="D692" s="200">
        <v>44375</v>
      </c>
      <c r="E692" s="199" t="s">
        <v>14602</v>
      </c>
      <c r="I692" s="198">
        <v>12.3</v>
      </c>
      <c r="K692" s="198">
        <v>86594.44</v>
      </c>
    </row>
    <row r="693" spans="3:11" x14ac:dyDescent="0.2">
      <c r="C693" s="201" t="s">
        <v>14601</v>
      </c>
      <c r="D693" s="200">
        <v>44375</v>
      </c>
      <c r="E693" s="199" t="s">
        <v>14600</v>
      </c>
      <c r="I693" s="198">
        <v>6.03</v>
      </c>
      <c r="K693" s="198">
        <v>86600.47</v>
      </c>
    </row>
    <row r="694" spans="3:11" x14ac:dyDescent="0.2">
      <c r="C694" s="201" t="s">
        <v>14599</v>
      </c>
      <c r="D694" s="200">
        <v>44375</v>
      </c>
      <c r="E694" s="199" t="s">
        <v>14598</v>
      </c>
      <c r="I694" s="198">
        <v>5.12</v>
      </c>
      <c r="K694" s="198">
        <v>86605.59</v>
      </c>
    </row>
    <row r="695" spans="3:11" x14ac:dyDescent="0.2">
      <c r="C695" s="201" t="s">
        <v>14597</v>
      </c>
      <c r="D695" s="200">
        <v>44375</v>
      </c>
      <c r="E695" s="199" t="s">
        <v>14596</v>
      </c>
      <c r="I695" s="198">
        <v>3.16</v>
      </c>
      <c r="K695" s="198">
        <v>86608.75</v>
      </c>
    </row>
    <row r="696" spans="3:11" x14ac:dyDescent="0.2">
      <c r="C696" s="201" t="s">
        <v>14595</v>
      </c>
      <c r="D696" s="200">
        <v>44375</v>
      </c>
      <c r="E696" s="199" t="s">
        <v>14594</v>
      </c>
      <c r="I696" s="198">
        <v>1.68</v>
      </c>
      <c r="K696" s="198">
        <v>86610.43</v>
      </c>
    </row>
    <row r="697" spans="3:11" x14ac:dyDescent="0.2">
      <c r="C697" s="201" t="s">
        <v>14593</v>
      </c>
      <c r="D697" s="200">
        <v>44375</v>
      </c>
      <c r="E697" s="199" t="s">
        <v>14592</v>
      </c>
      <c r="I697" s="198">
        <v>4.72</v>
      </c>
      <c r="K697" s="198">
        <v>86615.15</v>
      </c>
    </row>
    <row r="698" spans="3:11" x14ac:dyDescent="0.2">
      <c r="C698" s="201" t="s">
        <v>14591</v>
      </c>
      <c r="D698" s="200">
        <v>44375</v>
      </c>
      <c r="E698" s="199" t="s">
        <v>14590</v>
      </c>
      <c r="I698" s="198">
        <v>6.57</v>
      </c>
      <c r="K698" s="198">
        <v>86621.72</v>
      </c>
    </row>
    <row r="699" spans="3:11" x14ac:dyDescent="0.2">
      <c r="C699" s="201" t="s">
        <v>14589</v>
      </c>
      <c r="D699" s="200">
        <v>44375</v>
      </c>
      <c r="E699" s="199" t="s">
        <v>14588</v>
      </c>
      <c r="I699" s="198">
        <v>2.4500000000000002</v>
      </c>
      <c r="K699" s="198">
        <v>86624.17</v>
      </c>
    </row>
    <row r="700" spans="3:11" x14ac:dyDescent="0.2">
      <c r="C700" s="201" t="s">
        <v>14587</v>
      </c>
      <c r="D700" s="200">
        <v>44375</v>
      </c>
      <c r="E700" s="199" t="s">
        <v>14586</v>
      </c>
      <c r="I700" s="198">
        <v>11.86</v>
      </c>
      <c r="K700" s="198">
        <v>86636.03</v>
      </c>
    </row>
    <row r="701" spans="3:11" x14ac:dyDescent="0.2">
      <c r="C701" s="201" t="s">
        <v>14585</v>
      </c>
      <c r="D701" s="200">
        <v>44375</v>
      </c>
      <c r="E701" s="199" t="s">
        <v>14584</v>
      </c>
      <c r="I701" s="198">
        <v>9.1</v>
      </c>
      <c r="K701" s="198">
        <v>86645.13</v>
      </c>
    </row>
    <row r="702" spans="3:11" x14ac:dyDescent="0.2">
      <c r="C702" s="201" t="s">
        <v>14583</v>
      </c>
      <c r="D702" s="200">
        <v>44375</v>
      </c>
      <c r="E702" s="199" t="s">
        <v>14582</v>
      </c>
      <c r="I702" s="198">
        <v>16.82</v>
      </c>
      <c r="K702" s="198">
        <v>86661.95</v>
      </c>
    </row>
    <row r="703" spans="3:11" x14ac:dyDescent="0.2">
      <c r="C703" s="201" t="s">
        <v>14581</v>
      </c>
      <c r="D703" s="200">
        <v>44375</v>
      </c>
      <c r="E703" s="199" t="s">
        <v>14580</v>
      </c>
      <c r="I703" s="198">
        <v>7.06</v>
      </c>
      <c r="K703" s="198">
        <v>86669.01</v>
      </c>
    </row>
    <row r="704" spans="3:11" x14ac:dyDescent="0.2">
      <c r="C704" s="201" t="s">
        <v>14579</v>
      </c>
      <c r="D704" s="200">
        <v>44375</v>
      </c>
      <c r="E704" s="199" t="s">
        <v>14578</v>
      </c>
      <c r="I704" s="198">
        <v>4.04</v>
      </c>
      <c r="K704" s="198">
        <v>86673.05</v>
      </c>
    </row>
    <row r="705" spans="3:11" x14ac:dyDescent="0.2">
      <c r="C705" s="201" t="s">
        <v>14577</v>
      </c>
      <c r="D705" s="200">
        <v>44375</v>
      </c>
      <c r="E705" s="199" t="s">
        <v>14576</v>
      </c>
      <c r="I705" s="198">
        <v>3.36</v>
      </c>
      <c r="K705" s="198">
        <v>86676.41</v>
      </c>
    </row>
    <row r="706" spans="3:11" x14ac:dyDescent="0.2">
      <c r="C706" s="201" t="s">
        <v>14575</v>
      </c>
      <c r="D706" s="200">
        <v>44375</v>
      </c>
      <c r="E706" s="199" t="s">
        <v>14574</v>
      </c>
      <c r="I706" s="198">
        <v>3.75</v>
      </c>
      <c r="K706" s="198">
        <v>86680.16</v>
      </c>
    </row>
    <row r="707" spans="3:11" x14ac:dyDescent="0.2">
      <c r="C707" s="201" t="s">
        <v>14573</v>
      </c>
      <c r="D707" s="200">
        <v>44375</v>
      </c>
      <c r="E707" s="199" t="s">
        <v>14572</v>
      </c>
      <c r="I707" s="198">
        <v>2.4900000000000002</v>
      </c>
      <c r="K707" s="198">
        <v>86682.65</v>
      </c>
    </row>
    <row r="708" spans="3:11" x14ac:dyDescent="0.2">
      <c r="C708" s="201" t="s">
        <v>14571</v>
      </c>
      <c r="D708" s="200">
        <v>44375</v>
      </c>
      <c r="E708" s="199" t="s">
        <v>14570</v>
      </c>
      <c r="I708" s="198">
        <v>6.84</v>
      </c>
      <c r="K708" s="198">
        <v>86689.49</v>
      </c>
    </row>
    <row r="709" spans="3:11" x14ac:dyDescent="0.2">
      <c r="C709" s="201" t="s">
        <v>14569</v>
      </c>
      <c r="D709" s="200">
        <v>44375</v>
      </c>
      <c r="E709" s="199" t="s">
        <v>14568</v>
      </c>
      <c r="I709" s="198">
        <v>6.94</v>
      </c>
      <c r="K709" s="198">
        <v>86696.43</v>
      </c>
    </row>
    <row r="710" spans="3:11" x14ac:dyDescent="0.2">
      <c r="C710" s="201" t="s">
        <v>14567</v>
      </c>
      <c r="D710" s="200">
        <v>44375</v>
      </c>
      <c r="E710" s="199" t="s">
        <v>14566</v>
      </c>
      <c r="I710" s="198">
        <v>2.41</v>
      </c>
      <c r="K710" s="198">
        <v>86698.84</v>
      </c>
    </row>
    <row r="711" spans="3:11" x14ac:dyDescent="0.2">
      <c r="C711" s="201" t="s">
        <v>14565</v>
      </c>
      <c r="D711" s="200">
        <v>44375</v>
      </c>
      <c r="E711" s="199" t="s">
        <v>14564</v>
      </c>
      <c r="I711" s="198">
        <v>7.84</v>
      </c>
      <c r="K711" s="198">
        <v>86706.68</v>
      </c>
    </row>
    <row r="712" spans="3:11" x14ac:dyDescent="0.2">
      <c r="C712" s="201" t="s">
        <v>14563</v>
      </c>
      <c r="D712" s="200">
        <v>44375</v>
      </c>
      <c r="E712" s="199" t="s">
        <v>14562</v>
      </c>
      <c r="I712" s="198">
        <v>3.15</v>
      </c>
      <c r="K712" s="198">
        <v>86709.83</v>
      </c>
    </row>
    <row r="713" spans="3:11" x14ac:dyDescent="0.2">
      <c r="C713" s="201" t="s">
        <v>14561</v>
      </c>
      <c r="D713" s="200">
        <v>44375</v>
      </c>
      <c r="E713" s="199" t="s">
        <v>14560</v>
      </c>
      <c r="I713" s="198">
        <v>1.97</v>
      </c>
      <c r="K713" s="198">
        <v>86711.8</v>
      </c>
    </row>
    <row r="714" spans="3:11" x14ac:dyDescent="0.2">
      <c r="C714" s="201" t="s">
        <v>14559</v>
      </c>
      <c r="D714" s="200">
        <v>44375</v>
      </c>
      <c r="E714" s="199" t="s">
        <v>14558</v>
      </c>
      <c r="I714" s="198">
        <v>5.71</v>
      </c>
      <c r="K714" s="198">
        <v>86717.51</v>
      </c>
    </row>
    <row r="715" spans="3:11" x14ac:dyDescent="0.2">
      <c r="C715" s="201" t="s">
        <v>14557</v>
      </c>
      <c r="D715" s="200">
        <v>44375</v>
      </c>
      <c r="E715" s="199" t="s">
        <v>14556</v>
      </c>
      <c r="I715" s="198">
        <v>5.04</v>
      </c>
      <c r="K715" s="198">
        <v>86722.55</v>
      </c>
    </row>
    <row r="716" spans="3:11" x14ac:dyDescent="0.2">
      <c r="C716" s="201" t="s">
        <v>14555</v>
      </c>
      <c r="D716" s="200">
        <v>44375</v>
      </c>
      <c r="E716" s="199" t="s">
        <v>14554</v>
      </c>
      <c r="I716" s="198">
        <v>6.25</v>
      </c>
      <c r="K716" s="198">
        <v>86728.8</v>
      </c>
    </row>
    <row r="717" spans="3:11" x14ac:dyDescent="0.2">
      <c r="C717" s="201" t="s">
        <v>14553</v>
      </c>
      <c r="D717" s="200">
        <v>44375</v>
      </c>
      <c r="E717" s="199" t="s">
        <v>14552</v>
      </c>
      <c r="I717" s="198">
        <v>7.82</v>
      </c>
      <c r="K717" s="198">
        <v>86736.62</v>
      </c>
    </row>
    <row r="718" spans="3:11" x14ac:dyDescent="0.2">
      <c r="C718" s="201" t="s">
        <v>14551</v>
      </c>
      <c r="D718" s="200">
        <v>44375</v>
      </c>
      <c r="E718" s="199" t="s">
        <v>14550</v>
      </c>
      <c r="I718" s="198">
        <v>5.04</v>
      </c>
      <c r="K718" s="198">
        <v>86741.66</v>
      </c>
    </row>
    <row r="719" spans="3:11" x14ac:dyDescent="0.2">
      <c r="C719" s="201" t="s">
        <v>14549</v>
      </c>
      <c r="D719" s="200">
        <v>44375</v>
      </c>
      <c r="E719" s="199" t="s">
        <v>14548</v>
      </c>
      <c r="I719" s="198">
        <v>6.52</v>
      </c>
      <c r="K719" s="198">
        <v>86748.18</v>
      </c>
    </row>
    <row r="720" spans="3:11" x14ac:dyDescent="0.2">
      <c r="C720" s="201" t="s">
        <v>14547</v>
      </c>
      <c r="D720" s="200">
        <v>44375</v>
      </c>
      <c r="E720" s="199" t="s">
        <v>14546</v>
      </c>
      <c r="I720" s="198">
        <v>2.76</v>
      </c>
      <c r="K720" s="198">
        <v>86750.94</v>
      </c>
    </row>
    <row r="721" spans="3:11" x14ac:dyDescent="0.2">
      <c r="C721" s="201" t="s">
        <v>14545</v>
      </c>
      <c r="D721" s="200">
        <v>44375</v>
      </c>
      <c r="E721" s="199" t="s">
        <v>14544</v>
      </c>
      <c r="I721" s="198">
        <v>3.88</v>
      </c>
      <c r="K721" s="198">
        <v>86754.82</v>
      </c>
    </row>
    <row r="722" spans="3:11" x14ac:dyDescent="0.2">
      <c r="C722" s="201" t="s">
        <v>14543</v>
      </c>
      <c r="D722" s="200">
        <v>44375</v>
      </c>
      <c r="E722" s="199" t="s">
        <v>14542</v>
      </c>
      <c r="I722" s="198">
        <v>1.87</v>
      </c>
      <c r="K722" s="198">
        <v>86756.69</v>
      </c>
    </row>
    <row r="723" spans="3:11" x14ac:dyDescent="0.2">
      <c r="C723" s="201" t="s">
        <v>14541</v>
      </c>
      <c r="D723" s="200">
        <v>44375</v>
      </c>
      <c r="E723" s="199" t="s">
        <v>14540</v>
      </c>
      <c r="I723" s="198">
        <v>1.78</v>
      </c>
      <c r="K723" s="198">
        <v>86758.47</v>
      </c>
    </row>
    <row r="724" spans="3:11" x14ac:dyDescent="0.2">
      <c r="C724" s="201" t="s">
        <v>14539</v>
      </c>
      <c r="D724" s="200">
        <v>44375</v>
      </c>
      <c r="E724" s="199" t="s">
        <v>14538</v>
      </c>
      <c r="I724" s="198">
        <v>10</v>
      </c>
      <c r="K724" s="198">
        <v>86768.47</v>
      </c>
    </row>
    <row r="725" spans="3:11" x14ac:dyDescent="0.2">
      <c r="C725" s="201" t="s">
        <v>14537</v>
      </c>
      <c r="D725" s="200">
        <v>44375</v>
      </c>
      <c r="E725" s="199" t="s">
        <v>14536</v>
      </c>
      <c r="I725" s="198">
        <v>3.14</v>
      </c>
      <c r="K725" s="198">
        <v>86771.61</v>
      </c>
    </row>
    <row r="726" spans="3:11" x14ac:dyDescent="0.2">
      <c r="C726" s="201" t="s">
        <v>14535</v>
      </c>
      <c r="D726" s="200">
        <v>44376</v>
      </c>
      <c r="E726" s="199" t="s">
        <v>14534</v>
      </c>
      <c r="I726" s="198">
        <v>3.06</v>
      </c>
      <c r="K726" s="198">
        <v>86774.67</v>
      </c>
    </row>
    <row r="727" spans="3:11" x14ac:dyDescent="0.2">
      <c r="C727" s="201" t="s">
        <v>14533</v>
      </c>
      <c r="D727" s="200">
        <v>44376</v>
      </c>
      <c r="E727" s="199" t="s">
        <v>14532</v>
      </c>
      <c r="I727" s="198">
        <v>1.7</v>
      </c>
      <c r="K727" s="198">
        <v>86776.37</v>
      </c>
    </row>
    <row r="728" spans="3:11" x14ac:dyDescent="0.2">
      <c r="C728" s="201" t="s">
        <v>14531</v>
      </c>
      <c r="D728" s="200">
        <v>44376</v>
      </c>
      <c r="E728" s="199" t="s">
        <v>14530</v>
      </c>
      <c r="I728" s="198">
        <v>3.36</v>
      </c>
      <c r="K728" s="198">
        <v>86779.73</v>
      </c>
    </row>
    <row r="729" spans="3:11" x14ac:dyDescent="0.2">
      <c r="C729" s="201" t="s">
        <v>14529</v>
      </c>
      <c r="D729" s="200">
        <v>44376</v>
      </c>
      <c r="E729" s="199" t="s">
        <v>14528</v>
      </c>
      <c r="I729" s="198">
        <v>6.01</v>
      </c>
      <c r="K729" s="198">
        <v>86785.74</v>
      </c>
    </row>
    <row r="730" spans="3:11" x14ac:dyDescent="0.2">
      <c r="C730" s="201" t="s">
        <v>14527</v>
      </c>
      <c r="D730" s="200">
        <v>44376</v>
      </c>
      <c r="E730" s="199" t="s">
        <v>14526</v>
      </c>
      <c r="I730" s="198">
        <v>6.74</v>
      </c>
      <c r="K730" s="198">
        <v>86792.48</v>
      </c>
    </row>
    <row r="731" spans="3:11" x14ac:dyDescent="0.2">
      <c r="C731" s="201" t="s">
        <v>14525</v>
      </c>
      <c r="D731" s="200">
        <v>44376</v>
      </c>
      <c r="E731" s="199" t="s">
        <v>14524</v>
      </c>
      <c r="I731" s="198">
        <v>20.94</v>
      </c>
      <c r="K731" s="198">
        <v>86813.42</v>
      </c>
    </row>
    <row r="732" spans="3:11" x14ac:dyDescent="0.2">
      <c r="C732" s="201" t="s">
        <v>14523</v>
      </c>
      <c r="D732" s="200">
        <v>44376</v>
      </c>
      <c r="E732" s="199" t="s">
        <v>14522</v>
      </c>
      <c r="I732" s="198">
        <v>2.34</v>
      </c>
      <c r="K732" s="198">
        <v>86815.76</v>
      </c>
    </row>
    <row r="733" spans="3:11" x14ac:dyDescent="0.2">
      <c r="C733" s="201" t="s">
        <v>14521</v>
      </c>
      <c r="D733" s="200">
        <v>44376</v>
      </c>
      <c r="E733" s="199" t="s">
        <v>14520</v>
      </c>
      <c r="I733" s="198">
        <v>10.35</v>
      </c>
      <c r="K733" s="198">
        <v>86826.11</v>
      </c>
    </row>
    <row r="734" spans="3:11" x14ac:dyDescent="0.2">
      <c r="C734" s="201" t="s">
        <v>14519</v>
      </c>
      <c r="D734" s="200">
        <v>44376</v>
      </c>
      <c r="E734" s="199" t="s">
        <v>14518</v>
      </c>
      <c r="I734" s="198">
        <v>11.07</v>
      </c>
      <c r="K734" s="198">
        <v>86837.18</v>
      </c>
    </row>
    <row r="735" spans="3:11" x14ac:dyDescent="0.2">
      <c r="C735" s="201" t="s">
        <v>14517</v>
      </c>
      <c r="D735" s="200">
        <v>44376</v>
      </c>
      <c r="E735" s="199" t="s">
        <v>14516</v>
      </c>
      <c r="I735" s="198">
        <v>1.68</v>
      </c>
      <c r="K735" s="198">
        <v>86838.86</v>
      </c>
    </row>
    <row r="736" spans="3:11" x14ac:dyDescent="0.2">
      <c r="C736" s="201" t="s">
        <v>14515</v>
      </c>
      <c r="D736" s="200">
        <v>44376</v>
      </c>
      <c r="E736" s="199" t="s">
        <v>14514</v>
      </c>
      <c r="I736" s="198">
        <v>21.16</v>
      </c>
      <c r="K736" s="198">
        <v>86860.02</v>
      </c>
    </row>
    <row r="737" spans="3:11" x14ac:dyDescent="0.2">
      <c r="C737" s="201" t="s">
        <v>14513</v>
      </c>
      <c r="D737" s="200">
        <v>44376</v>
      </c>
      <c r="E737" s="199" t="s">
        <v>14512</v>
      </c>
      <c r="I737" s="198">
        <v>1.73</v>
      </c>
      <c r="K737" s="198">
        <v>86861.75</v>
      </c>
    </row>
    <row r="738" spans="3:11" x14ac:dyDescent="0.2">
      <c r="C738" s="201" t="s">
        <v>14511</v>
      </c>
      <c r="D738" s="200">
        <v>44376</v>
      </c>
      <c r="E738" s="199" t="s">
        <v>14510</v>
      </c>
      <c r="I738" s="198">
        <v>3.91</v>
      </c>
      <c r="K738" s="198">
        <v>86865.66</v>
      </c>
    </row>
    <row r="739" spans="3:11" x14ac:dyDescent="0.2">
      <c r="C739" s="201" t="s">
        <v>14509</v>
      </c>
      <c r="D739" s="200">
        <v>44376</v>
      </c>
      <c r="E739" s="199" t="s">
        <v>14508</v>
      </c>
      <c r="I739" s="198">
        <v>1.55</v>
      </c>
      <c r="K739" s="198">
        <v>86867.21</v>
      </c>
    </row>
    <row r="740" spans="3:11" x14ac:dyDescent="0.2">
      <c r="C740" s="201" t="s">
        <v>14507</v>
      </c>
      <c r="D740" s="200">
        <v>44376</v>
      </c>
      <c r="E740" s="199" t="s">
        <v>14506</v>
      </c>
      <c r="I740" s="198">
        <v>4.79</v>
      </c>
      <c r="K740" s="198">
        <v>86872</v>
      </c>
    </row>
    <row r="741" spans="3:11" x14ac:dyDescent="0.2">
      <c r="C741" s="201" t="s">
        <v>14505</v>
      </c>
      <c r="D741" s="200">
        <v>44376</v>
      </c>
      <c r="E741" s="199" t="s">
        <v>14504</v>
      </c>
      <c r="I741" s="198">
        <v>6.94</v>
      </c>
      <c r="K741" s="198">
        <v>86878.94</v>
      </c>
    </row>
    <row r="742" spans="3:11" x14ac:dyDescent="0.2">
      <c r="C742" s="201" t="s">
        <v>14503</v>
      </c>
      <c r="D742" s="200">
        <v>44376</v>
      </c>
      <c r="E742" s="199" t="s">
        <v>14502</v>
      </c>
      <c r="I742" s="198">
        <v>2.27</v>
      </c>
      <c r="K742" s="198">
        <v>86881.21</v>
      </c>
    </row>
    <row r="743" spans="3:11" x14ac:dyDescent="0.2">
      <c r="C743" s="201" t="s">
        <v>14501</v>
      </c>
      <c r="D743" s="200">
        <v>44376</v>
      </c>
      <c r="E743" s="199" t="s">
        <v>14500</v>
      </c>
      <c r="I743" s="198">
        <v>3.95</v>
      </c>
      <c r="K743" s="198">
        <v>86885.16</v>
      </c>
    </row>
    <row r="744" spans="3:11" x14ac:dyDescent="0.2">
      <c r="C744" s="201" t="s">
        <v>14499</v>
      </c>
      <c r="D744" s="200">
        <v>44376</v>
      </c>
      <c r="E744" s="199" t="s">
        <v>14498</v>
      </c>
      <c r="I744" s="198">
        <v>2.2999999999999998</v>
      </c>
      <c r="K744" s="198">
        <v>86887.46</v>
      </c>
    </row>
    <row r="745" spans="3:11" x14ac:dyDescent="0.2">
      <c r="C745" s="201" t="s">
        <v>14497</v>
      </c>
      <c r="D745" s="200">
        <v>44376</v>
      </c>
      <c r="E745" s="199" t="s">
        <v>14496</v>
      </c>
      <c r="I745" s="198">
        <v>8.3800000000000008</v>
      </c>
      <c r="K745" s="198">
        <v>86895.84</v>
      </c>
    </row>
    <row r="746" spans="3:11" x14ac:dyDescent="0.2">
      <c r="C746" s="201" t="s">
        <v>14495</v>
      </c>
      <c r="D746" s="200">
        <v>44376</v>
      </c>
      <c r="E746" s="199" t="s">
        <v>14494</v>
      </c>
      <c r="I746" s="198">
        <v>5.04</v>
      </c>
      <c r="K746" s="198">
        <v>86900.88</v>
      </c>
    </row>
    <row r="747" spans="3:11" x14ac:dyDescent="0.2">
      <c r="C747" s="201" t="s">
        <v>14493</v>
      </c>
      <c r="D747" s="200">
        <v>44376</v>
      </c>
      <c r="E747" s="199" t="s">
        <v>14492</v>
      </c>
      <c r="I747" s="198">
        <v>2.88</v>
      </c>
      <c r="K747" s="198">
        <v>86903.76</v>
      </c>
    </row>
    <row r="748" spans="3:11" x14ac:dyDescent="0.2">
      <c r="C748" s="201" t="s">
        <v>14491</v>
      </c>
      <c r="D748" s="200">
        <v>44376</v>
      </c>
      <c r="E748" s="199" t="s">
        <v>14490</v>
      </c>
      <c r="I748" s="198">
        <v>3.73</v>
      </c>
      <c r="K748" s="198">
        <v>86907.49</v>
      </c>
    </row>
    <row r="749" spans="3:11" x14ac:dyDescent="0.2">
      <c r="C749" s="201" t="s">
        <v>14489</v>
      </c>
      <c r="D749" s="200">
        <v>44376</v>
      </c>
      <c r="E749" s="199" t="s">
        <v>14488</v>
      </c>
      <c r="I749" s="198">
        <v>2.35</v>
      </c>
      <c r="K749" s="198">
        <v>86909.84</v>
      </c>
    </row>
    <row r="750" spans="3:11" x14ac:dyDescent="0.2">
      <c r="C750" s="201" t="s">
        <v>14487</v>
      </c>
      <c r="D750" s="200">
        <v>44376</v>
      </c>
      <c r="E750" s="199" t="s">
        <v>14486</v>
      </c>
      <c r="I750" s="198">
        <v>0.18</v>
      </c>
      <c r="K750" s="198">
        <v>86910.02</v>
      </c>
    </row>
    <row r="751" spans="3:11" x14ac:dyDescent="0.2">
      <c r="C751" s="201" t="s">
        <v>14485</v>
      </c>
      <c r="D751" s="200">
        <v>44376</v>
      </c>
      <c r="E751" s="199" t="s">
        <v>14484</v>
      </c>
      <c r="I751" s="198">
        <v>13.52</v>
      </c>
      <c r="K751" s="198">
        <v>86923.54</v>
      </c>
    </row>
    <row r="752" spans="3:11" x14ac:dyDescent="0.2">
      <c r="C752" s="201" t="s">
        <v>14483</v>
      </c>
      <c r="D752" s="200">
        <v>44376</v>
      </c>
      <c r="E752" s="199" t="s">
        <v>14482</v>
      </c>
      <c r="I752" s="198">
        <v>11.84</v>
      </c>
      <c r="K752" s="198">
        <v>86935.38</v>
      </c>
    </row>
    <row r="753" spans="3:11" x14ac:dyDescent="0.2">
      <c r="C753" s="201" t="s">
        <v>14481</v>
      </c>
      <c r="D753" s="200">
        <v>44376</v>
      </c>
      <c r="E753" s="199" t="s">
        <v>14480</v>
      </c>
      <c r="I753" s="198">
        <v>2.42</v>
      </c>
      <c r="K753" s="198">
        <v>86937.8</v>
      </c>
    </row>
    <row r="754" spans="3:11" x14ac:dyDescent="0.2">
      <c r="C754" s="201" t="s">
        <v>14479</v>
      </c>
      <c r="D754" s="200">
        <v>44376</v>
      </c>
      <c r="E754" s="199" t="s">
        <v>14478</v>
      </c>
      <c r="I754" s="198">
        <v>3.7</v>
      </c>
      <c r="K754" s="198">
        <v>86941.5</v>
      </c>
    </row>
    <row r="755" spans="3:11" x14ac:dyDescent="0.2">
      <c r="C755" s="201" t="s">
        <v>14477</v>
      </c>
      <c r="D755" s="200">
        <v>44376</v>
      </c>
      <c r="E755" s="199" t="s">
        <v>14476</v>
      </c>
      <c r="I755" s="198">
        <v>2.64</v>
      </c>
      <c r="K755" s="198">
        <v>86944.14</v>
      </c>
    </row>
    <row r="756" spans="3:11" x14ac:dyDescent="0.2">
      <c r="C756" s="201" t="s">
        <v>14475</v>
      </c>
      <c r="D756" s="200">
        <v>44376</v>
      </c>
      <c r="E756" s="199" t="s">
        <v>14474</v>
      </c>
      <c r="I756" s="198">
        <v>1.68</v>
      </c>
      <c r="K756" s="198">
        <v>86945.82</v>
      </c>
    </row>
    <row r="757" spans="3:11" x14ac:dyDescent="0.2">
      <c r="C757" s="201" t="s">
        <v>14473</v>
      </c>
      <c r="D757" s="200">
        <v>44376</v>
      </c>
      <c r="E757" s="199" t="s">
        <v>14472</v>
      </c>
      <c r="I757" s="198">
        <v>10.62</v>
      </c>
      <c r="K757" s="198">
        <v>86956.44</v>
      </c>
    </row>
    <row r="758" spans="3:11" x14ac:dyDescent="0.2">
      <c r="C758" s="201" t="s">
        <v>14471</v>
      </c>
      <c r="D758" s="200">
        <v>44376</v>
      </c>
      <c r="E758" s="199" t="s">
        <v>14470</v>
      </c>
      <c r="I758" s="198">
        <v>26.86</v>
      </c>
      <c r="K758" s="198">
        <v>86983.3</v>
      </c>
    </row>
    <row r="759" spans="3:11" x14ac:dyDescent="0.2">
      <c r="C759" s="201" t="s">
        <v>14469</v>
      </c>
      <c r="D759" s="200">
        <v>44376</v>
      </c>
      <c r="E759" s="199" t="s">
        <v>14468</v>
      </c>
      <c r="I759" s="198">
        <v>1.68</v>
      </c>
      <c r="K759" s="198">
        <v>86984.98</v>
      </c>
    </row>
    <row r="760" spans="3:11" x14ac:dyDescent="0.2">
      <c r="C760" s="201" t="s">
        <v>14467</v>
      </c>
      <c r="D760" s="200">
        <v>44376</v>
      </c>
      <c r="E760" s="199" t="s">
        <v>14466</v>
      </c>
      <c r="I760" s="198">
        <v>5.78</v>
      </c>
      <c r="K760" s="198">
        <v>86990.76</v>
      </c>
    </row>
    <row r="761" spans="3:11" x14ac:dyDescent="0.2">
      <c r="C761" s="201" t="s">
        <v>14465</v>
      </c>
      <c r="D761" s="200">
        <v>44376</v>
      </c>
      <c r="E761" s="199" t="s">
        <v>14464</v>
      </c>
      <c r="I761" s="198">
        <v>3.36</v>
      </c>
      <c r="K761" s="198">
        <v>86994.12</v>
      </c>
    </row>
    <row r="762" spans="3:11" x14ac:dyDescent="0.2">
      <c r="C762" s="201" t="s">
        <v>14463</v>
      </c>
      <c r="D762" s="200">
        <v>44376</v>
      </c>
      <c r="E762" s="199" t="s">
        <v>14462</v>
      </c>
      <c r="I762" s="198">
        <v>1.7</v>
      </c>
      <c r="K762" s="198">
        <v>86995.82</v>
      </c>
    </row>
    <row r="763" spans="3:11" x14ac:dyDescent="0.2">
      <c r="C763" s="201" t="s">
        <v>14461</v>
      </c>
      <c r="D763" s="200">
        <v>44376</v>
      </c>
      <c r="E763" s="199" t="s">
        <v>14460</v>
      </c>
      <c r="I763" s="198">
        <v>1.7</v>
      </c>
      <c r="K763" s="198">
        <v>86997.52</v>
      </c>
    </row>
    <row r="764" spans="3:11" x14ac:dyDescent="0.2">
      <c r="C764" s="201" t="s">
        <v>14459</v>
      </c>
      <c r="D764" s="200">
        <v>44376</v>
      </c>
      <c r="E764" s="199" t="s">
        <v>14458</v>
      </c>
      <c r="I764" s="198">
        <v>3.17</v>
      </c>
      <c r="K764" s="198">
        <v>87000.69</v>
      </c>
    </row>
    <row r="765" spans="3:11" x14ac:dyDescent="0.2">
      <c r="C765" s="201" t="s">
        <v>14457</v>
      </c>
      <c r="D765" s="200">
        <v>44376</v>
      </c>
      <c r="E765" s="199" t="s">
        <v>14456</v>
      </c>
      <c r="I765" s="198">
        <v>1.68</v>
      </c>
      <c r="K765" s="198">
        <v>87002.37</v>
      </c>
    </row>
    <row r="766" spans="3:11" x14ac:dyDescent="0.2">
      <c r="C766" s="201" t="s">
        <v>14455</v>
      </c>
      <c r="D766" s="200">
        <v>44376</v>
      </c>
      <c r="E766" s="199" t="s">
        <v>14454</v>
      </c>
      <c r="I766" s="198">
        <v>1.68</v>
      </c>
      <c r="K766" s="198">
        <v>87004.05</v>
      </c>
    </row>
    <row r="767" spans="3:11" x14ac:dyDescent="0.2">
      <c r="C767" s="201" t="s">
        <v>14453</v>
      </c>
      <c r="D767" s="200">
        <v>44376</v>
      </c>
      <c r="E767" s="199" t="s">
        <v>14452</v>
      </c>
      <c r="I767" s="198">
        <v>2.74</v>
      </c>
      <c r="K767" s="198">
        <v>87006.79</v>
      </c>
    </row>
    <row r="768" spans="3:11" x14ac:dyDescent="0.2">
      <c r="C768" s="201" t="s">
        <v>14451</v>
      </c>
      <c r="D768" s="200">
        <v>44377</v>
      </c>
      <c r="E768" s="199" t="s">
        <v>14450</v>
      </c>
      <c r="I768" s="198">
        <v>5.04</v>
      </c>
      <c r="K768" s="198">
        <v>87011.83</v>
      </c>
    </row>
    <row r="769" spans="3:11" x14ac:dyDescent="0.2">
      <c r="C769" s="201" t="s">
        <v>14449</v>
      </c>
      <c r="D769" s="200">
        <v>44377</v>
      </c>
      <c r="E769" s="199" t="s">
        <v>14448</v>
      </c>
      <c r="J769" s="222">
        <v>108.18</v>
      </c>
      <c r="K769" s="198">
        <v>86903.65</v>
      </c>
    </row>
    <row r="770" spans="3:11" x14ac:dyDescent="0.2">
      <c r="C770" s="201" t="s">
        <v>14447</v>
      </c>
      <c r="D770" s="200">
        <v>44377</v>
      </c>
      <c r="E770" s="199" t="s">
        <v>14446</v>
      </c>
      <c r="I770" s="198">
        <v>5.26</v>
      </c>
      <c r="K770" s="198">
        <v>86908.91</v>
      </c>
    </row>
    <row r="771" spans="3:11" x14ac:dyDescent="0.2">
      <c r="C771" s="201" t="s">
        <v>14445</v>
      </c>
      <c r="D771" s="200">
        <v>44377</v>
      </c>
      <c r="E771" s="199" t="s">
        <v>14444</v>
      </c>
      <c r="I771" s="198">
        <v>2.35</v>
      </c>
      <c r="K771" s="198">
        <v>86911.26</v>
      </c>
    </row>
    <row r="772" spans="3:11" x14ac:dyDescent="0.2">
      <c r="C772" s="201" t="s">
        <v>14443</v>
      </c>
      <c r="D772" s="200">
        <v>44377</v>
      </c>
      <c r="E772" s="199" t="s">
        <v>14442</v>
      </c>
      <c r="I772" s="198">
        <v>7.17</v>
      </c>
      <c r="K772" s="198">
        <v>86918.43</v>
      </c>
    </row>
    <row r="773" spans="3:11" x14ac:dyDescent="0.2">
      <c r="C773" s="201" t="s">
        <v>14441</v>
      </c>
      <c r="D773" s="200">
        <v>44377</v>
      </c>
      <c r="E773" s="199" t="s">
        <v>14440</v>
      </c>
      <c r="I773" s="198">
        <v>3.68</v>
      </c>
      <c r="K773" s="198">
        <v>86922.11</v>
      </c>
    </row>
    <row r="774" spans="3:11" x14ac:dyDescent="0.2">
      <c r="C774" s="201" t="s">
        <v>14439</v>
      </c>
      <c r="D774" s="200">
        <v>44377</v>
      </c>
      <c r="E774" s="199" t="s">
        <v>14438</v>
      </c>
      <c r="I774" s="198">
        <v>1.1200000000000001</v>
      </c>
      <c r="K774" s="198">
        <v>86923.23</v>
      </c>
    </row>
    <row r="775" spans="3:11" x14ac:dyDescent="0.2">
      <c r="C775" s="201" t="s">
        <v>14437</v>
      </c>
      <c r="D775" s="200">
        <v>44377</v>
      </c>
      <c r="E775" s="199" t="s">
        <v>14436</v>
      </c>
      <c r="I775" s="198">
        <v>5.9</v>
      </c>
      <c r="K775" s="198">
        <v>86929.13</v>
      </c>
    </row>
    <row r="776" spans="3:11" x14ac:dyDescent="0.2">
      <c r="C776" s="201" t="s">
        <v>14435</v>
      </c>
      <c r="D776" s="200">
        <v>44377</v>
      </c>
      <c r="E776" s="199" t="s">
        <v>14434</v>
      </c>
      <c r="I776" s="198">
        <v>7.11</v>
      </c>
      <c r="K776" s="198">
        <v>86936.24</v>
      </c>
    </row>
    <row r="777" spans="3:11" x14ac:dyDescent="0.2">
      <c r="C777" s="201" t="s">
        <v>14433</v>
      </c>
      <c r="D777" s="200">
        <v>44377</v>
      </c>
      <c r="E777" s="199" t="s">
        <v>14432</v>
      </c>
      <c r="I777" s="198">
        <v>10.15</v>
      </c>
      <c r="K777" s="198">
        <v>86946.39</v>
      </c>
    </row>
    <row r="778" spans="3:11" x14ac:dyDescent="0.2">
      <c r="C778" s="201" t="s">
        <v>14431</v>
      </c>
      <c r="D778" s="200">
        <v>44377</v>
      </c>
      <c r="E778" s="199" t="s">
        <v>14430</v>
      </c>
      <c r="I778" s="198">
        <v>5.04</v>
      </c>
      <c r="K778" s="198">
        <v>86951.43</v>
      </c>
    </row>
    <row r="779" spans="3:11" x14ac:dyDescent="0.2">
      <c r="C779" s="201" t="s">
        <v>14429</v>
      </c>
      <c r="D779" s="200">
        <v>44377</v>
      </c>
      <c r="E779" s="199" t="s">
        <v>14428</v>
      </c>
      <c r="I779" s="198">
        <v>28.26</v>
      </c>
      <c r="K779" s="198">
        <v>86979.69</v>
      </c>
    </row>
    <row r="780" spans="3:11" x14ac:dyDescent="0.2">
      <c r="C780" s="201" t="s">
        <v>14427</v>
      </c>
      <c r="D780" s="200">
        <v>44377</v>
      </c>
      <c r="E780" s="199" t="s">
        <v>14426</v>
      </c>
      <c r="I780" s="198">
        <v>8.66</v>
      </c>
      <c r="K780" s="198">
        <v>86988.35</v>
      </c>
    </row>
    <row r="781" spans="3:11" x14ac:dyDescent="0.2">
      <c r="C781" s="201" t="s">
        <v>14425</v>
      </c>
      <c r="D781" s="200">
        <v>44377</v>
      </c>
      <c r="E781" s="199" t="s">
        <v>14424</v>
      </c>
      <c r="I781" s="198">
        <v>2.08</v>
      </c>
      <c r="K781" s="198">
        <v>86990.43</v>
      </c>
    </row>
    <row r="782" spans="3:11" x14ac:dyDescent="0.2">
      <c r="C782" s="201" t="s">
        <v>14423</v>
      </c>
      <c r="D782" s="200">
        <v>44377</v>
      </c>
      <c r="E782" s="199" t="s">
        <v>14422</v>
      </c>
      <c r="I782" s="198">
        <v>3.37</v>
      </c>
      <c r="K782" s="198">
        <v>86993.8</v>
      </c>
    </row>
    <row r="783" spans="3:11" x14ac:dyDescent="0.2">
      <c r="C783" s="201" t="s">
        <v>14421</v>
      </c>
      <c r="D783" s="200">
        <v>44377</v>
      </c>
      <c r="E783" s="199" t="s">
        <v>14420</v>
      </c>
      <c r="I783" s="198">
        <v>30.93</v>
      </c>
      <c r="K783" s="198">
        <v>87024.73</v>
      </c>
    </row>
    <row r="784" spans="3:11" x14ac:dyDescent="0.2">
      <c r="C784" s="201" t="s">
        <v>14419</v>
      </c>
      <c r="D784" s="200">
        <v>44377</v>
      </c>
      <c r="E784" s="199" t="s">
        <v>14418</v>
      </c>
      <c r="I784" s="198">
        <v>6.87</v>
      </c>
      <c r="K784" s="198">
        <v>87031.6</v>
      </c>
    </row>
    <row r="785" spans="3:11" x14ac:dyDescent="0.2">
      <c r="C785" s="201" t="s">
        <v>14417</v>
      </c>
      <c r="D785" s="200">
        <v>44377</v>
      </c>
      <c r="E785" s="199" t="s">
        <v>14416</v>
      </c>
      <c r="I785" s="198">
        <v>0.09</v>
      </c>
      <c r="K785" s="198">
        <v>87031.69</v>
      </c>
    </row>
    <row r="786" spans="3:11" x14ac:dyDescent="0.2">
      <c r="C786" s="201" t="s">
        <v>14415</v>
      </c>
      <c r="D786" s="200">
        <v>44377</v>
      </c>
      <c r="E786" s="199" t="s">
        <v>14414</v>
      </c>
      <c r="I786" s="198">
        <v>14.75</v>
      </c>
      <c r="K786" s="198">
        <v>87046.44</v>
      </c>
    </row>
    <row r="787" spans="3:11" x14ac:dyDescent="0.2">
      <c r="C787" s="201" t="s">
        <v>14413</v>
      </c>
      <c r="D787" s="200">
        <v>44377</v>
      </c>
      <c r="E787" s="199" t="s">
        <v>14412</v>
      </c>
      <c r="I787" s="198">
        <v>14.63</v>
      </c>
      <c r="K787" s="198">
        <v>87061.07</v>
      </c>
    </row>
    <row r="788" spans="3:11" x14ac:dyDescent="0.2">
      <c r="C788" s="201" t="s">
        <v>14411</v>
      </c>
      <c r="D788" s="200">
        <v>44377</v>
      </c>
      <c r="E788" s="199" t="s">
        <v>14410</v>
      </c>
      <c r="I788" s="198">
        <v>5.04</v>
      </c>
      <c r="K788" s="198">
        <v>87066.11</v>
      </c>
    </row>
    <row r="789" spans="3:11" x14ac:dyDescent="0.2">
      <c r="C789" s="201" t="s">
        <v>14409</v>
      </c>
      <c r="D789" s="200">
        <v>44377</v>
      </c>
      <c r="E789" s="199" t="s">
        <v>14408</v>
      </c>
      <c r="I789" s="198">
        <v>1.68</v>
      </c>
      <c r="K789" s="198">
        <v>87067.79</v>
      </c>
    </row>
    <row r="790" spans="3:11" x14ac:dyDescent="0.2">
      <c r="C790" s="201" t="s">
        <v>14407</v>
      </c>
      <c r="D790" s="200">
        <v>44377</v>
      </c>
      <c r="E790" s="199" t="s">
        <v>14406</v>
      </c>
      <c r="I790" s="198">
        <v>1.9</v>
      </c>
      <c r="K790" s="198">
        <v>87069.69</v>
      </c>
    </row>
    <row r="791" spans="3:11" x14ac:dyDescent="0.2">
      <c r="C791" s="201" t="s">
        <v>14405</v>
      </c>
      <c r="D791" s="200">
        <v>44377</v>
      </c>
      <c r="E791" s="199" t="s">
        <v>14404</v>
      </c>
      <c r="I791" s="198">
        <v>5.4</v>
      </c>
      <c r="K791" s="198">
        <v>87075.09</v>
      </c>
    </row>
    <row r="792" spans="3:11" x14ac:dyDescent="0.2">
      <c r="C792" s="201" t="s">
        <v>14403</v>
      </c>
      <c r="D792" s="200">
        <v>44377</v>
      </c>
      <c r="E792" s="199" t="s">
        <v>14402</v>
      </c>
      <c r="I792" s="198">
        <v>8.0500000000000007</v>
      </c>
      <c r="K792" s="198">
        <v>87083.14</v>
      </c>
    </row>
    <row r="793" spans="3:11" x14ac:dyDescent="0.2">
      <c r="C793" s="201" t="s">
        <v>14401</v>
      </c>
      <c r="D793" s="200">
        <v>44377</v>
      </c>
      <c r="E793" s="199" t="s">
        <v>14400</v>
      </c>
      <c r="I793" s="198">
        <v>5.86</v>
      </c>
      <c r="K793" s="198">
        <v>87089</v>
      </c>
    </row>
    <row r="794" spans="3:11" x14ac:dyDescent="0.2">
      <c r="C794" s="201" t="s">
        <v>14399</v>
      </c>
      <c r="D794" s="200">
        <v>44377</v>
      </c>
      <c r="E794" s="199" t="s">
        <v>14398</v>
      </c>
      <c r="I794" s="198">
        <v>2.7</v>
      </c>
      <c r="K794" s="198">
        <v>87091.7</v>
      </c>
    </row>
    <row r="795" spans="3:11" x14ac:dyDescent="0.2">
      <c r="C795" s="201" t="s">
        <v>14397</v>
      </c>
      <c r="D795" s="200">
        <v>44377</v>
      </c>
      <c r="E795" s="199" t="s">
        <v>14396</v>
      </c>
      <c r="I795" s="198">
        <v>2.63</v>
      </c>
      <c r="K795" s="198">
        <v>87094.33</v>
      </c>
    </row>
    <row r="796" spans="3:11" x14ac:dyDescent="0.2">
      <c r="C796" s="201" t="s">
        <v>14395</v>
      </c>
      <c r="D796" s="200">
        <v>44377</v>
      </c>
      <c r="E796" s="199" t="s">
        <v>14394</v>
      </c>
      <c r="I796" s="198">
        <v>5.03</v>
      </c>
      <c r="K796" s="198">
        <v>87099.36</v>
      </c>
    </row>
    <row r="797" spans="3:11" x14ac:dyDescent="0.2">
      <c r="C797" s="201" t="s">
        <v>14393</v>
      </c>
      <c r="D797" s="200">
        <v>44377</v>
      </c>
      <c r="E797" s="199" t="s">
        <v>14392</v>
      </c>
      <c r="I797" s="198">
        <v>14.76</v>
      </c>
      <c r="K797" s="198">
        <v>87114.12</v>
      </c>
    </row>
    <row r="798" spans="3:11" x14ac:dyDescent="0.2">
      <c r="C798" s="201" t="s">
        <v>14391</v>
      </c>
      <c r="D798" s="200">
        <v>44377</v>
      </c>
      <c r="E798" s="199" t="s">
        <v>14390</v>
      </c>
      <c r="I798" s="198">
        <v>3.36</v>
      </c>
      <c r="K798" s="198">
        <v>87117.48</v>
      </c>
    </row>
    <row r="799" spans="3:11" x14ac:dyDescent="0.2">
      <c r="C799" s="201" t="s">
        <v>14389</v>
      </c>
      <c r="D799" s="200">
        <v>44377</v>
      </c>
      <c r="E799" s="199" t="s">
        <v>14388</v>
      </c>
      <c r="I799" s="198">
        <v>8.3800000000000008</v>
      </c>
      <c r="K799" s="198">
        <v>87125.86</v>
      </c>
    </row>
    <row r="800" spans="3:11" x14ac:dyDescent="0.2">
      <c r="C800" s="201" t="s">
        <v>14387</v>
      </c>
      <c r="D800" s="200">
        <v>44377</v>
      </c>
      <c r="E800" s="199" t="s">
        <v>14386</v>
      </c>
      <c r="I800" s="198">
        <v>3.88</v>
      </c>
      <c r="K800" s="198">
        <v>87129.74</v>
      </c>
    </row>
    <row r="801" spans="3:11" x14ac:dyDescent="0.2">
      <c r="C801" s="201" t="s">
        <v>14385</v>
      </c>
      <c r="D801" s="200">
        <v>44377</v>
      </c>
      <c r="E801" s="199" t="s">
        <v>14384</v>
      </c>
      <c r="I801" s="198">
        <v>2.54</v>
      </c>
      <c r="K801" s="198">
        <v>87132.28</v>
      </c>
    </row>
    <row r="802" spans="3:11" x14ac:dyDescent="0.2">
      <c r="C802" s="201" t="s">
        <v>14383</v>
      </c>
      <c r="D802" s="200">
        <v>44377</v>
      </c>
      <c r="E802" s="199" t="s">
        <v>14382</v>
      </c>
      <c r="I802" s="198">
        <v>3.65</v>
      </c>
      <c r="K802" s="198">
        <v>87135.93</v>
      </c>
    </row>
    <row r="803" spans="3:11" x14ac:dyDescent="0.2">
      <c r="C803" s="201" t="s">
        <v>14381</v>
      </c>
      <c r="D803" s="200">
        <v>44377</v>
      </c>
      <c r="E803" s="199" t="s">
        <v>14380</v>
      </c>
      <c r="I803" s="198">
        <v>4.46</v>
      </c>
      <c r="K803" s="198">
        <v>87140.39</v>
      </c>
    </row>
    <row r="804" spans="3:11" x14ac:dyDescent="0.2">
      <c r="C804" s="201" t="s">
        <v>14379</v>
      </c>
      <c r="D804" s="200">
        <v>44377</v>
      </c>
      <c r="E804" s="199" t="s">
        <v>14378</v>
      </c>
      <c r="I804" s="198">
        <v>2.4</v>
      </c>
      <c r="K804" s="198">
        <v>87142.79</v>
      </c>
    </row>
    <row r="805" spans="3:11" x14ac:dyDescent="0.2">
      <c r="C805" s="201" t="s">
        <v>14377</v>
      </c>
      <c r="D805" s="200">
        <v>44377</v>
      </c>
      <c r="E805" s="199" t="s">
        <v>14376</v>
      </c>
      <c r="I805" s="198">
        <v>15.6</v>
      </c>
      <c r="K805" s="198">
        <v>87158.39</v>
      </c>
    </row>
    <row r="806" spans="3:11" x14ac:dyDescent="0.2">
      <c r="C806" s="201" t="s">
        <v>14375</v>
      </c>
      <c r="D806" s="200">
        <v>44377</v>
      </c>
      <c r="E806" s="199" t="s">
        <v>14374</v>
      </c>
      <c r="I806" s="198">
        <v>3.36</v>
      </c>
      <c r="K806" s="198">
        <v>87161.75</v>
      </c>
    </row>
    <row r="807" spans="3:11" x14ac:dyDescent="0.2">
      <c r="C807" s="201" t="s">
        <v>14373</v>
      </c>
      <c r="D807" s="200">
        <v>44377</v>
      </c>
      <c r="E807" s="199" t="s">
        <v>14372</v>
      </c>
      <c r="I807" s="198">
        <v>2.9</v>
      </c>
      <c r="K807" s="198">
        <v>87164.65</v>
      </c>
    </row>
    <row r="808" spans="3:11" x14ac:dyDescent="0.2">
      <c r="C808" s="201" t="s">
        <v>14371</v>
      </c>
      <c r="D808" s="200">
        <v>44377</v>
      </c>
      <c r="E808" s="199" t="s">
        <v>14370</v>
      </c>
      <c r="I808" s="198">
        <v>4.59</v>
      </c>
      <c r="K808" s="198">
        <v>87169.24</v>
      </c>
    </row>
    <row r="809" spans="3:11" x14ac:dyDescent="0.2">
      <c r="C809" s="201" t="s">
        <v>14369</v>
      </c>
      <c r="D809" s="200">
        <v>44377</v>
      </c>
      <c r="E809" s="199" t="s">
        <v>14368</v>
      </c>
      <c r="I809" s="198">
        <v>1.68</v>
      </c>
      <c r="K809" s="198">
        <v>87170.92</v>
      </c>
    </row>
    <row r="810" spans="3:11" x14ac:dyDescent="0.2">
      <c r="C810" s="201" t="s">
        <v>14367</v>
      </c>
      <c r="D810" s="200">
        <v>44377</v>
      </c>
      <c r="E810" s="199" t="s">
        <v>14366</v>
      </c>
      <c r="I810" s="198">
        <v>5.29</v>
      </c>
      <c r="K810" s="198">
        <v>87176.21</v>
      </c>
    </row>
    <row r="811" spans="3:11" x14ac:dyDescent="0.2">
      <c r="C811" s="201" t="s">
        <v>14365</v>
      </c>
      <c r="D811" s="200">
        <v>44377</v>
      </c>
      <c r="E811" s="199" t="s">
        <v>14364</v>
      </c>
      <c r="I811" s="198">
        <v>12.3</v>
      </c>
      <c r="K811" s="198">
        <v>87188.51</v>
      </c>
    </row>
    <row r="812" spans="3:11" x14ac:dyDescent="0.2">
      <c r="C812" s="201" t="s">
        <v>14363</v>
      </c>
      <c r="D812" s="200">
        <v>44377</v>
      </c>
      <c r="E812" s="199" t="s">
        <v>14362</v>
      </c>
      <c r="I812" s="198">
        <v>4.51</v>
      </c>
      <c r="K812" s="198">
        <v>87193.02</v>
      </c>
    </row>
    <row r="813" spans="3:11" x14ac:dyDescent="0.2">
      <c r="C813" s="201" t="s">
        <v>14361</v>
      </c>
      <c r="D813" s="200">
        <v>44377</v>
      </c>
      <c r="E813" s="199" t="s">
        <v>14360</v>
      </c>
      <c r="I813" s="198">
        <v>6.76</v>
      </c>
      <c r="K813" s="198">
        <v>87199.78</v>
      </c>
    </row>
    <row r="814" spans="3:11" x14ac:dyDescent="0.2">
      <c r="C814" s="201" t="s">
        <v>14359</v>
      </c>
      <c r="D814" s="200">
        <v>44377</v>
      </c>
      <c r="E814" s="199" t="s">
        <v>14358</v>
      </c>
      <c r="I814" s="198">
        <v>6.42</v>
      </c>
      <c r="K814" s="198">
        <v>87206.2</v>
      </c>
    </row>
    <row r="815" spans="3:11" x14ac:dyDescent="0.2">
      <c r="C815" s="201" t="s">
        <v>14357</v>
      </c>
      <c r="D815" s="200">
        <v>44377</v>
      </c>
      <c r="E815" s="199" t="s">
        <v>14356</v>
      </c>
      <c r="I815" s="198">
        <v>3.47</v>
      </c>
      <c r="K815" s="198">
        <v>87209.67</v>
      </c>
    </row>
    <row r="816" spans="3:11" x14ac:dyDescent="0.2">
      <c r="C816" s="201" t="s">
        <v>14355</v>
      </c>
      <c r="D816" s="200">
        <v>44377</v>
      </c>
      <c r="E816" s="199" t="s">
        <v>14354</v>
      </c>
      <c r="I816" s="198">
        <v>5.17</v>
      </c>
      <c r="K816" s="198">
        <v>87214.84</v>
      </c>
    </row>
    <row r="817" spans="3:11" x14ac:dyDescent="0.2">
      <c r="C817" s="201" t="s">
        <v>14353</v>
      </c>
      <c r="D817" s="200">
        <v>44377</v>
      </c>
      <c r="E817" s="199" t="s">
        <v>14352</v>
      </c>
      <c r="I817" s="198">
        <v>1.97</v>
      </c>
      <c r="K817" s="198">
        <v>87216.81</v>
      </c>
    </row>
    <row r="818" spans="3:11" x14ac:dyDescent="0.2">
      <c r="C818" s="201" t="s">
        <v>14351</v>
      </c>
      <c r="D818" s="200">
        <v>44377</v>
      </c>
      <c r="E818" s="199" t="s">
        <v>14350</v>
      </c>
      <c r="I818" s="198">
        <v>6.71</v>
      </c>
      <c r="K818" s="198">
        <v>87223.52</v>
      </c>
    </row>
    <row r="819" spans="3:11" x14ac:dyDescent="0.2">
      <c r="C819" s="201" t="s">
        <v>14349</v>
      </c>
      <c r="D819" s="200">
        <v>44377</v>
      </c>
      <c r="E819" s="199" t="s">
        <v>14348</v>
      </c>
      <c r="I819" s="198">
        <v>16.760000000000002</v>
      </c>
      <c r="K819" s="198">
        <v>87240.28</v>
      </c>
    </row>
    <row r="820" spans="3:11" x14ac:dyDescent="0.2">
      <c r="C820" s="201" t="s">
        <v>14347</v>
      </c>
      <c r="D820" s="200">
        <v>44377</v>
      </c>
      <c r="E820" s="199" t="s">
        <v>14346</v>
      </c>
      <c r="I820" s="198">
        <v>862.87</v>
      </c>
      <c r="K820" s="198">
        <v>88103.15</v>
      </c>
    </row>
    <row r="821" spans="3:11" x14ac:dyDescent="0.2">
      <c r="C821" s="201" t="s">
        <v>14345</v>
      </c>
      <c r="D821" s="200">
        <v>44377</v>
      </c>
      <c r="E821" s="199" t="s">
        <v>14344</v>
      </c>
      <c r="I821" s="198">
        <v>2.63</v>
      </c>
      <c r="K821" s="198">
        <v>88105.78</v>
      </c>
    </row>
    <row r="822" spans="3:11" x14ac:dyDescent="0.2">
      <c r="C822" s="201" t="s">
        <v>14343</v>
      </c>
      <c r="D822" s="200">
        <v>44377</v>
      </c>
      <c r="E822" s="199" t="s">
        <v>14342</v>
      </c>
      <c r="J822" s="222">
        <v>7.49</v>
      </c>
      <c r="K822" s="198">
        <v>88098.29</v>
      </c>
    </row>
    <row r="823" spans="3:11" x14ac:dyDescent="0.2">
      <c r="C823" s="201" t="s">
        <v>9623</v>
      </c>
      <c r="D823" s="200">
        <v>44377</v>
      </c>
      <c r="E823" s="199" t="s">
        <v>14341</v>
      </c>
      <c r="J823" s="222">
        <v>10.66</v>
      </c>
      <c r="K823" s="198">
        <v>88087.63</v>
      </c>
    </row>
    <row r="824" spans="3:11" x14ac:dyDescent="0.2">
      <c r="C824" s="201" t="s">
        <v>1551</v>
      </c>
      <c r="D824" s="200">
        <v>44377</v>
      </c>
      <c r="E824" s="199" t="s">
        <v>14340</v>
      </c>
      <c r="J824" s="222">
        <v>600</v>
      </c>
      <c r="K824" s="198">
        <v>87487.63</v>
      </c>
    </row>
    <row r="825" spans="3:11" x14ac:dyDescent="0.2">
      <c r="C825" s="201" t="s">
        <v>1559</v>
      </c>
      <c r="D825" s="200">
        <v>44377</v>
      </c>
      <c r="E825" s="199" t="s">
        <v>14339</v>
      </c>
      <c r="J825" s="222">
        <v>50.09</v>
      </c>
      <c r="K825" s="198">
        <v>87437.54</v>
      </c>
    </row>
    <row r="826" spans="3:11" x14ac:dyDescent="0.2">
      <c r="C826" s="201" t="s">
        <v>11</v>
      </c>
      <c r="D826" s="200">
        <v>44377</v>
      </c>
      <c r="E826" s="199" t="s">
        <v>14338</v>
      </c>
      <c r="J826" s="222">
        <v>1551.52</v>
      </c>
      <c r="K826" s="198">
        <v>85886.02</v>
      </c>
    </row>
    <row r="827" spans="3:11" x14ac:dyDescent="0.2">
      <c r="C827" s="201" t="s">
        <v>1550</v>
      </c>
      <c r="D827" s="200">
        <v>44377</v>
      </c>
      <c r="E827" s="199" t="s">
        <v>14337</v>
      </c>
      <c r="J827" s="222">
        <v>3355.39</v>
      </c>
      <c r="K827" s="198">
        <v>82530.63</v>
      </c>
    </row>
    <row r="828" spans="3:11" x14ac:dyDescent="0.2">
      <c r="C828" s="201" t="s">
        <v>6178</v>
      </c>
      <c r="D828" s="200">
        <v>44377</v>
      </c>
      <c r="E828" s="199" t="s">
        <v>20195</v>
      </c>
      <c r="J828" s="222">
        <v>100.52</v>
      </c>
      <c r="K828" s="198">
        <v>82430.11</v>
      </c>
    </row>
    <row r="829" spans="3:11" x14ac:dyDescent="0.2">
      <c r="C829" s="197" t="s">
        <v>22</v>
      </c>
      <c r="D829" s="196">
        <v>65173.55</v>
      </c>
      <c r="E829" s="197" t="s">
        <v>21</v>
      </c>
      <c r="F829" s="196">
        <v>35623.440000000002</v>
      </c>
      <c r="G829" s="197" t="s">
        <v>20</v>
      </c>
      <c r="H829" s="196">
        <v>18366.88</v>
      </c>
      <c r="J829" s="197" t="s">
        <v>19</v>
      </c>
      <c r="K829" s="196">
        <v>82430.11</v>
      </c>
    </row>
    <row r="832" spans="3:11" x14ac:dyDescent="0.2">
      <c r="E832" s="87" t="s">
        <v>18</v>
      </c>
      <c r="K832" s="86" t="s">
        <v>17</v>
      </c>
    </row>
  </sheetData>
  <pageMargins left="0.75" right="0.75" top="1" bottom="1" header="0" footer="0"/>
  <pageSetup orientation="portrait" errors="NA" horizontalDpi="120" verticalDpi="72"/>
  <headerFooter alignWithMargins="0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0092A-4168-4ADA-89EF-1BFCAD37F2BA}">
  <dimension ref="A1:G274"/>
  <sheetViews>
    <sheetView workbookViewId="0">
      <selection activeCell="B2" sqref="B2"/>
    </sheetView>
  </sheetViews>
  <sheetFormatPr baseColWidth="10" defaultRowHeight="15" x14ac:dyDescent="0.25"/>
  <cols>
    <col min="2" max="2" width="45.42578125" customWidth="1"/>
    <col min="3" max="3" width="7.7109375" customWidth="1"/>
    <col min="4" max="4" width="12" customWidth="1"/>
    <col min="5" max="5" width="15.7109375" bestFit="1" customWidth="1"/>
    <col min="6" max="6" width="10.28515625" bestFit="1" customWidth="1"/>
    <col min="7" max="7" width="10.7109375" customWidth="1"/>
  </cols>
  <sheetData>
    <row r="1" spans="1:6" x14ac:dyDescent="0.25">
      <c r="A1" s="294" t="s">
        <v>15952</v>
      </c>
      <c r="B1" s="294"/>
      <c r="C1" s="294"/>
      <c r="D1" s="294"/>
      <c r="E1" s="294"/>
      <c r="F1" s="294"/>
    </row>
    <row r="2" spans="1:6" x14ac:dyDescent="0.25">
      <c r="A2" s="193" t="s">
        <v>542</v>
      </c>
      <c r="B2" s="193" t="s">
        <v>543</v>
      </c>
      <c r="C2" s="193" t="s">
        <v>9</v>
      </c>
      <c r="D2" s="193" t="s">
        <v>544</v>
      </c>
      <c r="E2" s="193" t="s">
        <v>5</v>
      </c>
      <c r="F2" s="193" t="s">
        <v>545</v>
      </c>
    </row>
    <row r="3" spans="1:6" x14ac:dyDescent="0.25">
      <c r="A3" s="23" t="str">
        <f>"3930394"</f>
        <v>3930394</v>
      </c>
      <c r="B3" s="23" t="s">
        <v>558</v>
      </c>
      <c r="C3" s="23">
        <v>1.68</v>
      </c>
      <c r="D3" s="23">
        <v>361737</v>
      </c>
      <c r="E3" s="24">
        <v>44348.45789351852</v>
      </c>
      <c r="F3" s="275">
        <v>7665</v>
      </c>
    </row>
    <row r="4" spans="1:6" x14ac:dyDescent="0.25">
      <c r="A4" s="23" t="str">
        <f>"3903085"</f>
        <v>3903085</v>
      </c>
      <c r="B4" s="23" t="s">
        <v>15951</v>
      </c>
      <c r="C4" s="23">
        <v>13.88</v>
      </c>
      <c r="D4" s="23">
        <v>361088</v>
      </c>
      <c r="E4" s="24">
        <v>44348.577939814815</v>
      </c>
      <c r="F4" s="275">
        <v>7666</v>
      </c>
    </row>
    <row r="5" spans="1:6" x14ac:dyDescent="0.25">
      <c r="A5" s="23" t="str">
        <f>"3902190"</f>
        <v>3902190</v>
      </c>
      <c r="B5" s="23" t="s">
        <v>15950</v>
      </c>
      <c r="C5" s="23">
        <v>8.94</v>
      </c>
      <c r="D5" s="23">
        <v>360630</v>
      </c>
      <c r="E5" s="24">
        <v>44348.706157407411</v>
      </c>
      <c r="F5" s="275">
        <v>7670</v>
      </c>
    </row>
    <row r="6" spans="1:6" x14ac:dyDescent="0.25">
      <c r="A6" s="23" t="str">
        <f>"3945113"</f>
        <v>3945113</v>
      </c>
      <c r="B6" s="23" t="s">
        <v>551</v>
      </c>
      <c r="C6" s="23">
        <v>8.3800000000000008</v>
      </c>
      <c r="D6" s="23">
        <v>360906</v>
      </c>
      <c r="E6" s="24">
        <v>44348.72146990741</v>
      </c>
      <c r="F6" s="275">
        <v>7667</v>
      </c>
    </row>
    <row r="7" spans="1:6" x14ac:dyDescent="0.25">
      <c r="A7" s="23" t="str">
        <f>"3908064"</f>
        <v>3908064</v>
      </c>
      <c r="B7" s="23" t="s">
        <v>6109</v>
      </c>
      <c r="C7" s="23">
        <v>3.87</v>
      </c>
      <c r="D7" s="23">
        <v>361786</v>
      </c>
      <c r="E7" s="24">
        <v>44348.80364583333</v>
      </c>
      <c r="F7" s="275">
        <v>7668</v>
      </c>
    </row>
    <row r="8" spans="1:6" x14ac:dyDescent="0.25">
      <c r="A8" s="23" t="str">
        <f>"3903080"</f>
        <v>3903080</v>
      </c>
      <c r="B8" s="23" t="s">
        <v>3772</v>
      </c>
      <c r="C8" s="23">
        <v>3.36</v>
      </c>
      <c r="D8" s="23">
        <v>362160</v>
      </c>
      <c r="E8" s="24">
        <v>44348.852071759262</v>
      </c>
      <c r="F8" s="275">
        <v>7669</v>
      </c>
    </row>
    <row r="9" spans="1:6" x14ac:dyDescent="0.25">
      <c r="A9" s="23" t="str">
        <f>"3900383"</f>
        <v>3900383</v>
      </c>
      <c r="B9" s="23" t="s">
        <v>634</v>
      </c>
      <c r="C9" s="23">
        <v>2.72</v>
      </c>
      <c r="D9" s="23">
        <v>361946</v>
      </c>
      <c r="E9" s="24">
        <v>44349.860162037039</v>
      </c>
      <c r="F9" s="275">
        <v>7878</v>
      </c>
    </row>
    <row r="10" spans="1:6" x14ac:dyDescent="0.25">
      <c r="A10" s="23" t="str">
        <f>"3900963"</f>
        <v>3900963</v>
      </c>
      <c r="B10" s="23" t="s">
        <v>15949</v>
      </c>
      <c r="C10" s="23">
        <v>5.04</v>
      </c>
      <c r="D10" s="23">
        <v>353840</v>
      </c>
      <c r="E10" s="24">
        <v>44349.763344907406</v>
      </c>
      <c r="F10" s="275">
        <v>7882</v>
      </c>
    </row>
    <row r="11" spans="1:6" x14ac:dyDescent="0.25">
      <c r="A11" s="23" t="str">
        <f>"3960277"</f>
        <v>3960277</v>
      </c>
      <c r="B11" s="23" t="s">
        <v>575</v>
      </c>
      <c r="C11" s="23">
        <v>7.82</v>
      </c>
      <c r="D11" s="23">
        <v>360867</v>
      </c>
      <c r="E11" s="24">
        <v>44349.763344907406</v>
      </c>
      <c r="F11" s="275">
        <v>7879</v>
      </c>
    </row>
    <row r="12" spans="1:6" x14ac:dyDescent="0.25">
      <c r="A12" s="23" t="str">
        <f>"3945435"</f>
        <v>3945435</v>
      </c>
      <c r="B12" s="23" t="s">
        <v>571</v>
      </c>
      <c r="C12" s="23">
        <v>8.3800000000000008</v>
      </c>
      <c r="D12" s="23">
        <v>360927</v>
      </c>
      <c r="E12" s="24">
        <v>44349.763344907406</v>
      </c>
      <c r="F12" s="275">
        <v>7880</v>
      </c>
    </row>
    <row r="13" spans="1:6" x14ac:dyDescent="0.25">
      <c r="A13" s="23" t="str">
        <f>"3945102"</f>
        <v>3945102</v>
      </c>
      <c r="B13" s="23" t="s">
        <v>572</v>
      </c>
      <c r="C13" s="23">
        <v>8.3800000000000008</v>
      </c>
      <c r="D13" s="23">
        <v>360892</v>
      </c>
      <c r="E13" s="24">
        <v>44349.763344907406</v>
      </c>
      <c r="F13" s="275">
        <v>7881</v>
      </c>
    </row>
    <row r="14" spans="1:6" x14ac:dyDescent="0.25">
      <c r="A14" s="23" t="str">
        <f>"3907239"</f>
        <v>3907239</v>
      </c>
      <c r="B14" s="23" t="s">
        <v>573</v>
      </c>
      <c r="C14" s="23">
        <v>6.94</v>
      </c>
      <c r="D14" s="23">
        <v>361069</v>
      </c>
      <c r="E14" s="24">
        <v>44349.763344907406</v>
      </c>
      <c r="F14" s="275">
        <v>7883</v>
      </c>
    </row>
    <row r="15" spans="1:6" x14ac:dyDescent="0.25">
      <c r="A15" s="23" t="str">
        <f>"3902750"</f>
        <v>3902750</v>
      </c>
      <c r="B15" s="23" t="s">
        <v>563</v>
      </c>
      <c r="C15" s="23">
        <v>9.1199999999999992</v>
      </c>
      <c r="D15" s="23">
        <v>360990</v>
      </c>
      <c r="E15" s="24">
        <v>44349.763344907406</v>
      </c>
      <c r="F15" s="193">
        <v>7884</v>
      </c>
    </row>
    <row r="16" spans="1:6" x14ac:dyDescent="0.25">
      <c r="A16" s="23" t="str">
        <f>"3960364"</f>
        <v>3960364</v>
      </c>
      <c r="B16" s="23" t="s">
        <v>576</v>
      </c>
      <c r="C16" s="23">
        <v>8.3800000000000008</v>
      </c>
      <c r="D16" s="23">
        <v>360904</v>
      </c>
      <c r="E16" s="24">
        <v>44349.763344907406</v>
      </c>
      <c r="F16" s="193">
        <v>7885</v>
      </c>
    </row>
    <row r="17" spans="1:6" x14ac:dyDescent="0.25">
      <c r="A17" s="23" t="str">
        <f>"3903364"</f>
        <v>3903364</v>
      </c>
      <c r="B17" s="23" t="s">
        <v>564</v>
      </c>
      <c r="C17" s="23">
        <v>6.36</v>
      </c>
      <c r="D17" s="23">
        <v>361352</v>
      </c>
      <c r="E17" s="24">
        <v>44349.763344907406</v>
      </c>
      <c r="F17" s="193">
        <v>7886</v>
      </c>
    </row>
    <row r="18" spans="1:6" x14ac:dyDescent="0.25">
      <c r="A18" s="23" t="str">
        <f>"3960315"</f>
        <v>3960315</v>
      </c>
      <c r="B18" s="23" t="s">
        <v>565</v>
      </c>
      <c r="C18" s="23">
        <v>4.1900000000000004</v>
      </c>
      <c r="D18" s="23">
        <v>360947</v>
      </c>
      <c r="E18" s="24">
        <v>44349.763344907406</v>
      </c>
      <c r="F18" s="193">
        <v>7887</v>
      </c>
    </row>
    <row r="19" spans="1:6" x14ac:dyDescent="0.25">
      <c r="A19" s="23" t="str">
        <f>"3900349"</f>
        <v>3900349</v>
      </c>
      <c r="B19" s="23" t="s">
        <v>566</v>
      </c>
      <c r="C19" s="23">
        <v>2.65</v>
      </c>
      <c r="D19" s="23">
        <v>361935</v>
      </c>
      <c r="E19" s="24">
        <v>44349.763344907406</v>
      </c>
      <c r="F19" s="193">
        <v>7888</v>
      </c>
    </row>
    <row r="20" spans="1:6" x14ac:dyDescent="0.25">
      <c r="A20" s="23" t="str">
        <f>"3900568"</f>
        <v>3900568</v>
      </c>
      <c r="B20" s="23" t="s">
        <v>1118</v>
      </c>
      <c r="C20" s="23">
        <v>2.0299999999999998</v>
      </c>
      <c r="D20" s="23">
        <v>361997</v>
      </c>
      <c r="E20" s="24">
        <v>44349.763344907406</v>
      </c>
      <c r="F20" s="193">
        <v>7889</v>
      </c>
    </row>
    <row r="21" spans="1:6" x14ac:dyDescent="0.25">
      <c r="A21" s="23" t="str">
        <f>"3901398"</f>
        <v>3901398</v>
      </c>
      <c r="B21" s="23" t="s">
        <v>568</v>
      </c>
      <c r="C21" s="23">
        <v>3.2</v>
      </c>
      <c r="D21" s="23">
        <v>362043</v>
      </c>
      <c r="E21" s="24">
        <v>44349.763344907406</v>
      </c>
      <c r="F21" s="193">
        <v>7890</v>
      </c>
    </row>
    <row r="22" spans="1:6" x14ac:dyDescent="0.25">
      <c r="A22" s="23" t="str">
        <f>"3903061"</f>
        <v>3903061</v>
      </c>
      <c r="B22" s="23" t="s">
        <v>569</v>
      </c>
      <c r="C22" s="23">
        <v>6.94</v>
      </c>
      <c r="D22" s="23">
        <v>361082</v>
      </c>
      <c r="E22" s="24">
        <v>44349.763344907406</v>
      </c>
      <c r="F22" s="193">
        <v>7891</v>
      </c>
    </row>
    <row r="23" spans="1:6" x14ac:dyDescent="0.25">
      <c r="A23" s="23" t="str">
        <f>"3902419"</f>
        <v>3902419</v>
      </c>
      <c r="B23" s="23" t="s">
        <v>561</v>
      </c>
      <c r="C23" s="23">
        <v>8.99</v>
      </c>
      <c r="D23" s="23">
        <v>361760</v>
      </c>
      <c r="E23" s="24">
        <v>44349.763344907406</v>
      </c>
      <c r="F23" s="193">
        <v>7892</v>
      </c>
    </row>
    <row r="24" spans="1:6" x14ac:dyDescent="0.25">
      <c r="A24" s="23" t="str">
        <f>"3903883"</f>
        <v>3903883</v>
      </c>
      <c r="B24" s="23" t="s">
        <v>1102</v>
      </c>
      <c r="C24" s="23">
        <v>1.68</v>
      </c>
      <c r="D24" s="23">
        <v>362415</v>
      </c>
      <c r="E24" s="24">
        <v>44349.763344907406</v>
      </c>
      <c r="F24" s="193">
        <v>7893</v>
      </c>
    </row>
    <row r="25" spans="1:6" x14ac:dyDescent="0.25">
      <c r="A25" s="23" t="str">
        <f>"3909039"</f>
        <v>3909039</v>
      </c>
      <c r="B25" s="23" t="s">
        <v>570</v>
      </c>
      <c r="C25" s="23">
        <v>1.93</v>
      </c>
      <c r="D25" s="23">
        <v>361580</v>
      </c>
      <c r="E25" s="24">
        <v>44349.763344907406</v>
      </c>
      <c r="F25" s="193">
        <v>7894</v>
      </c>
    </row>
    <row r="26" spans="1:6" x14ac:dyDescent="0.25">
      <c r="A26" s="23" t="str">
        <f>"3950033"</f>
        <v>3950033</v>
      </c>
      <c r="B26" s="23" t="s">
        <v>567</v>
      </c>
      <c r="C26" s="23">
        <v>8.3800000000000008</v>
      </c>
      <c r="D26" s="23">
        <v>360856</v>
      </c>
      <c r="E26" s="24">
        <v>44349.763344907406</v>
      </c>
      <c r="F26" s="193">
        <v>7895</v>
      </c>
    </row>
    <row r="27" spans="1:6" x14ac:dyDescent="0.25">
      <c r="A27" s="23" t="str">
        <f>"3903127"</f>
        <v>3903127</v>
      </c>
      <c r="B27" s="23" t="s">
        <v>577</v>
      </c>
      <c r="C27" s="23">
        <v>1.68</v>
      </c>
      <c r="D27" s="23">
        <v>361140</v>
      </c>
      <c r="E27" s="24">
        <v>44349.763344907406</v>
      </c>
      <c r="F27" s="193">
        <v>7896</v>
      </c>
    </row>
    <row r="28" spans="1:6" x14ac:dyDescent="0.25">
      <c r="A28" s="23" t="str">
        <f>"3945105"</f>
        <v>3945105</v>
      </c>
      <c r="B28" s="23" t="s">
        <v>1093</v>
      </c>
      <c r="C28" s="23">
        <v>8.3800000000000008</v>
      </c>
      <c r="D28" s="23">
        <v>360898</v>
      </c>
      <c r="E28" s="24">
        <v>44349.763344907406</v>
      </c>
      <c r="F28" s="193">
        <v>7897</v>
      </c>
    </row>
    <row r="29" spans="1:6" x14ac:dyDescent="0.25">
      <c r="A29" s="23" t="str">
        <f>"3907541"</f>
        <v>3907541</v>
      </c>
      <c r="B29" s="23" t="s">
        <v>578</v>
      </c>
      <c r="C29" s="23">
        <v>3.77</v>
      </c>
      <c r="D29" s="23">
        <v>361152</v>
      </c>
      <c r="E29" s="24">
        <v>44349.763344907406</v>
      </c>
      <c r="F29" s="193">
        <v>7898</v>
      </c>
    </row>
    <row r="30" spans="1:6" x14ac:dyDescent="0.25">
      <c r="A30" s="23" t="str">
        <f>"3945284"</f>
        <v>3945284</v>
      </c>
      <c r="B30" s="23" t="s">
        <v>579</v>
      </c>
      <c r="C30" s="23">
        <v>15.42</v>
      </c>
      <c r="D30" s="23">
        <v>361000</v>
      </c>
      <c r="E30" s="24">
        <v>44349.763344907406</v>
      </c>
      <c r="F30" s="193">
        <v>7899</v>
      </c>
    </row>
    <row r="31" spans="1:6" x14ac:dyDescent="0.25">
      <c r="A31" s="23" t="str">
        <f>"3909936"</f>
        <v>3909936</v>
      </c>
      <c r="B31" s="23" t="s">
        <v>560</v>
      </c>
      <c r="C31" s="23">
        <v>6.44</v>
      </c>
      <c r="D31" s="23">
        <v>361257</v>
      </c>
      <c r="E31" s="24">
        <v>44349.763344907406</v>
      </c>
      <c r="F31" s="193">
        <v>7900</v>
      </c>
    </row>
    <row r="32" spans="1:6" x14ac:dyDescent="0.25">
      <c r="A32" s="23" t="str">
        <f>"3900389"</f>
        <v>3900389</v>
      </c>
      <c r="B32" s="23" t="s">
        <v>581</v>
      </c>
      <c r="C32" s="23">
        <v>1.68</v>
      </c>
      <c r="D32" s="23">
        <v>361947</v>
      </c>
      <c r="E32" s="24">
        <v>44349.763344907406</v>
      </c>
      <c r="F32" s="193">
        <v>7901</v>
      </c>
    </row>
    <row r="33" spans="1:7" x14ac:dyDescent="0.25">
      <c r="A33" s="23" t="str">
        <f>"3909223"</f>
        <v>3909223</v>
      </c>
      <c r="B33" s="23" t="s">
        <v>583</v>
      </c>
      <c r="C33" s="23">
        <v>1.87</v>
      </c>
      <c r="D33" s="23">
        <v>361806</v>
      </c>
      <c r="E33" s="24">
        <v>44349.763344907406</v>
      </c>
      <c r="F33" s="193">
        <v>7902</v>
      </c>
      <c r="G33" s="26"/>
    </row>
    <row r="34" spans="1:7" x14ac:dyDescent="0.25">
      <c r="A34" s="23" t="str">
        <f>"3960264"</f>
        <v>3960264</v>
      </c>
      <c r="B34" s="23" t="s">
        <v>594</v>
      </c>
      <c r="C34" s="23">
        <v>7.82</v>
      </c>
      <c r="D34" s="23">
        <v>360846</v>
      </c>
      <c r="E34" s="24">
        <v>44349.763344907406</v>
      </c>
      <c r="F34" s="193">
        <v>7903</v>
      </c>
    </row>
    <row r="35" spans="1:7" x14ac:dyDescent="0.25">
      <c r="A35" s="23" t="str">
        <f>"3909981"</f>
        <v>3909981</v>
      </c>
      <c r="B35" s="23" t="s">
        <v>582</v>
      </c>
      <c r="C35" s="23">
        <v>1.86</v>
      </c>
      <c r="D35" s="23">
        <v>361204</v>
      </c>
      <c r="E35" s="24">
        <v>44349.763344907406</v>
      </c>
      <c r="F35" s="193">
        <v>7904</v>
      </c>
    </row>
    <row r="36" spans="1:7" x14ac:dyDescent="0.25">
      <c r="A36" s="23" t="str">
        <f>"3903098"</f>
        <v>3903098</v>
      </c>
      <c r="B36" s="23" t="s">
        <v>586</v>
      </c>
      <c r="C36" s="23">
        <v>3.47</v>
      </c>
      <c r="D36" s="23">
        <v>361090</v>
      </c>
      <c r="E36" s="24">
        <v>44349.763344907406</v>
      </c>
      <c r="F36" s="193">
        <v>7905</v>
      </c>
    </row>
    <row r="37" spans="1:7" x14ac:dyDescent="0.25">
      <c r="A37" s="23" t="str">
        <f>"3906324"</f>
        <v>3906324</v>
      </c>
      <c r="B37" s="23" t="s">
        <v>591</v>
      </c>
      <c r="C37" s="23">
        <v>4.1900000000000004</v>
      </c>
      <c r="D37" s="23">
        <v>361016</v>
      </c>
      <c r="E37" s="24">
        <v>44349.763344907406</v>
      </c>
      <c r="F37" s="193">
        <v>7906</v>
      </c>
    </row>
    <row r="38" spans="1:7" x14ac:dyDescent="0.25">
      <c r="A38" s="23" t="str">
        <f>"3920281"</f>
        <v>3920281</v>
      </c>
      <c r="B38" s="23" t="s">
        <v>588</v>
      </c>
      <c r="C38" s="23">
        <v>7.82</v>
      </c>
      <c r="D38" s="23">
        <v>360839</v>
      </c>
      <c r="E38" s="24">
        <v>44349.763344907406</v>
      </c>
      <c r="F38" s="193">
        <v>7907</v>
      </c>
    </row>
    <row r="39" spans="1:7" x14ac:dyDescent="0.25">
      <c r="A39" s="23" t="str">
        <f>"3945272"</f>
        <v>3945272</v>
      </c>
      <c r="B39" s="23" t="s">
        <v>589</v>
      </c>
      <c r="C39" s="23">
        <v>4.1900000000000004</v>
      </c>
      <c r="D39" s="23">
        <v>360998</v>
      </c>
      <c r="E39" s="24">
        <v>44349.763344907406</v>
      </c>
      <c r="F39" s="193">
        <v>7908</v>
      </c>
    </row>
    <row r="40" spans="1:7" x14ac:dyDescent="0.25">
      <c r="A40" s="23" t="str">
        <f>"3950328"</f>
        <v>3950328</v>
      </c>
      <c r="B40" s="23" t="s">
        <v>585</v>
      </c>
      <c r="C40" s="23">
        <v>8.3800000000000008</v>
      </c>
      <c r="D40" s="23">
        <v>360950</v>
      </c>
      <c r="E40" s="24">
        <v>44349.763344907406</v>
      </c>
      <c r="F40" s="193">
        <v>7909</v>
      </c>
    </row>
    <row r="41" spans="1:7" x14ac:dyDescent="0.25">
      <c r="A41" s="23" t="str">
        <f>"3903282"</f>
        <v>3903282</v>
      </c>
      <c r="B41" s="23" t="s">
        <v>584</v>
      </c>
      <c r="C41" s="23">
        <v>1.81</v>
      </c>
      <c r="D41" s="23">
        <v>362166</v>
      </c>
      <c r="E41" s="24">
        <v>44349.763344907406</v>
      </c>
      <c r="F41" s="193">
        <v>7910</v>
      </c>
    </row>
    <row r="42" spans="1:7" x14ac:dyDescent="0.25">
      <c r="A42" s="23" t="str">
        <f>"3960256"</f>
        <v>3960256</v>
      </c>
      <c r="B42" s="23" t="s">
        <v>580</v>
      </c>
      <c r="C42" s="23">
        <v>17.899999999999999</v>
      </c>
      <c r="D42" s="23">
        <v>360854</v>
      </c>
      <c r="E42" s="24">
        <v>44349.763344907406</v>
      </c>
      <c r="F42" s="193">
        <v>7911</v>
      </c>
    </row>
    <row r="43" spans="1:7" x14ac:dyDescent="0.25">
      <c r="A43" s="23" t="str">
        <f>"3901113"</f>
        <v>3901113</v>
      </c>
      <c r="B43" s="23" t="s">
        <v>592</v>
      </c>
      <c r="C43" s="23">
        <v>3.39</v>
      </c>
      <c r="D43" s="23">
        <v>361396</v>
      </c>
      <c r="E43" s="24">
        <v>44349.763344907406</v>
      </c>
      <c r="F43" s="193">
        <v>7912</v>
      </c>
    </row>
    <row r="44" spans="1:7" x14ac:dyDescent="0.25">
      <c r="A44" s="23" t="str">
        <f>"3900676"</f>
        <v>3900676</v>
      </c>
      <c r="B44" s="23" t="s">
        <v>1103</v>
      </c>
      <c r="C44" s="23">
        <v>1.68</v>
      </c>
      <c r="D44" s="23">
        <v>362322</v>
      </c>
      <c r="E44" s="24">
        <v>44349.763344907406</v>
      </c>
      <c r="F44" s="193">
        <v>7913</v>
      </c>
    </row>
    <row r="45" spans="1:7" x14ac:dyDescent="0.25">
      <c r="A45" s="23" t="str">
        <f>"3960232"</f>
        <v>3960232</v>
      </c>
      <c r="B45" s="23" t="s">
        <v>595</v>
      </c>
      <c r="C45" s="23">
        <v>12.3</v>
      </c>
      <c r="D45" s="23">
        <v>360893</v>
      </c>
      <c r="E45" s="24">
        <v>44349.763344907406</v>
      </c>
      <c r="F45" s="193">
        <v>7914</v>
      </c>
    </row>
    <row r="46" spans="1:7" x14ac:dyDescent="0.25">
      <c r="A46" s="23" t="str">
        <f>"3906796"</f>
        <v>3906796</v>
      </c>
      <c r="B46" s="23" t="s">
        <v>596</v>
      </c>
      <c r="C46" s="23">
        <v>4.32</v>
      </c>
      <c r="D46" s="23">
        <v>363125</v>
      </c>
      <c r="E46" s="24">
        <v>44349.763344907406</v>
      </c>
      <c r="F46" s="193">
        <v>7915</v>
      </c>
    </row>
    <row r="47" spans="1:7" x14ac:dyDescent="0.25">
      <c r="A47" s="23" t="str">
        <f>"3908672"</f>
        <v>3908672</v>
      </c>
      <c r="B47" s="23" t="s">
        <v>598</v>
      </c>
      <c r="C47" s="23">
        <v>2.0699999999999998</v>
      </c>
      <c r="D47" s="23">
        <v>363023</v>
      </c>
      <c r="E47" s="24">
        <v>44349.763344907406</v>
      </c>
      <c r="F47" s="193">
        <v>7916</v>
      </c>
    </row>
    <row r="48" spans="1:7" x14ac:dyDescent="0.25">
      <c r="A48" s="23" t="str">
        <f>"3908716"</f>
        <v>3908716</v>
      </c>
      <c r="B48" s="23" t="s">
        <v>597</v>
      </c>
      <c r="C48" s="23">
        <v>2.4</v>
      </c>
      <c r="D48" s="23">
        <v>363032</v>
      </c>
      <c r="E48" s="24">
        <v>44349.763344907406</v>
      </c>
      <c r="F48" s="193">
        <v>7917</v>
      </c>
    </row>
    <row r="49" spans="1:6" x14ac:dyDescent="0.25">
      <c r="A49" s="23" t="str">
        <f>"3900340"</f>
        <v>3900340</v>
      </c>
      <c r="B49" s="23" t="s">
        <v>599</v>
      </c>
      <c r="C49" s="23">
        <v>15.3</v>
      </c>
      <c r="D49" s="23">
        <v>362933</v>
      </c>
      <c r="E49" s="24">
        <v>44349.763344907406</v>
      </c>
      <c r="F49" s="193">
        <v>7918</v>
      </c>
    </row>
    <row r="50" spans="1:6" x14ac:dyDescent="0.25">
      <c r="A50" s="23" t="str">
        <f>"3900344"</f>
        <v>3900344</v>
      </c>
      <c r="B50" s="23" t="s">
        <v>599</v>
      </c>
      <c r="C50" s="23">
        <v>15.3</v>
      </c>
      <c r="D50" s="23">
        <v>362934</v>
      </c>
      <c r="E50" s="24">
        <v>44349.763344907406</v>
      </c>
      <c r="F50" s="193">
        <v>7919</v>
      </c>
    </row>
    <row r="51" spans="1:6" x14ac:dyDescent="0.25">
      <c r="A51" s="23" t="str">
        <f>"3900657"</f>
        <v>3900657</v>
      </c>
      <c r="B51" s="23" t="s">
        <v>599</v>
      </c>
      <c r="C51" s="23">
        <v>15.3</v>
      </c>
      <c r="D51" s="23">
        <v>362932</v>
      </c>
      <c r="E51" s="24">
        <v>44349.763344907406</v>
      </c>
      <c r="F51" s="193">
        <v>7920</v>
      </c>
    </row>
    <row r="52" spans="1:6" x14ac:dyDescent="0.25">
      <c r="A52" s="23" t="str">
        <f>"3909007"</f>
        <v>3909007</v>
      </c>
      <c r="B52" s="23" t="s">
        <v>6080</v>
      </c>
      <c r="C52" s="23">
        <v>2.33</v>
      </c>
      <c r="D52" s="23">
        <v>363093</v>
      </c>
      <c r="E52" s="24">
        <v>44349.763344907406</v>
      </c>
      <c r="F52" s="193">
        <v>7921</v>
      </c>
    </row>
    <row r="53" spans="1:6" x14ac:dyDescent="0.25">
      <c r="A53" s="23" t="str">
        <f>"3930195"</f>
        <v>3930195</v>
      </c>
      <c r="B53" s="23" t="s">
        <v>6080</v>
      </c>
      <c r="C53" s="23">
        <v>1.94</v>
      </c>
      <c r="D53" s="23">
        <v>363142</v>
      </c>
      <c r="E53" s="24">
        <v>44349.763344907406</v>
      </c>
      <c r="F53" s="193">
        <v>7922</v>
      </c>
    </row>
    <row r="54" spans="1:6" x14ac:dyDescent="0.25">
      <c r="A54" s="23" t="str">
        <f>"3945038"</f>
        <v>3945038</v>
      </c>
      <c r="B54" s="23" t="s">
        <v>600</v>
      </c>
      <c r="C54" s="23">
        <v>15.3</v>
      </c>
      <c r="D54" s="23">
        <v>362937</v>
      </c>
      <c r="E54" s="24">
        <v>44349.763344907406</v>
      </c>
      <c r="F54" s="193">
        <v>7923</v>
      </c>
    </row>
    <row r="55" spans="1:6" x14ac:dyDescent="0.25">
      <c r="A55" s="23" t="str">
        <f>"3901033"</f>
        <v>3901033</v>
      </c>
      <c r="B55" s="23" t="s">
        <v>601</v>
      </c>
      <c r="C55" s="23">
        <v>32.18</v>
      </c>
      <c r="D55" s="23">
        <v>362943</v>
      </c>
      <c r="E55" s="24">
        <v>44349.763344907406</v>
      </c>
      <c r="F55" s="193">
        <v>7924</v>
      </c>
    </row>
    <row r="56" spans="1:6" x14ac:dyDescent="0.25">
      <c r="A56" s="23" t="str">
        <f>"3930053"</f>
        <v>3930053</v>
      </c>
      <c r="B56" s="23" t="s">
        <v>557</v>
      </c>
      <c r="C56" s="23">
        <v>9.68</v>
      </c>
      <c r="D56" s="23">
        <v>363050</v>
      </c>
      <c r="E56" s="24">
        <v>44349.763344907406</v>
      </c>
      <c r="F56" s="193">
        <v>7925</v>
      </c>
    </row>
    <row r="57" spans="1:6" x14ac:dyDescent="0.25">
      <c r="A57" s="23"/>
      <c r="B57" s="193">
        <v>1</v>
      </c>
      <c r="C57" s="189">
        <f>SUM(C3:C56)</f>
        <v>373.41</v>
      </c>
      <c r="D57" s="189"/>
      <c r="E57" s="24"/>
      <c r="F57" s="193"/>
    </row>
    <row r="58" spans="1:6" x14ac:dyDescent="0.25">
      <c r="A58" s="23" t="str">
        <f>"3903866"</f>
        <v>3903866</v>
      </c>
      <c r="B58" s="23" t="s">
        <v>3775</v>
      </c>
      <c r="C58" s="23">
        <v>1.68</v>
      </c>
      <c r="D58" s="23">
        <v>362191</v>
      </c>
      <c r="E58" s="24">
        <v>44350.562824074077</v>
      </c>
      <c r="F58" s="193">
        <v>7926</v>
      </c>
    </row>
    <row r="59" spans="1:6" x14ac:dyDescent="0.25">
      <c r="A59" s="23" t="str">
        <f>"3903545"</f>
        <v>3903545</v>
      </c>
      <c r="B59" s="23" t="s">
        <v>603</v>
      </c>
      <c r="C59" s="23">
        <v>1.94</v>
      </c>
      <c r="D59" s="23">
        <v>361523</v>
      </c>
      <c r="E59" s="24">
        <v>44350.597233796296</v>
      </c>
      <c r="F59" s="193">
        <v>7927</v>
      </c>
    </row>
    <row r="60" spans="1:6" x14ac:dyDescent="0.25">
      <c r="A60" s="23" t="str">
        <f>"3909119"</f>
        <v>3909119</v>
      </c>
      <c r="B60" s="23" t="s">
        <v>1124</v>
      </c>
      <c r="C60" s="23">
        <v>10.79</v>
      </c>
      <c r="D60" s="23">
        <v>361683</v>
      </c>
      <c r="E60" s="24">
        <v>44350.640173611115</v>
      </c>
      <c r="F60" s="193">
        <v>7928</v>
      </c>
    </row>
    <row r="61" spans="1:6" x14ac:dyDescent="0.25">
      <c r="A61" s="23" t="str">
        <f>"3920065"</f>
        <v>3920065</v>
      </c>
      <c r="B61" s="23" t="s">
        <v>610</v>
      </c>
      <c r="C61" s="23">
        <v>15.3</v>
      </c>
      <c r="D61" s="23">
        <v>362928</v>
      </c>
      <c r="E61" s="24">
        <v>44350.651192129626</v>
      </c>
      <c r="F61" s="193">
        <v>7929</v>
      </c>
    </row>
    <row r="62" spans="1:6" x14ac:dyDescent="0.25">
      <c r="A62" s="23" t="str">
        <f>"3909154"</f>
        <v>3909154</v>
      </c>
      <c r="B62" s="23" t="s">
        <v>1113</v>
      </c>
      <c r="C62" s="23">
        <v>17.329999999999998</v>
      </c>
      <c r="D62" s="23">
        <v>363141</v>
      </c>
      <c r="E62" s="24">
        <v>44350.697453703702</v>
      </c>
      <c r="F62" s="193">
        <v>7930</v>
      </c>
    </row>
    <row r="63" spans="1:6" x14ac:dyDescent="0.25">
      <c r="A63" s="23"/>
      <c r="B63" s="193">
        <v>2</v>
      </c>
      <c r="C63" s="189">
        <f>SUM(C58:C62)</f>
        <v>47.04</v>
      </c>
      <c r="D63" s="23"/>
      <c r="E63" s="24"/>
      <c r="F63" s="193"/>
    </row>
    <row r="64" spans="1:6" x14ac:dyDescent="0.25">
      <c r="A64" s="23" t="str">
        <f>"3945455"</f>
        <v>3945455</v>
      </c>
      <c r="B64" s="23" t="s">
        <v>1127</v>
      </c>
      <c r="C64" s="23">
        <v>8.3800000000000008</v>
      </c>
      <c r="D64" s="23">
        <v>360929</v>
      </c>
      <c r="E64" s="24">
        <v>44351.459456018521</v>
      </c>
      <c r="F64" s="193">
        <v>8156</v>
      </c>
    </row>
    <row r="65" spans="1:6" x14ac:dyDescent="0.25">
      <c r="A65" s="23" t="str">
        <f>"3907837"</f>
        <v>3907837</v>
      </c>
      <c r="B65" s="23" t="s">
        <v>13203</v>
      </c>
      <c r="C65" s="23">
        <v>1.78</v>
      </c>
      <c r="D65" s="23">
        <v>361455</v>
      </c>
      <c r="E65" s="24">
        <v>44351.494398148148</v>
      </c>
      <c r="F65" s="193">
        <v>8157</v>
      </c>
    </row>
    <row r="66" spans="1:6" x14ac:dyDescent="0.25">
      <c r="A66" s="23" t="str">
        <f>"3903217"</f>
        <v>3903217</v>
      </c>
      <c r="B66" s="23" t="s">
        <v>3743</v>
      </c>
      <c r="C66" s="23">
        <v>4.63</v>
      </c>
      <c r="D66" s="23">
        <v>361218</v>
      </c>
      <c r="E66" s="24">
        <v>44351.631342592591</v>
      </c>
      <c r="F66" s="193">
        <v>8159</v>
      </c>
    </row>
    <row r="67" spans="1:6" x14ac:dyDescent="0.25">
      <c r="A67" s="23" t="str">
        <f>"3903841"</f>
        <v>3903841</v>
      </c>
      <c r="B67" s="23" t="s">
        <v>3743</v>
      </c>
      <c r="C67" s="23">
        <v>1.71</v>
      </c>
      <c r="D67" s="23">
        <v>362184</v>
      </c>
      <c r="E67" s="24">
        <v>44351.632928240739</v>
      </c>
      <c r="F67" s="193">
        <v>8160</v>
      </c>
    </row>
    <row r="68" spans="1:6" x14ac:dyDescent="0.25">
      <c r="A68" s="23" t="str">
        <f>"3907937"</f>
        <v>3907937</v>
      </c>
      <c r="B68" s="23" t="s">
        <v>1131</v>
      </c>
      <c r="C68" s="23">
        <v>6.71</v>
      </c>
      <c r="D68" s="23">
        <v>362344</v>
      </c>
      <c r="E68" s="24">
        <v>44351.655671296299</v>
      </c>
      <c r="F68" s="193">
        <v>8161</v>
      </c>
    </row>
    <row r="69" spans="1:6" x14ac:dyDescent="0.25">
      <c r="A69" s="23" t="str">
        <f>"3945281"</f>
        <v>3945281</v>
      </c>
      <c r="B69" s="23" t="s">
        <v>1125</v>
      </c>
      <c r="C69" s="23">
        <v>4.1900000000000004</v>
      </c>
      <c r="D69" s="23">
        <v>360999</v>
      </c>
      <c r="E69" s="24">
        <v>44351.768518518518</v>
      </c>
      <c r="F69" s="193">
        <v>8163</v>
      </c>
    </row>
    <row r="70" spans="1:6" x14ac:dyDescent="0.25">
      <c r="A70" s="23"/>
      <c r="B70" s="193">
        <v>3</v>
      </c>
      <c r="C70" s="189">
        <f>SUM(C64:C69)</f>
        <v>27.400000000000002</v>
      </c>
      <c r="D70" s="23"/>
      <c r="E70" s="24"/>
      <c r="F70" s="193"/>
    </row>
    <row r="71" spans="1:6" x14ac:dyDescent="0.25">
      <c r="A71" s="23" t="str">
        <f>"3901741"</f>
        <v>3901741</v>
      </c>
      <c r="B71" s="23" t="s">
        <v>3770</v>
      </c>
      <c r="C71" s="23">
        <v>2.65</v>
      </c>
      <c r="D71" s="23">
        <v>362393</v>
      </c>
      <c r="E71" s="24">
        <v>44354.483148148145</v>
      </c>
      <c r="F71" s="193">
        <v>8202</v>
      </c>
    </row>
    <row r="72" spans="1:6" x14ac:dyDescent="0.25">
      <c r="A72" s="23" t="str">
        <f>"3901940"</f>
        <v>3901940</v>
      </c>
      <c r="B72" s="23" t="s">
        <v>547</v>
      </c>
      <c r="C72" s="23">
        <v>7.83</v>
      </c>
      <c r="D72" s="23">
        <v>361147</v>
      </c>
      <c r="E72" s="24">
        <v>44354.361909722225</v>
      </c>
      <c r="F72" s="193">
        <v>8203</v>
      </c>
    </row>
    <row r="73" spans="1:6" x14ac:dyDescent="0.25">
      <c r="A73" s="23" t="str">
        <f>"3907169"</f>
        <v>3907169</v>
      </c>
      <c r="B73" s="23" t="s">
        <v>1134</v>
      </c>
      <c r="C73" s="23">
        <v>16.079999999999998</v>
      </c>
      <c r="D73" s="23">
        <v>363319</v>
      </c>
      <c r="E73" s="24">
        <v>44354.49150462963</v>
      </c>
      <c r="F73" s="193">
        <v>8204</v>
      </c>
    </row>
    <row r="74" spans="1:6" x14ac:dyDescent="0.25">
      <c r="A74" s="23" t="str">
        <f>"3901121"</f>
        <v>3901121</v>
      </c>
      <c r="B74" s="23" t="s">
        <v>615</v>
      </c>
      <c r="C74" s="23">
        <v>1.68</v>
      </c>
      <c r="D74" s="23">
        <v>361397</v>
      </c>
      <c r="E74" s="24">
        <v>44354.608171296299</v>
      </c>
      <c r="F74" s="193">
        <v>8205</v>
      </c>
    </row>
    <row r="75" spans="1:6" x14ac:dyDescent="0.25">
      <c r="A75" s="23" t="str">
        <f>"3906658"</f>
        <v>3906658</v>
      </c>
      <c r="B75" s="23" t="s">
        <v>614</v>
      </c>
      <c r="C75" s="23">
        <v>1.68</v>
      </c>
      <c r="D75" s="23">
        <v>363079</v>
      </c>
      <c r="E75" s="24">
        <v>44354.608680555553</v>
      </c>
      <c r="F75" s="193">
        <v>8206</v>
      </c>
    </row>
    <row r="76" spans="1:6" x14ac:dyDescent="0.25">
      <c r="A76" s="23" t="str">
        <f>"3902054"</f>
        <v>3902054</v>
      </c>
      <c r="B76" s="23" t="s">
        <v>13206</v>
      </c>
      <c r="C76" s="23">
        <v>8.3800000000000008</v>
      </c>
      <c r="D76" s="23">
        <v>360962</v>
      </c>
      <c r="E76" s="24">
        <v>44354.675856481481</v>
      </c>
      <c r="F76" s="193">
        <v>8207</v>
      </c>
    </row>
    <row r="77" spans="1:6" x14ac:dyDescent="0.25">
      <c r="A77" s="23"/>
      <c r="B77" s="193">
        <v>4</v>
      </c>
      <c r="C77" s="189">
        <f>SUM(C71:C76)</f>
        <v>38.299999999999997</v>
      </c>
      <c r="D77" s="23"/>
      <c r="E77" s="24"/>
      <c r="F77" s="193"/>
    </row>
    <row r="78" spans="1:6" x14ac:dyDescent="0.25">
      <c r="A78" s="23" t="str">
        <f>"3907615"</f>
        <v>3907615</v>
      </c>
      <c r="B78" s="23" t="s">
        <v>548</v>
      </c>
      <c r="C78" s="23">
        <v>1.81</v>
      </c>
      <c r="D78" s="23">
        <v>361233</v>
      </c>
      <c r="E78" s="24">
        <v>44355.457824074074</v>
      </c>
      <c r="F78" s="193">
        <v>8309</v>
      </c>
    </row>
    <row r="79" spans="1:6" x14ac:dyDescent="0.25">
      <c r="A79" s="23" t="str">
        <f>"3901111"</f>
        <v>3901111</v>
      </c>
      <c r="B79" s="23" t="s">
        <v>636</v>
      </c>
      <c r="C79" s="23">
        <v>10.14</v>
      </c>
      <c r="D79" s="23">
        <v>363077</v>
      </c>
      <c r="E79" s="24">
        <v>44355.469340277778</v>
      </c>
      <c r="F79" s="193">
        <v>8310</v>
      </c>
    </row>
    <row r="80" spans="1:6" x14ac:dyDescent="0.25">
      <c r="A80" s="23" t="str">
        <f>"3930030"</f>
        <v>3930030</v>
      </c>
      <c r="B80" s="23" t="s">
        <v>1111</v>
      </c>
      <c r="C80" s="23">
        <v>2.21</v>
      </c>
      <c r="D80" s="23">
        <v>361324</v>
      </c>
      <c r="E80" s="24">
        <v>44355.47283564815</v>
      </c>
      <c r="F80" s="193">
        <v>8311</v>
      </c>
    </row>
    <row r="81" spans="1:6" x14ac:dyDescent="0.25">
      <c r="A81" s="23" t="str">
        <f>"3902159"</f>
        <v>3902159</v>
      </c>
      <c r="B81" s="23" t="s">
        <v>3751</v>
      </c>
      <c r="C81" s="23">
        <v>14.52</v>
      </c>
      <c r="D81" s="23">
        <v>363154</v>
      </c>
      <c r="E81" s="24">
        <v>44355.493310185186</v>
      </c>
      <c r="F81" s="193">
        <v>8312</v>
      </c>
    </row>
    <row r="82" spans="1:6" x14ac:dyDescent="0.25">
      <c r="A82" s="23" t="str">
        <f>"3902021"</f>
        <v>3902021</v>
      </c>
      <c r="B82" s="23" t="s">
        <v>3751</v>
      </c>
      <c r="C82" s="23">
        <v>5</v>
      </c>
      <c r="D82" s="23">
        <v>363110</v>
      </c>
      <c r="E82" s="24">
        <v>44355.493402777778</v>
      </c>
      <c r="F82" s="193">
        <v>8313</v>
      </c>
    </row>
    <row r="83" spans="1:6" x14ac:dyDescent="0.25">
      <c r="A83" s="23" t="str">
        <f>"3907680"</f>
        <v>3907680</v>
      </c>
      <c r="B83" s="23" t="s">
        <v>15948</v>
      </c>
      <c r="C83" s="23">
        <v>5.04</v>
      </c>
      <c r="D83" s="23">
        <v>361283</v>
      </c>
      <c r="E83" s="24">
        <v>44355.506608796299</v>
      </c>
      <c r="F83" s="193">
        <v>8318</v>
      </c>
    </row>
    <row r="84" spans="1:6" x14ac:dyDescent="0.25">
      <c r="A84" s="23" t="str">
        <f>"23923029"</f>
        <v>23923029</v>
      </c>
      <c r="B84" s="23" t="s">
        <v>621</v>
      </c>
      <c r="C84" s="23">
        <v>6.84</v>
      </c>
      <c r="D84" s="23">
        <v>4488</v>
      </c>
      <c r="E84" s="24">
        <v>44355.55678240741</v>
      </c>
      <c r="F84" s="193">
        <v>8314</v>
      </c>
    </row>
    <row r="85" spans="1:6" x14ac:dyDescent="0.25">
      <c r="A85" s="23" t="str">
        <f>"3901540"</f>
        <v>3901540</v>
      </c>
      <c r="B85" s="23" t="s">
        <v>1563</v>
      </c>
      <c r="C85" s="23">
        <v>3.36</v>
      </c>
      <c r="D85" s="23">
        <v>362061</v>
      </c>
      <c r="E85" s="24">
        <v>44355.589120370372</v>
      </c>
      <c r="F85" s="193">
        <v>8315</v>
      </c>
    </row>
    <row r="86" spans="1:6" x14ac:dyDescent="0.25">
      <c r="A86" s="23" t="str">
        <f>"3907622"</f>
        <v>3907622</v>
      </c>
      <c r="B86" s="23" t="s">
        <v>607</v>
      </c>
      <c r="C86" s="23">
        <v>97.75</v>
      </c>
      <c r="D86" s="23">
        <v>363265</v>
      </c>
      <c r="E86" s="24">
        <v>44355.630347222221</v>
      </c>
      <c r="F86" s="193">
        <v>8316</v>
      </c>
    </row>
    <row r="87" spans="1:6" x14ac:dyDescent="0.25">
      <c r="A87" s="23" t="str">
        <f>"3900258"</f>
        <v>3900258</v>
      </c>
      <c r="B87" s="23" t="s">
        <v>3769</v>
      </c>
      <c r="C87" s="23">
        <v>5.15</v>
      </c>
      <c r="D87" s="23">
        <v>361915</v>
      </c>
      <c r="E87" s="24">
        <v>44355.802430555559</v>
      </c>
      <c r="F87" s="193">
        <v>8317</v>
      </c>
    </row>
    <row r="88" spans="1:6" x14ac:dyDescent="0.25">
      <c r="A88" s="23" t="str">
        <f>"3908057"</f>
        <v>3908057</v>
      </c>
      <c r="B88" s="23" t="s">
        <v>15947</v>
      </c>
      <c r="C88" s="23">
        <v>6.25</v>
      </c>
      <c r="D88" s="23">
        <v>359258</v>
      </c>
      <c r="E88" s="24">
        <v>44355.84715277778</v>
      </c>
      <c r="F88" s="193">
        <v>8319</v>
      </c>
    </row>
    <row r="89" spans="1:6" x14ac:dyDescent="0.25">
      <c r="A89" s="23"/>
      <c r="B89" s="193">
        <v>5</v>
      </c>
      <c r="C89" s="189">
        <f>SUM(C78:C88)</f>
        <v>158.07000000000002</v>
      </c>
      <c r="D89" s="23"/>
      <c r="E89" s="24"/>
      <c r="F89" s="193"/>
    </row>
    <row r="90" spans="1:6" x14ac:dyDescent="0.25">
      <c r="A90" s="23" t="str">
        <f>"3930021"</f>
        <v>3930021</v>
      </c>
      <c r="B90" s="23" t="s">
        <v>1120</v>
      </c>
      <c r="C90" s="23">
        <v>1.68</v>
      </c>
      <c r="D90" s="23">
        <v>361321</v>
      </c>
      <c r="E90" s="24">
        <v>44356.322615740741</v>
      </c>
      <c r="F90" s="193">
        <v>8355</v>
      </c>
    </row>
    <row r="91" spans="1:6" x14ac:dyDescent="0.25">
      <c r="A91" s="23" t="str">
        <f>"3908571"</f>
        <v>3908571</v>
      </c>
      <c r="B91" s="23" t="s">
        <v>6090</v>
      </c>
      <c r="C91" s="23">
        <v>1.67</v>
      </c>
      <c r="D91" s="23">
        <v>362658</v>
      </c>
      <c r="E91" s="24">
        <v>44356.398125</v>
      </c>
      <c r="F91" s="193">
        <v>8356</v>
      </c>
    </row>
    <row r="92" spans="1:6" x14ac:dyDescent="0.25">
      <c r="A92" s="23" t="str">
        <f>"3903765"</f>
        <v>3903765</v>
      </c>
      <c r="B92" s="23" t="s">
        <v>3572</v>
      </c>
      <c r="C92" s="23">
        <v>3.04</v>
      </c>
      <c r="D92" s="23">
        <v>361358</v>
      </c>
      <c r="E92" s="24">
        <v>44356.408888888887</v>
      </c>
      <c r="F92" s="193">
        <v>8357</v>
      </c>
    </row>
    <row r="93" spans="1:6" x14ac:dyDescent="0.25">
      <c r="A93" s="23" t="str">
        <f>"3930042"</f>
        <v>3930042</v>
      </c>
      <c r="B93" s="23" t="s">
        <v>620</v>
      </c>
      <c r="C93" s="23">
        <v>7.18</v>
      </c>
      <c r="D93" s="23">
        <v>363046</v>
      </c>
      <c r="E93" s="24">
        <v>44356.567916666667</v>
      </c>
      <c r="F93" s="193">
        <v>8358</v>
      </c>
    </row>
    <row r="94" spans="1:6" x14ac:dyDescent="0.25">
      <c r="A94" s="23" t="str">
        <f>"3909922"</f>
        <v>3909922</v>
      </c>
      <c r="B94" s="23" t="s">
        <v>1090</v>
      </c>
      <c r="C94" s="23">
        <v>5</v>
      </c>
      <c r="D94" s="23">
        <v>363029</v>
      </c>
      <c r="E94" s="24">
        <v>44356.587916666664</v>
      </c>
      <c r="F94" s="193">
        <v>8359</v>
      </c>
    </row>
    <row r="95" spans="1:6" x14ac:dyDescent="0.25">
      <c r="A95" s="23" t="str">
        <f>"3909315"</f>
        <v>3909315</v>
      </c>
      <c r="B95" s="23" t="s">
        <v>15946</v>
      </c>
      <c r="C95" s="23">
        <v>1.33</v>
      </c>
      <c r="D95" s="23">
        <v>362748</v>
      </c>
      <c r="E95" s="24">
        <v>44356.616122685184</v>
      </c>
      <c r="F95" s="193">
        <v>8360</v>
      </c>
    </row>
    <row r="96" spans="1:6" x14ac:dyDescent="0.25">
      <c r="A96" s="23" t="str">
        <f>"3908939"</f>
        <v>3908939</v>
      </c>
      <c r="B96" s="23" t="s">
        <v>1119</v>
      </c>
      <c r="C96" s="23">
        <v>1.94</v>
      </c>
      <c r="D96" s="23">
        <v>363066</v>
      </c>
      <c r="E96" s="24">
        <v>44356.681111111109</v>
      </c>
      <c r="F96" s="193">
        <v>8361</v>
      </c>
    </row>
    <row r="97" spans="1:6" x14ac:dyDescent="0.25">
      <c r="A97" s="23"/>
      <c r="B97" s="193">
        <v>6</v>
      </c>
      <c r="C97" s="189">
        <f>SUM(C90:C96)</f>
        <v>21.84</v>
      </c>
      <c r="D97" s="23"/>
      <c r="E97" s="24"/>
      <c r="F97" s="193"/>
    </row>
    <row r="98" spans="1:6" x14ac:dyDescent="0.25">
      <c r="A98" s="23" t="str">
        <f>"3902009"</f>
        <v>3902009</v>
      </c>
      <c r="B98" s="23" t="s">
        <v>608</v>
      </c>
      <c r="C98" s="23">
        <v>3.36</v>
      </c>
      <c r="D98" s="23">
        <v>363063</v>
      </c>
      <c r="E98" s="24">
        <v>44357.47583333333</v>
      </c>
      <c r="F98" s="193">
        <v>8417</v>
      </c>
    </row>
    <row r="99" spans="1:6" x14ac:dyDescent="0.25">
      <c r="A99" s="23" t="str">
        <f>"3930293"</f>
        <v>3930293</v>
      </c>
      <c r="B99" s="23" t="s">
        <v>3782</v>
      </c>
      <c r="C99" s="23">
        <v>3.67</v>
      </c>
      <c r="D99" s="23">
        <v>363118</v>
      </c>
      <c r="E99" s="24">
        <v>44357.509201388886</v>
      </c>
      <c r="F99" s="193">
        <v>8418</v>
      </c>
    </row>
    <row r="100" spans="1:6" x14ac:dyDescent="0.25">
      <c r="A100" s="23" t="str">
        <f>"3908176"</f>
        <v>3908176</v>
      </c>
      <c r="B100" s="23" t="s">
        <v>1126</v>
      </c>
      <c r="C100" s="23">
        <v>3.34</v>
      </c>
      <c r="D100" s="23">
        <v>363273</v>
      </c>
      <c r="E100" s="24">
        <v>44357.535034722219</v>
      </c>
      <c r="F100" s="193">
        <v>8419</v>
      </c>
    </row>
    <row r="101" spans="1:6" x14ac:dyDescent="0.25">
      <c r="A101" s="23" t="str">
        <f>"3908177"</f>
        <v>3908177</v>
      </c>
      <c r="B101" s="23" t="s">
        <v>1126</v>
      </c>
      <c r="C101" s="23">
        <v>14.62</v>
      </c>
      <c r="D101" s="23">
        <v>363274</v>
      </c>
      <c r="E101" s="24">
        <v>44357.535208333335</v>
      </c>
      <c r="F101" s="193">
        <v>8420</v>
      </c>
    </row>
    <row r="102" spans="1:6" x14ac:dyDescent="0.25">
      <c r="A102" s="23" t="str">
        <f>"3908657"</f>
        <v>3908657</v>
      </c>
      <c r="B102" s="23" t="s">
        <v>1128</v>
      </c>
      <c r="C102" s="23">
        <v>5.62</v>
      </c>
      <c r="D102" s="23">
        <v>361831</v>
      </c>
      <c r="E102" s="24">
        <v>44357.727685185186</v>
      </c>
      <c r="F102" s="193">
        <v>8421</v>
      </c>
    </row>
    <row r="103" spans="1:6" x14ac:dyDescent="0.25">
      <c r="A103" s="23" t="str">
        <f>"3907965"</f>
        <v>3907965</v>
      </c>
      <c r="B103" s="23" t="s">
        <v>1135</v>
      </c>
      <c r="C103" s="23">
        <v>10.34</v>
      </c>
      <c r="D103" s="23">
        <v>362347</v>
      </c>
      <c r="E103" s="24">
        <v>44357.762777777774</v>
      </c>
      <c r="F103" s="193">
        <v>8422</v>
      </c>
    </row>
    <row r="104" spans="1:6" x14ac:dyDescent="0.25">
      <c r="A104" s="23"/>
      <c r="B104" s="193">
        <v>7</v>
      </c>
      <c r="C104" s="189">
        <f>SUM(C98:C103)</f>
        <v>40.950000000000003</v>
      </c>
      <c r="D104" s="23"/>
      <c r="E104" s="24"/>
      <c r="F104" s="193"/>
    </row>
    <row r="105" spans="1:6" x14ac:dyDescent="0.25">
      <c r="A105" s="23" t="str">
        <f>"3920094"</f>
        <v>3920094</v>
      </c>
      <c r="B105" s="23" t="s">
        <v>6111</v>
      </c>
      <c r="C105" s="23">
        <v>35.799999999999997</v>
      </c>
      <c r="D105" s="23">
        <v>360865</v>
      </c>
      <c r="E105" s="24">
        <v>44358.363703703704</v>
      </c>
      <c r="F105" s="193">
        <v>8468</v>
      </c>
    </row>
    <row r="106" spans="1:6" x14ac:dyDescent="0.25">
      <c r="A106" s="23" t="str">
        <f>"3900695"</f>
        <v>3900695</v>
      </c>
      <c r="B106" s="23" t="s">
        <v>3763</v>
      </c>
      <c r="C106" s="23">
        <v>4.0199999999999996</v>
      </c>
      <c r="D106" s="23">
        <v>362030</v>
      </c>
      <c r="E106" s="24">
        <v>44358.41101851852</v>
      </c>
      <c r="F106" s="193">
        <v>8469</v>
      </c>
    </row>
    <row r="107" spans="1:6" x14ac:dyDescent="0.25">
      <c r="A107" s="23" t="str">
        <f>"3960257"</f>
        <v>3960257</v>
      </c>
      <c r="B107" s="23" t="s">
        <v>605</v>
      </c>
      <c r="C107" s="23">
        <v>15.57</v>
      </c>
      <c r="D107" s="23">
        <v>362929</v>
      </c>
      <c r="E107" s="24">
        <v>44358.565833333334</v>
      </c>
      <c r="F107" s="193">
        <v>8470</v>
      </c>
    </row>
    <row r="108" spans="1:6" x14ac:dyDescent="0.25">
      <c r="A108" s="23" t="str">
        <f>"3960275"</f>
        <v>3960275</v>
      </c>
      <c r="B108" s="23" t="s">
        <v>605</v>
      </c>
      <c r="C108" s="23">
        <v>15.3</v>
      </c>
      <c r="D108" s="23">
        <v>362936</v>
      </c>
      <c r="E108" s="24">
        <v>44358.566319444442</v>
      </c>
      <c r="F108" s="193">
        <v>8471</v>
      </c>
    </row>
    <row r="109" spans="1:6" x14ac:dyDescent="0.25">
      <c r="A109" s="23" t="str">
        <f>"3903497"</f>
        <v>3903497</v>
      </c>
      <c r="B109" s="23" t="s">
        <v>1117</v>
      </c>
      <c r="C109" s="23">
        <v>5.15</v>
      </c>
      <c r="D109" s="23">
        <v>363291</v>
      </c>
      <c r="E109" s="24">
        <v>44358.706921296296</v>
      </c>
      <c r="F109" s="193">
        <v>8472</v>
      </c>
    </row>
    <row r="110" spans="1:6" x14ac:dyDescent="0.25">
      <c r="A110" s="23"/>
      <c r="B110" s="193">
        <v>8</v>
      </c>
      <c r="C110" s="189">
        <f>SUM(C105:C109)</f>
        <v>75.84</v>
      </c>
      <c r="D110" s="23"/>
      <c r="E110" s="24"/>
      <c r="F110" s="193"/>
    </row>
    <row r="111" spans="1:6" x14ac:dyDescent="0.25">
      <c r="A111" s="23" t="s">
        <v>15929</v>
      </c>
      <c r="B111" s="23" t="s">
        <v>1084</v>
      </c>
      <c r="C111" s="23">
        <v>2.14</v>
      </c>
      <c r="D111" s="23">
        <v>361365</v>
      </c>
      <c r="E111" s="24">
        <v>44361.366215277776</v>
      </c>
      <c r="F111" s="193">
        <v>8555</v>
      </c>
    </row>
    <row r="112" spans="1:6" x14ac:dyDescent="0.25">
      <c r="A112" s="23" t="s">
        <v>15926</v>
      </c>
      <c r="B112" s="23" t="s">
        <v>3802</v>
      </c>
      <c r="C112" s="23">
        <v>4.3600000000000003</v>
      </c>
      <c r="D112" s="23">
        <v>361247</v>
      </c>
      <c r="E112" s="24">
        <v>44361.51667824074</v>
      </c>
      <c r="F112" s="193">
        <v>8556</v>
      </c>
    </row>
    <row r="113" spans="1:6" x14ac:dyDescent="0.25">
      <c r="A113" s="23" t="s">
        <v>15945</v>
      </c>
      <c r="B113" s="23" t="s">
        <v>6076</v>
      </c>
      <c r="C113" s="23">
        <v>0.03</v>
      </c>
      <c r="D113" s="23">
        <v>362722</v>
      </c>
      <c r="E113" s="24">
        <v>44361.52238425926</v>
      </c>
      <c r="F113" s="193">
        <v>8557</v>
      </c>
    </row>
    <row r="114" spans="1:6" x14ac:dyDescent="0.25">
      <c r="A114" s="23" t="s">
        <v>13194</v>
      </c>
      <c r="B114" s="23" t="s">
        <v>629</v>
      </c>
      <c r="C114" s="23">
        <v>2.34</v>
      </c>
      <c r="D114" s="23">
        <v>361674</v>
      </c>
      <c r="E114" s="24">
        <v>44361.377372685187</v>
      </c>
      <c r="F114" s="193">
        <v>8558</v>
      </c>
    </row>
    <row r="115" spans="1:6" x14ac:dyDescent="0.25">
      <c r="A115" s="23" t="s">
        <v>15944</v>
      </c>
      <c r="B115" s="23" t="s">
        <v>3789</v>
      </c>
      <c r="C115" s="23">
        <v>20.82</v>
      </c>
      <c r="D115" s="23">
        <v>358518</v>
      </c>
      <c r="E115" s="24">
        <v>44361.530543981484</v>
      </c>
      <c r="F115" s="193">
        <v>8562</v>
      </c>
    </row>
    <row r="116" spans="1:6" x14ac:dyDescent="0.25">
      <c r="A116" s="23" t="s">
        <v>15943</v>
      </c>
      <c r="B116" s="23" t="s">
        <v>604</v>
      </c>
      <c r="C116" s="23">
        <v>3.36</v>
      </c>
      <c r="D116" s="23">
        <v>361835</v>
      </c>
      <c r="E116" s="24">
        <v>44361.548703703702</v>
      </c>
      <c r="F116" s="193">
        <v>8559</v>
      </c>
    </row>
    <row r="117" spans="1:6" x14ac:dyDescent="0.25">
      <c r="A117" s="23" t="s">
        <v>15942</v>
      </c>
      <c r="B117" s="23" t="s">
        <v>15939</v>
      </c>
      <c r="C117" s="23">
        <v>3.98</v>
      </c>
      <c r="D117" s="23">
        <v>360790</v>
      </c>
      <c r="E117" s="24">
        <v>44361.616469907407</v>
      </c>
      <c r="F117" s="193">
        <v>8563</v>
      </c>
    </row>
    <row r="118" spans="1:6" x14ac:dyDescent="0.25">
      <c r="A118" s="23" t="s">
        <v>15941</v>
      </c>
      <c r="B118" s="23" t="s">
        <v>15939</v>
      </c>
      <c r="C118" s="23">
        <v>3.88</v>
      </c>
      <c r="D118" s="23">
        <v>363347</v>
      </c>
      <c r="E118" s="24">
        <v>44361.616574074076</v>
      </c>
      <c r="F118" s="193">
        <v>8560</v>
      </c>
    </row>
    <row r="119" spans="1:6" x14ac:dyDescent="0.25">
      <c r="A119" s="23" t="s">
        <v>15940</v>
      </c>
      <c r="B119" s="23" t="s">
        <v>15939</v>
      </c>
      <c r="C119" s="23">
        <v>3.88</v>
      </c>
      <c r="D119" s="23">
        <v>363339</v>
      </c>
      <c r="E119" s="24">
        <v>44361.616678240738</v>
      </c>
      <c r="F119" s="193">
        <v>8561</v>
      </c>
    </row>
    <row r="120" spans="1:6" x14ac:dyDescent="0.25">
      <c r="A120" s="23"/>
      <c r="B120" s="193">
        <v>9</v>
      </c>
      <c r="C120" s="189">
        <f>SUM(C111:C119)</f>
        <v>44.790000000000006</v>
      </c>
      <c r="D120" s="23"/>
      <c r="E120" s="24"/>
      <c r="F120" s="193"/>
    </row>
    <row r="121" spans="1:6" x14ac:dyDescent="0.25">
      <c r="A121" s="23" t="str">
        <f>"3908390"</f>
        <v>3908390</v>
      </c>
      <c r="B121" s="23" t="s">
        <v>15938</v>
      </c>
      <c r="C121" s="23">
        <v>4.97</v>
      </c>
      <c r="D121" s="23">
        <v>362538</v>
      </c>
      <c r="E121" s="24">
        <v>44362.50818287037</v>
      </c>
      <c r="F121" s="193">
        <v>8602</v>
      </c>
    </row>
    <row r="122" spans="1:6" x14ac:dyDescent="0.25">
      <c r="A122" s="23" t="str">
        <f>"3907525"</f>
        <v>3907525</v>
      </c>
      <c r="B122" s="23" t="s">
        <v>3786</v>
      </c>
      <c r="C122" s="23">
        <v>3.62</v>
      </c>
      <c r="D122" s="23">
        <v>363026</v>
      </c>
      <c r="E122" s="24">
        <v>44362.603634259256</v>
      </c>
      <c r="F122" s="193">
        <v>8603</v>
      </c>
    </row>
    <row r="123" spans="1:6" x14ac:dyDescent="0.25">
      <c r="A123" s="23" t="str">
        <f>"3907544"</f>
        <v>3907544</v>
      </c>
      <c r="B123" s="23" t="s">
        <v>3786</v>
      </c>
      <c r="C123" s="23">
        <v>1.94</v>
      </c>
      <c r="D123" s="23">
        <v>363025</v>
      </c>
      <c r="E123" s="24">
        <v>44362.605520833335</v>
      </c>
      <c r="F123" s="193">
        <v>8604</v>
      </c>
    </row>
    <row r="124" spans="1:6" x14ac:dyDescent="0.25">
      <c r="A124" s="23" t="str">
        <f>"3907330"</f>
        <v>3907330</v>
      </c>
      <c r="B124" s="23" t="s">
        <v>3777</v>
      </c>
      <c r="C124" s="23">
        <v>23.23</v>
      </c>
      <c r="D124" s="23">
        <v>361032</v>
      </c>
      <c r="E124" s="24">
        <v>44362.63113425926</v>
      </c>
      <c r="F124" s="193">
        <v>8605</v>
      </c>
    </row>
    <row r="125" spans="1:6" x14ac:dyDescent="0.25">
      <c r="A125" s="23" t="str">
        <f>"3902041"</f>
        <v>3902041</v>
      </c>
      <c r="B125" s="23" t="s">
        <v>3776</v>
      </c>
      <c r="C125" s="23">
        <v>8.3800000000000008</v>
      </c>
      <c r="D125" s="23">
        <v>360960</v>
      </c>
      <c r="E125" s="24">
        <v>44362.631608796299</v>
      </c>
      <c r="F125" s="193">
        <v>8606</v>
      </c>
    </row>
    <row r="126" spans="1:6" x14ac:dyDescent="0.25">
      <c r="A126" s="23"/>
      <c r="B126" s="193">
        <v>10</v>
      </c>
      <c r="C126" s="189">
        <f>SUM(C121:C125)</f>
        <v>42.14</v>
      </c>
      <c r="D126" s="23"/>
      <c r="E126" s="24"/>
      <c r="F126" s="193"/>
    </row>
    <row r="127" spans="1:6" x14ac:dyDescent="0.25">
      <c r="A127" s="23" t="str">
        <f>"3960276"</f>
        <v>3960276</v>
      </c>
      <c r="B127" s="23" t="s">
        <v>3750</v>
      </c>
      <c r="C127" s="23">
        <v>12.3</v>
      </c>
      <c r="D127" s="23">
        <v>360866</v>
      </c>
      <c r="E127" s="24">
        <v>44363.43445601852</v>
      </c>
      <c r="F127" s="193">
        <v>8657</v>
      </c>
    </row>
    <row r="128" spans="1:6" x14ac:dyDescent="0.25">
      <c r="A128" s="23" t="str">
        <f>"3960269"</f>
        <v>3960269</v>
      </c>
      <c r="B128" s="23" t="s">
        <v>3745</v>
      </c>
      <c r="C128" s="23">
        <v>12.3</v>
      </c>
      <c r="D128" s="23">
        <v>360850</v>
      </c>
      <c r="E128" s="24">
        <v>44363.44462962963</v>
      </c>
      <c r="F128" s="193">
        <v>8658</v>
      </c>
    </row>
    <row r="129" spans="1:6" x14ac:dyDescent="0.25">
      <c r="A129" s="23" t="str">
        <f>"3950207"</f>
        <v>3950207</v>
      </c>
      <c r="B129" s="23" t="s">
        <v>3784</v>
      </c>
      <c r="C129" s="23">
        <v>17.899999999999999</v>
      </c>
      <c r="D129" s="23">
        <v>360902</v>
      </c>
      <c r="E129" s="24">
        <v>44363.574583333335</v>
      </c>
      <c r="F129" s="193">
        <v>8659</v>
      </c>
    </row>
    <row r="130" spans="1:6" x14ac:dyDescent="0.25">
      <c r="A130" s="23" t="str">
        <f>"3908228"</f>
        <v>3908228</v>
      </c>
      <c r="B130" s="23" t="s">
        <v>6078</v>
      </c>
      <c r="C130" s="23">
        <v>3.12</v>
      </c>
      <c r="D130" s="23">
        <v>362408</v>
      </c>
      <c r="E130" s="24">
        <v>44363.596273148149</v>
      </c>
      <c r="F130" s="193">
        <v>8660</v>
      </c>
    </row>
    <row r="131" spans="1:6" x14ac:dyDescent="0.25">
      <c r="A131" s="23" t="str">
        <f>"3908502"</f>
        <v>3908502</v>
      </c>
      <c r="B131" s="23" t="s">
        <v>15937</v>
      </c>
      <c r="C131" s="23">
        <v>3.36</v>
      </c>
      <c r="D131" s="23">
        <v>363342</v>
      </c>
      <c r="E131" s="24">
        <v>44363.676122685189</v>
      </c>
      <c r="F131" s="193">
        <v>8661</v>
      </c>
    </row>
    <row r="132" spans="1:6" x14ac:dyDescent="0.25">
      <c r="A132" s="23" t="str">
        <f>"23923238"</f>
        <v>23923238</v>
      </c>
      <c r="B132" s="23" t="s">
        <v>11649</v>
      </c>
      <c r="C132" s="23">
        <v>22.3</v>
      </c>
      <c r="D132" s="23">
        <v>4680</v>
      </c>
      <c r="E132" s="24">
        <v>44363.69699074074</v>
      </c>
      <c r="F132" s="193">
        <v>8662</v>
      </c>
    </row>
    <row r="133" spans="1:6" x14ac:dyDescent="0.25">
      <c r="A133" s="23" t="str">
        <f>"3903487"</f>
        <v>3903487</v>
      </c>
      <c r="B133" s="23" t="s">
        <v>11647</v>
      </c>
      <c r="C133" s="23">
        <v>3.49</v>
      </c>
      <c r="D133" s="23">
        <v>361549</v>
      </c>
      <c r="E133" s="24">
        <v>44363.792060185187</v>
      </c>
      <c r="F133" s="193">
        <v>8663</v>
      </c>
    </row>
    <row r="134" spans="1:6" x14ac:dyDescent="0.25">
      <c r="A134" s="23"/>
      <c r="B134" s="193">
        <v>11</v>
      </c>
      <c r="C134" s="189">
        <f>SUM(C127:C133)</f>
        <v>74.77</v>
      </c>
      <c r="D134" s="23"/>
      <c r="E134" s="24"/>
      <c r="F134" s="193"/>
    </row>
    <row r="135" spans="1:6" x14ac:dyDescent="0.25">
      <c r="A135" s="23" t="str">
        <f>"3903744"</f>
        <v>3903744</v>
      </c>
      <c r="B135" s="23" t="s">
        <v>6087</v>
      </c>
      <c r="C135" s="23">
        <v>23.46</v>
      </c>
      <c r="D135" s="23">
        <v>360970</v>
      </c>
      <c r="E135" s="24">
        <v>44364.314305555556</v>
      </c>
      <c r="F135" s="193">
        <v>8766</v>
      </c>
    </row>
    <row r="136" spans="1:6" x14ac:dyDescent="0.25">
      <c r="A136" s="23" t="str">
        <f>"3904232"</f>
        <v>3904232</v>
      </c>
      <c r="B136" s="23" t="s">
        <v>1122</v>
      </c>
      <c r="C136" s="23">
        <v>15.3</v>
      </c>
      <c r="D136" s="23">
        <v>362955</v>
      </c>
      <c r="E136" s="24">
        <v>44364.441377314812</v>
      </c>
      <c r="F136" s="193">
        <v>8760</v>
      </c>
    </row>
    <row r="137" spans="1:6" x14ac:dyDescent="0.25">
      <c r="A137" s="23" t="str">
        <f>"3907892"</f>
        <v>3907892</v>
      </c>
      <c r="B137" s="23" t="s">
        <v>1085</v>
      </c>
      <c r="C137" s="23">
        <v>1.68</v>
      </c>
      <c r="D137" s="23">
        <v>361703</v>
      </c>
      <c r="E137" s="24">
        <v>44364.698437500003</v>
      </c>
      <c r="F137" s="193">
        <v>8761</v>
      </c>
    </row>
    <row r="138" spans="1:6" x14ac:dyDescent="0.25">
      <c r="A138" s="23" t="str">
        <f>"3900375"</f>
        <v>3900375</v>
      </c>
      <c r="B138" s="23" t="s">
        <v>11658</v>
      </c>
      <c r="C138" s="23">
        <v>1.94</v>
      </c>
      <c r="D138" s="23">
        <v>363200</v>
      </c>
      <c r="E138" s="24">
        <v>44364.721018518518</v>
      </c>
      <c r="F138" s="193">
        <v>8762</v>
      </c>
    </row>
    <row r="139" spans="1:6" x14ac:dyDescent="0.25">
      <c r="A139" s="23" t="str">
        <f>"3907846"</f>
        <v>3907846</v>
      </c>
      <c r="B139" s="23" t="s">
        <v>3565</v>
      </c>
      <c r="C139" s="23">
        <v>5.36</v>
      </c>
      <c r="D139" s="23">
        <v>361461</v>
      </c>
      <c r="E139" s="24">
        <v>44365.327465277776</v>
      </c>
      <c r="F139" s="193">
        <v>8763</v>
      </c>
    </row>
    <row r="140" spans="1:6" x14ac:dyDescent="0.25">
      <c r="A140" s="23"/>
      <c r="B140" s="193">
        <v>12</v>
      </c>
      <c r="C140" s="189">
        <f>SUM(C135:C139)</f>
        <v>47.74</v>
      </c>
      <c r="D140" s="23"/>
      <c r="E140" s="24"/>
      <c r="F140" s="193"/>
    </row>
    <row r="141" spans="1:6" x14ac:dyDescent="0.25">
      <c r="A141" s="23" t="str">
        <f>"3960373"</f>
        <v>3960373</v>
      </c>
      <c r="B141" s="23" t="s">
        <v>626</v>
      </c>
      <c r="C141" s="23">
        <v>8.3800000000000008</v>
      </c>
      <c r="D141" s="23">
        <v>360918</v>
      </c>
      <c r="E141" s="24">
        <v>44365.414259259262</v>
      </c>
      <c r="F141" s="193">
        <v>8764</v>
      </c>
    </row>
    <row r="142" spans="1:6" x14ac:dyDescent="0.25">
      <c r="A142" s="23" t="str">
        <f>"3900176"</f>
        <v>3900176</v>
      </c>
      <c r="B142" s="23" t="s">
        <v>1114</v>
      </c>
      <c r="C142" s="23">
        <v>3.12</v>
      </c>
      <c r="D142" s="23">
        <v>363283</v>
      </c>
      <c r="E142" s="24">
        <v>44365.574560185189</v>
      </c>
      <c r="F142" s="193">
        <v>8765</v>
      </c>
    </row>
    <row r="143" spans="1:6" x14ac:dyDescent="0.25">
      <c r="A143" s="23"/>
      <c r="B143" s="193">
        <v>13</v>
      </c>
      <c r="C143" s="189">
        <f>SUM(C141:C142)</f>
        <v>11.5</v>
      </c>
      <c r="D143" s="23"/>
      <c r="E143" s="24"/>
      <c r="F143" s="193"/>
    </row>
    <row r="144" spans="1:6" x14ac:dyDescent="0.25">
      <c r="A144" s="23" t="str">
        <f>"3960369"</f>
        <v>3960369</v>
      </c>
      <c r="B144" s="23" t="s">
        <v>6108</v>
      </c>
      <c r="C144" s="23">
        <v>16.760000000000002</v>
      </c>
      <c r="D144" s="23">
        <v>360909</v>
      </c>
      <c r="E144" s="24">
        <v>44368.448009259257</v>
      </c>
      <c r="F144" s="193">
        <v>8789</v>
      </c>
    </row>
    <row r="145" spans="1:6" x14ac:dyDescent="0.25">
      <c r="A145" s="23" t="str">
        <f>"3945114"</f>
        <v>3945114</v>
      </c>
      <c r="B145" s="23" t="s">
        <v>627</v>
      </c>
      <c r="C145" s="23">
        <v>8.3800000000000008</v>
      </c>
      <c r="D145" s="23">
        <v>360905</v>
      </c>
      <c r="E145" s="24">
        <v>44368.461712962962</v>
      </c>
      <c r="F145" s="193">
        <v>8790</v>
      </c>
    </row>
    <row r="146" spans="1:6" x14ac:dyDescent="0.25">
      <c r="A146" s="23" t="str">
        <f>"3960357"</f>
        <v>3960357</v>
      </c>
      <c r="B146" s="23" t="s">
        <v>1086</v>
      </c>
      <c r="C146" s="23">
        <v>8.3800000000000008</v>
      </c>
      <c r="D146" s="23">
        <v>360944</v>
      </c>
      <c r="E146" s="24">
        <v>44368.84065972222</v>
      </c>
      <c r="F146" s="193">
        <v>8791</v>
      </c>
    </row>
    <row r="147" spans="1:6" x14ac:dyDescent="0.25">
      <c r="A147" s="23" t="str">
        <f>"3960375"</f>
        <v>3960375</v>
      </c>
      <c r="B147" s="23" t="s">
        <v>624</v>
      </c>
      <c r="C147" s="23">
        <v>4.1900000000000004</v>
      </c>
      <c r="D147" s="23">
        <v>360922</v>
      </c>
      <c r="E147" s="24">
        <v>44368.841736111113</v>
      </c>
      <c r="F147" s="193">
        <v>8792</v>
      </c>
    </row>
    <row r="148" spans="1:6" x14ac:dyDescent="0.25">
      <c r="A148" s="23" t="str">
        <f>"3908410"</f>
        <v>3908410</v>
      </c>
      <c r="B148" s="23" t="s">
        <v>13211</v>
      </c>
      <c r="C148" s="23">
        <v>24.18</v>
      </c>
      <c r="D148" s="23">
        <v>362553</v>
      </c>
      <c r="E148" s="24">
        <v>44368.788553240738</v>
      </c>
      <c r="F148" s="193">
        <v>8793</v>
      </c>
    </row>
    <row r="149" spans="1:6" x14ac:dyDescent="0.25">
      <c r="A149" s="23" t="str">
        <f>"3908182"</f>
        <v>3908182</v>
      </c>
      <c r="B149" s="23" t="s">
        <v>3754</v>
      </c>
      <c r="C149" s="23">
        <v>5.04</v>
      </c>
      <c r="D149" s="23">
        <v>362385</v>
      </c>
      <c r="E149" s="24">
        <v>44368.32234953704</v>
      </c>
      <c r="F149" s="193">
        <v>8795</v>
      </c>
    </row>
    <row r="150" spans="1:6" x14ac:dyDescent="0.25">
      <c r="A150" s="23" t="str">
        <f>"3900431"</f>
        <v>3900431</v>
      </c>
      <c r="B150" s="23" t="s">
        <v>6092</v>
      </c>
      <c r="C150" s="23">
        <v>6.74</v>
      </c>
      <c r="D150" s="23">
        <v>361960</v>
      </c>
      <c r="E150" s="24">
        <v>44368.487361111111</v>
      </c>
      <c r="F150" s="193">
        <v>8796</v>
      </c>
    </row>
    <row r="151" spans="1:6" x14ac:dyDescent="0.25">
      <c r="A151" s="23" t="str">
        <f>"3900593"</f>
        <v>3900593</v>
      </c>
      <c r="B151" s="23" t="s">
        <v>3767</v>
      </c>
      <c r="C151" s="23">
        <v>6.51</v>
      </c>
      <c r="D151" s="23">
        <v>362006</v>
      </c>
      <c r="E151" s="24">
        <v>44368.667743055557</v>
      </c>
      <c r="F151" s="193">
        <v>8797</v>
      </c>
    </row>
    <row r="152" spans="1:6" x14ac:dyDescent="0.25">
      <c r="A152" s="23" t="str">
        <f>"3908130"</f>
        <v>3908130</v>
      </c>
      <c r="B152" s="23" t="s">
        <v>3571</v>
      </c>
      <c r="C152" s="23">
        <v>9.31</v>
      </c>
      <c r="D152" s="23">
        <v>362366</v>
      </c>
      <c r="E152" s="24">
        <v>44368.718078703707</v>
      </c>
      <c r="F152" s="193">
        <v>8794</v>
      </c>
    </row>
    <row r="153" spans="1:6" x14ac:dyDescent="0.25">
      <c r="A153" s="23"/>
      <c r="B153" s="193">
        <v>14</v>
      </c>
      <c r="C153" s="189">
        <f>SUM(C144:C152)</f>
        <v>89.490000000000009</v>
      </c>
      <c r="D153" s="23"/>
      <c r="E153" s="24"/>
      <c r="F153" s="193"/>
    </row>
    <row r="154" spans="1:6" x14ac:dyDescent="0.25">
      <c r="A154" s="23" t="str">
        <f>"3901461"</f>
        <v>3901461</v>
      </c>
      <c r="B154" s="23" t="s">
        <v>622</v>
      </c>
      <c r="C154" s="23">
        <v>15.3</v>
      </c>
      <c r="D154" s="23">
        <v>362948</v>
      </c>
      <c r="E154" s="24">
        <v>44369.483437499999</v>
      </c>
      <c r="F154" s="193">
        <v>8821</v>
      </c>
    </row>
    <row r="155" spans="1:6" x14ac:dyDescent="0.25">
      <c r="A155" s="23" t="str">
        <f>"3960344"</f>
        <v>3960344</v>
      </c>
      <c r="B155" s="23" t="s">
        <v>3747</v>
      </c>
      <c r="C155" s="23">
        <v>8.3800000000000008</v>
      </c>
      <c r="D155" s="23">
        <v>360899</v>
      </c>
      <c r="E155" s="24">
        <v>44369.718194444446</v>
      </c>
      <c r="F155" s="193">
        <v>8820</v>
      </c>
    </row>
    <row r="156" spans="1:6" x14ac:dyDescent="0.25">
      <c r="A156" s="23" t="str">
        <f>"3903951"</f>
        <v>3903951</v>
      </c>
      <c r="B156" s="23" t="s">
        <v>1565</v>
      </c>
      <c r="C156" s="23">
        <v>4.1900000000000004</v>
      </c>
      <c r="D156" s="23">
        <v>361004</v>
      </c>
      <c r="E156" s="24">
        <v>44369.784872685188</v>
      </c>
      <c r="F156" s="193">
        <v>8822</v>
      </c>
    </row>
    <row r="157" spans="1:6" x14ac:dyDescent="0.25">
      <c r="A157" s="23" t="str">
        <f>"3960252"</f>
        <v>3960252</v>
      </c>
      <c r="B157" s="23" t="s">
        <v>1106</v>
      </c>
      <c r="C157" s="23">
        <v>8.4600000000000009</v>
      </c>
      <c r="D157" s="23">
        <v>360889</v>
      </c>
      <c r="E157" s="24">
        <v>44369.788645833331</v>
      </c>
      <c r="F157" s="193">
        <v>8823</v>
      </c>
    </row>
    <row r="158" spans="1:6" x14ac:dyDescent="0.25">
      <c r="A158" s="23"/>
      <c r="B158" s="193">
        <v>15</v>
      </c>
      <c r="C158" s="189">
        <f>SUM(C154:C157)</f>
        <v>36.33</v>
      </c>
      <c r="D158" s="23"/>
      <c r="E158" s="24"/>
      <c r="F158" s="193"/>
    </row>
    <row r="159" spans="1:6" x14ac:dyDescent="0.25">
      <c r="A159" s="23" t="str">
        <f>"3920083"</f>
        <v>3920083</v>
      </c>
      <c r="B159" s="23" t="s">
        <v>630</v>
      </c>
      <c r="C159" s="23">
        <v>3.91</v>
      </c>
      <c r="D159" s="23">
        <v>363432</v>
      </c>
      <c r="E159" s="24">
        <v>44370.521863425929</v>
      </c>
      <c r="F159" s="193">
        <v>8857</v>
      </c>
    </row>
    <row r="160" spans="1:6" x14ac:dyDescent="0.25">
      <c r="A160" s="23" t="str">
        <f>"3908292"</f>
        <v>3908292</v>
      </c>
      <c r="B160" s="23" t="s">
        <v>1567</v>
      </c>
      <c r="C160" s="23">
        <v>1.84</v>
      </c>
      <c r="D160" s="23">
        <v>364991</v>
      </c>
      <c r="E160" s="24">
        <v>44370.534074074072</v>
      </c>
      <c r="F160" s="193">
        <v>8858</v>
      </c>
    </row>
    <row r="161" spans="1:6" x14ac:dyDescent="0.25">
      <c r="A161" s="23" t="str">
        <f>"3907531"</f>
        <v>3907531</v>
      </c>
      <c r="B161" s="23" t="s">
        <v>3755</v>
      </c>
      <c r="C161" s="23">
        <v>17.36</v>
      </c>
      <c r="D161" s="23">
        <v>363665</v>
      </c>
      <c r="E161" s="24">
        <v>44370.660682870373</v>
      </c>
      <c r="F161" s="193">
        <v>8859</v>
      </c>
    </row>
    <row r="162" spans="1:6" x14ac:dyDescent="0.25">
      <c r="A162" s="23"/>
      <c r="B162" s="193">
        <v>16</v>
      </c>
      <c r="C162" s="189">
        <f>SUM(C159:C161)</f>
        <v>23.11</v>
      </c>
      <c r="D162" s="23"/>
      <c r="E162" s="24"/>
      <c r="F162" s="193"/>
    </row>
    <row r="163" spans="1:6" x14ac:dyDescent="0.25">
      <c r="A163" s="23" t="str">
        <f>"3960345"</f>
        <v>3960345</v>
      </c>
      <c r="B163" s="23" t="s">
        <v>15936</v>
      </c>
      <c r="C163" s="23">
        <v>16.760000000000002</v>
      </c>
      <c r="D163" s="23">
        <v>363446</v>
      </c>
      <c r="E163" s="24">
        <v>44371.564942129633</v>
      </c>
      <c r="F163" s="193">
        <v>8892</v>
      </c>
    </row>
    <row r="164" spans="1:6" x14ac:dyDescent="0.25">
      <c r="A164" s="23" t="str">
        <f>"3909033"</f>
        <v>3909033</v>
      </c>
      <c r="B164" s="23" t="s">
        <v>6091</v>
      </c>
      <c r="C164" s="23">
        <v>1.68</v>
      </c>
      <c r="D164" s="23">
        <v>364259</v>
      </c>
      <c r="E164" s="24">
        <v>44371.594953703701</v>
      </c>
      <c r="F164" s="193">
        <v>8893</v>
      </c>
    </row>
    <row r="165" spans="1:6" x14ac:dyDescent="0.25">
      <c r="A165" s="23" t="str">
        <f>"3902947"</f>
        <v>3902947</v>
      </c>
      <c r="B165" s="23" t="s">
        <v>15935</v>
      </c>
      <c r="C165" s="23">
        <v>1.68</v>
      </c>
      <c r="D165" s="23">
        <v>364390</v>
      </c>
      <c r="E165" s="24">
        <v>44371.605555555558</v>
      </c>
      <c r="F165" s="193">
        <v>8894</v>
      </c>
    </row>
    <row r="166" spans="1:6" x14ac:dyDescent="0.25">
      <c r="A166" s="23" t="str">
        <f>"3901332"</f>
        <v>3901332</v>
      </c>
      <c r="B166" s="23" t="s">
        <v>6123</v>
      </c>
      <c r="C166" s="23">
        <v>7.55</v>
      </c>
      <c r="D166" s="23">
        <v>364309</v>
      </c>
      <c r="E166" s="24">
        <v>44371.634317129632</v>
      </c>
      <c r="F166" s="193">
        <v>8895</v>
      </c>
    </row>
    <row r="167" spans="1:6" x14ac:dyDescent="0.25">
      <c r="A167" s="23" t="str">
        <f>"3945401"</f>
        <v>3945401</v>
      </c>
      <c r="B167" s="23" t="s">
        <v>633</v>
      </c>
      <c r="C167" s="23">
        <v>8.3800000000000008</v>
      </c>
      <c r="D167" s="23">
        <v>363481</v>
      </c>
      <c r="E167" s="24">
        <v>44371.767916666664</v>
      </c>
      <c r="F167" s="193">
        <v>8896</v>
      </c>
    </row>
    <row r="168" spans="1:6" x14ac:dyDescent="0.25">
      <c r="A168" s="23"/>
      <c r="B168" s="193">
        <v>17</v>
      </c>
      <c r="C168" s="189">
        <f>SUM(C163:C167)</f>
        <v>36.050000000000004</v>
      </c>
      <c r="D168" s="23"/>
      <c r="E168" s="24"/>
      <c r="F168" s="193"/>
    </row>
    <row r="169" spans="1:6" x14ac:dyDescent="0.25">
      <c r="A169" s="23" t="str">
        <f>"3945455"</f>
        <v>3945455</v>
      </c>
      <c r="B169" s="23" t="s">
        <v>1127</v>
      </c>
      <c r="C169" s="23">
        <v>8.3800000000000008</v>
      </c>
      <c r="D169" s="23">
        <v>363488</v>
      </c>
      <c r="E169" s="24">
        <v>44372.275150462963</v>
      </c>
      <c r="F169" s="193">
        <v>8929</v>
      </c>
    </row>
    <row r="170" spans="1:6" x14ac:dyDescent="0.25">
      <c r="A170" s="23" t="str">
        <f>"3908293"</f>
        <v>3908293</v>
      </c>
      <c r="B170" s="23" t="s">
        <v>1564</v>
      </c>
      <c r="C170" s="23">
        <v>1.68</v>
      </c>
      <c r="D170" s="23">
        <v>364992</v>
      </c>
      <c r="E170" s="24">
        <v>44372.363055555557</v>
      </c>
      <c r="F170" s="193">
        <v>8930</v>
      </c>
    </row>
    <row r="171" spans="1:6" x14ac:dyDescent="0.25">
      <c r="A171" s="23" t="str">
        <f>"3900563"</f>
        <v>3900563</v>
      </c>
      <c r="B171" s="23" t="s">
        <v>3567</v>
      </c>
      <c r="C171" s="23">
        <v>1.78</v>
      </c>
      <c r="D171" s="23">
        <v>364534</v>
      </c>
      <c r="E171" s="24">
        <v>44372.380891203706</v>
      </c>
      <c r="F171" s="193">
        <v>8931</v>
      </c>
    </row>
    <row r="172" spans="1:6" x14ac:dyDescent="0.25">
      <c r="A172" s="23" t="str">
        <f>"3903064"</f>
        <v>3903064</v>
      </c>
      <c r="B172" s="23" t="s">
        <v>1096</v>
      </c>
      <c r="C172" s="23">
        <v>6.94</v>
      </c>
      <c r="D172" s="23">
        <v>363638</v>
      </c>
      <c r="E172" s="24">
        <v>44372.390636574077</v>
      </c>
      <c r="F172" s="193">
        <v>8932</v>
      </c>
    </row>
    <row r="173" spans="1:6" x14ac:dyDescent="0.25">
      <c r="A173" s="23" t="str">
        <f>"3922130"</f>
        <v>3922130</v>
      </c>
      <c r="B173" s="23" t="s">
        <v>15934</v>
      </c>
      <c r="C173" s="23">
        <v>26.15</v>
      </c>
      <c r="D173" s="23">
        <v>363447</v>
      </c>
      <c r="E173" s="24">
        <v>44372.51798611111</v>
      </c>
      <c r="F173" s="193">
        <v>8933</v>
      </c>
    </row>
    <row r="174" spans="1:6" x14ac:dyDescent="0.25">
      <c r="A174" s="23" t="str">
        <f>"3903101"</f>
        <v>3903101</v>
      </c>
      <c r="B174" s="23" t="s">
        <v>6122</v>
      </c>
      <c r="C174" s="23">
        <v>3.47</v>
      </c>
      <c r="D174" s="23">
        <v>363646</v>
      </c>
      <c r="E174" s="24">
        <v>44372.570983796293</v>
      </c>
      <c r="F174" s="193">
        <v>8934</v>
      </c>
    </row>
    <row r="175" spans="1:6" x14ac:dyDescent="0.25">
      <c r="A175" s="23" t="str">
        <f>"3902164"</f>
        <v>3902164</v>
      </c>
      <c r="B175" s="23" t="s">
        <v>1091</v>
      </c>
      <c r="C175" s="23">
        <v>7.58</v>
      </c>
      <c r="D175" s="23">
        <v>364353</v>
      </c>
      <c r="E175" s="24">
        <v>44372.615787037037</v>
      </c>
      <c r="F175" s="193">
        <v>8935</v>
      </c>
    </row>
    <row r="176" spans="1:6" x14ac:dyDescent="0.25">
      <c r="A176" s="23"/>
      <c r="B176" s="193">
        <v>18</v>
      </c>
      <c r="C176" s="189">
        <f>SUM(C169:C175)</f>
        <v>55.98</v>
      </c>
      <c r="D176" s="23"/>
      <c r="E176" s="24"/>
      <c r="F176" s="193"/>
    </row>
    <row r="177" spans="1:6" x14ac:dyDescent="0.25">
      <c r="A177" s="23" t="str">
        <f>"3900938"</f>
        <v>3900938</v>
      </c>
      <c r="B177" s="23" t="s">
        <v>15933</v>
      </c>
      <c r="C177" s="23">
        <v>5.04</v>
      </c>
      <c r="D177" s="23">
        <v>364573</v>
      </c>
      <c r="E177" s="24">
        <v>44375.4219212963</v>
      </c>
      <c r="F177" s="193">
        <v>9069</v>
      </c>
    </row>
    <row r="178" spans="1:6" x14ac:dyDescent="0.25">
      <c r="A178" s="23" t="str">
        <f>"3902707"</f>
        <v>3902707</v>
      </c>
      <c r="B178" s="23" t="s">
        <v>15932</v>
      </c>
      <c r="C178" s="23">
        <v>6.25</v>
      </c>
      <c r="D178" s="23">
        <v>364667</v>
      </c>
      <c r="E178" s="24">
        <v>44375.483634259261</v>
      </c>
      <c r="F178" s="193">
        <v>9070</v>
      </c>
    </row>
    <row r="179" spans="1:6" x14ac:dyDescent="0.25">
      <c r="A179" s="23" t="str">
        <f>"3960293"</f>
        <v>3960293</v>
      </c>
      <c r="B179" s="23" t="s">
        <v>3774</v>
      </c>
      <c r="C179" s="23">
        <v>7.82</v>
      </c>
      <c r="D179" s="23">
        <v>363420</v>
      </c>
      <c r="E179" s="24">
        <v>44375.641631944447</v>
      </c>
      <c r="F179" s="193">
        <v>9071</v>
      </c>
    </row>
    <row r="180" spans="1:6" x14ac:dyDescent="0.25">
      <c r="A180" s="23" t="str">
        <f>"3908411"</f>
        <v>3908411</v>
      </c>
      <c r="B180" s="23" t="s">
        <v>15931</v>
      </c>
      <c r="C180" s="23">
        <v>5.04</v>
      </c>
      <c r="D180" s="23">
        <v>365096</v>
      </c>
      <c r="E180" s="24">
        <v>44375.426805555559</v>
      </c>
      <c r="F180" s="193">
        <v>9072</v>
      </c>
    </row>
    <row r="181" spans="1:6" x14ac:dyDescent="0.25">
      <c r="A181" s="23" t="str">
        <f>"3903524"</f>
        <v>3903524</v>
      </c>
      <c r="B181" s="23" t="s">
        <v>11657</v>
      </c>
      <c r="C181" s="23">
        <v>6.52</v>
      </c>
      <c r="D181" s="23">
        <v>364056</v>
      </c>
      <c r="E181" s="24">
        <v>44375.473946759259</v>
      </c>
      <c r="F181" s="193">
        <v>9073</v>
      </c>
    </row>
    <row r="182" spans="1:6" x14ac:dyDescent="0.25">
      <c r="A182" s="23" t="str">
        <f>"3908996"</f>
        <v>3908996</v>
      </c>
      <c r="B182" s="23" t="s">
        <v>1594</v>
      </c>
      <c r="C182" s="23">
        <v>2.76</v>
      </c>
      <c r="D182" s="23">
        <v>363994</v>
      </c>
      <c r="E182" s="24">
        <v>44375.482743055552</v>
      </c>
      <c r="F182" s="193">
        <v>9074</v>
      </c>
    </row>
    <row r="183" spans="1:6" x14ac:dyDescent="0.25">
      <c r="A183" s="23" t="str">
        <f>"3903105"</f>
        <v>3903105</v>
      </c>
      <c r="B183" s="23" t="s">
        <v>611</v>
      </c>
      <c r="C183" s="23">
        <v>3.88</v>
      </c>
      <c r="D183" s="23">
        <v>363177</v>
      </c>
      <c r="E183" s="24">
        <v>44375.484537037039</v>
      </c>
      <c r="F183" s="193">
        <v>9075</v>
      </c>
    </row>
    <row r="184" spans="1:6" x14ac:dyDescent="0.25">
      <c r="A184" s="23" t="str">
        <f>"3909479"</f>
        <v>3909479</v>
      </c>
      <c r="B184" s="23" t="s">
        <v>11659</v>
      </c>
      <c r="C184" s="23">
        <v>1.87</v>
      </c>
      <c r="D184" s="23">
        <v>365384</v>
      </c>
      <c r="E184" s="24">
        <v>44375.538738425923</v>
      </c>
      <c r="F184" s="193">
        <v>9076</v>
      </c>
    </row>
    <row r="185" spans="1:6" x14ac:dyDescent="0.25">
      <c r="A185" s="23" t="str">
        <f>"3908344"</f>
        <v>3908344</v>
      </c>
      <c r="B185" s="23" t="s">
        <v>1130</v>
      </c>
      <c r="C185" s="23">
        <v>1.69</v>
      </c>
      <c r="D185" s="23">
        <v>365044</v>
      </c>
      <c r="E185" s="24">
        <v>44375.657002314816</v>
      </c>
      <c r="F185" s="193" t="s">
        <v>15930</v>
      </c>
    </row>
    <row r="186" spans="1:6" x14ac:dyDescent="0.25">
      <c r="A186" s="23" t="str">
        <f>"3908064"</f>
        <v>3908064</v>
      </c>
      <c r="B186" s="23" t="s">
        <v>6109</v>
      </c>
      <c r="C186" s="23">
        <v>1.78</v>
      </c>
      <c r="D186" s="23">
        <v>364338</v>
      </c>
      <c r="E186" s="24">
        <v>44375.657500000001</v>
      </c>
      <c r="F186" s="193">
        <v>9077</v>
      </c>
    </row>
    <row r="187" spans="1:6" x14ac:dyDescent="0.25">
      <c r="A187" s="23"/>
      <c r="B187" s="193">
        <v>19</v>
      </c>
      <c r="C187" s="189">
        <f>SUM(C177:C186)</f>
        <v>42.65</v>
      </c>
      <c r="D187" s="23"/>
      <c r="E187" s="24"/>
      <c r="F187" s="193"/>
    </row>
    <row r="188" spans="1:6" x14ac:dyDescent="0.25">
      <c r="A188" s="23" t="str">
        <f>"3930280"</f>
        <v>3930280</v>
      </c>
      <c r="B188" s="23" t="s">
        <v>637</v>
      </c>
      <c r="C188" s="23">
        <v>1.68</v>
      </c>
      <c r="D188" s="23">
        <v>364158</v>
      </c>
      <c r="E188" s="24">
        <v>44376.3515625</v>
      </c>
      <c r="F188" s="193">
        <v>9139</v>
      </c>
    </row>
    <row r="189" spans="1:6" x14ac:dyDescent="0.25">
      <c r="A189" s="23" t="str">
        <f>"3900343"</f>
        <v>3900343</v>
      </c>
      <c r="B189" s="23" t="s">
        <v>3778</v>
      </c>
      <c r="C189" s="23">
        <v>5.78</v>
      </c>
      <c r="D189" s="23">
        <v>363199</v>
      </c>
      <c r="E189" s="24">
        <v>44376.407025462962</v>
      </c>
      <c r="F189" s="193">
        <v>9140</v>
      </c>
    </row>
    <row r="190" spans="1:6" x14ac:dyDescent="0.25">
      <c r="A190" s="23" t="str">
        <f>"3908364"</f>
        <v>3908364</v>
      </c>
      <c r="B190" s="23" t="s">
        <v>6084</v>
      </c>
      <c r="C190" s="23">
        <v>3.36</v>
      </c>
      <c r="D190" s="23">
        <v>365064</v>
      </c>
      <c r="E190" s="24">
        <v>44376.417847222219</v>
      </c>
      <c r="F190" s="193">
        <v>9141</v>
      </c>
    </row>
    <row r="191" spans="1:6" x14ac:dyDescent="0.25">
      <c r="A191" s="23" t="str">
        <f>"3908209"</f>
        <v>3908209</v>
      </c>
      <c r="B191" s="23" t="s">
        <v>1129</v>
      </c>
      <c r="C191" s="23">
        <v>1.7</v>
      </c>
      <c r="D191" s="23">
        <v>364945</v>
      </c>
      <c r="E191" s="24">
        <v>44376.423564814817</v>
      </c>
      <c r="F191" s="193">
        <v>9142</v>
      </c>
    </row>
    <row r="192" spans="1:6" x14ac:dyDescent="0.25">
      <c r="A192" s="23" t="str">
        <f>"3903516"</f>
        <v>3903516</v>
      </c>
      <c r="B192" s="23" t="s">
        <v>3794</v>
      </c>
      <c r="C192" s="23">
        <v>1.7</v>
      </c>
      <c r="D192" s="23">
        <v>364255</v>
      </c>
      <c r="E192" s="24">
        <v>44376.45003472222</v>
      </c>
      <c r="F192" s="193">
        <v>9143</v>
      </c>
    </row>
    <row r="193" spans="1:6" x14ac:dyDescent="0.25">
      <c r="A193" s="23" t="str">
        <f>"3906750"</f>
        <v>3906750</v>
      </c>
      <c r="B193" s="23" t="s">
        <v>616</v>
      </c>
      <c r="C193" s="23">
        <v>3.17</v>
      </c>
      <c r="D193" s="23">
        <v>364094</v>
      </c>
      <c r="E193" s="24">
        <v>44376.46912037037</v>
      </c>
      <c r="F193" s="193">
        <v>9144</v>
      </c>
    </row>
    <row r="194" spans="1:6" x14ac:dyDescent="0.25">
      <c r="A194" s="23" t="str">
        <f>"3900576"</f>
        <v>3900576</v>
      </c>
      <c r="B194" s="23" t="s">
        <v>3791</v>
      </c>
      <c r="C194" s="23">
        <v>1.68</v>
      </c>
      <c r="D194" s="23">
        <v>364540</v>
      </c>
      <c r="E194" s="24">
        <v>44376.48165509259</v>
      </c>
      <c r="F194" s="193">
        <v>9145</v>
      </c>
    </row>
    <row r="195" spans="1:6" x14ac:dyDescent="0.25">
      <c r="A195" s="23" t="str">
        <f>"3906033"</f>
        <v>3906033</v>
      </c>
      <c r="B195" s="23" t="s">
        <v>1099</v>
      </c>
      <c r="C195" s="23">
        <v>1.68</v>
      </c>
      <c r="D195" s="23">
        <v>364772</v>
      </c>
      <c r="E195" s="24">
        <v>44376.681469907409</v>
      </c>
      <c r="F195" s="193">
        <v>9146</v>
      </c>
    </row>
    <row r="196" spans="1:6" x14ac:dyDescent="0.25">
      <c r="A196" s="23"/>
      <c r="B196" s="193">
        <v>20</v>
      </c>
      <c r="C196" s="189">
        <f>SUM(C188:C195)</f>
        <v>20.75</v>
      </c>
      <c r="D196" s="23"/>
      <c r="E196" s="24"/>
      <c r="F196" s="193"/>
    </row>
    <row r="197" spans="1:6" x14ac:dyDescent="0.25">
      <c r="A197" s="23" t="s">
        <v>15929</v>
      </c>
      <c r="B197" s="23" t="s">
        <v>1084</v>
      </c>
      <c r="C197" s="23">
        <v>1.68</v>
      </c>
      <c r="D197" s="23">
        <v>363918</v>
      </c>
      <c r="E197" s="24">
        <v>44377.371446759258</v>
      </c>
      <c r="F197" s="193">
        <v>9210</v>
      </c>
    </row>
    <row r="198" spans="1:6" x14ac:dyDescent="0.25">
      <c r="A198" s="23" t="s">
        <v>15928</v>
      </c>
      <c r="B198" s="23" t="s">
        <v>3796</v>
      </c>
      <c r="C198" s="23">
        <v>5.29</v>
      </c>
      <c r="D198" s="23">
        <v>364942</v>
      </c>
      <c r="E198" s="24">
        <v>44377.612500000003</v>
      </c>
      <c r="F198" s="193">
        <v>9211</v>
      </c>
    </row>
    <row r="199" spans="1:6" x14ac:dyDescent="0.25">
      <c r="A199" s="23" t="s">
        <v>15927</v>
      </c>
      <c r="B199" s="23" t="s">
        <v>638</v>
      </c>
      <c r="C199" s="23">
        <v>12.3</v>
      </c>
      <c r="D199" s="23">
        <v>363408</v>
      </c>
      <c r="E199" s="24">
        <v>44377.689976851849</v>
      </c>
      <c r="F199" s="193">
        <v>9212</v>
      </c>
    </row>
    <row r="200" spans="1:6" x14ac:dyDescent="0.25">
      <c r="A200" s="23" t="s">
        <v>11590</v>
      </c>
      <c r="B200" s="23" t="s">
        <v>3799</v>
      </c>
      <c r="C200" s="23">
        <v>4.51</v>
      </c>
      <c r="D200" s="23">
        <v>364250</v>
      </c>
      <c r="E200" s="24">
        <v>44377.726446759261</v>
      </c>
      <c r="F200" s="193">
        <v>9213</v>
      </c>
    </row>
    <row r="201" spans="1:6" x14ac:dyDescent="0.25">
      <c r="A201" s="23" t="s">
        <v>15926</v>
      </c>
      <c r="B201" s="23" t="s">
        <v>3802</v>
      </c>
      <c r="C201" s="23">
        <v>6.76</v>
      </c>
      <c r="D201" s="23">
        <v>363802</v>
      </c>
      <c r="E201" s="24">
        <v>44377.756608796299</v>
      </c>
      <c r="F201" s="193">
        <v>9214</v>
      </c>
    </row>
    <row r="202" spans="1:6" x14ac:dyDescent="0.25">
      <c r="A202" s="23" t="s">
        <v>15925</v>
      </c>
      <c r="B202" s="23" t="s">
        <v>3773</v>
      </c>
      <c r="C202" s="23">
        <v>6.42</v>
      </c>
      <c r="D202" s="23">
        <v>365177</v>
      </c>
      <c r="E202" s="24">
        <v>44377.787766203706</v>
      </c>
      <c r="F202" s="193">
        <v>9215</v>
      </c>
    </row>
    <row r="203" spans="1:6" x14ac:dyDescent="0.25">
      <c r="A203" s="23" t="s">
        <v>6119</v>
      </c>
      <c r="B203" s="23" t="s">
        <v>606</v>
      </c>
      <c r="C203" s="23">
        <v>3.47</v>
      </c>
      <c r="D203" s="23">
        <v>364477</v>
      </c>
      <c r="E203" s="24">
        <v>44377.788229166668</v>
      </c>
      <c r="F203" s="193">
        <v>9216</v>
      </c>
    </row>
    <row r="204" spans="1:6" x14ac:dyDescent="0.25">
      <c r="A204" s="23" t="s">
        <v>6120</v>
      </c>
      <c r="B204" s="23" t="s">
        <v>606</v>
      </c>
      <c r="C204" s="23">
        <v>5.17</v>
      </c>
      <c r="D204" s="23">
        <v>364476</v>
      </c>
      <c r="E204" s="24">
        <v>44377.788900462961</v>
      </c>
      <c r="F204" s="193">
        <v>9217</v>
      </c>
    </row>
    <row r="205" spans="1:6" x14ac:dyDescent="0.25">
      <c r="A205" s="23" t="s">
        <v>11195</v>
      </c>
      <c r="B205" s="23" t="s">
        <v>1135</v>
      </c>
      <c r="C205" s="23">
        <v>1.97</v>
      </c>
      <c r="D205" s="23">
        <v>364893</v>
      </c>
      <c r="E205" s="24">
        <v>44377.87327546296</v>
      </c>
      <c r="F205" s="193">
        <v>9218</v>
      </c>
    </row>
    <row r="206" spans="1:6" x14ac:dyDescent="0.25">
      <c r="A206" s="23"/>
      <c r="B206" s="193">
        <v>21</v>
      </c>
      <c r="C206" s="189">
        <f>SUM(C197:C205)</f>
        <v>47.57</v>
      </c>
      <c r="D206" s="189"/>
      <c r="E206" s="24"/>
      <c r="F206" s="193"/>
    </row>
    <row r="207" spans="1:6" x14ac:dyDescent="0.25">
      <c r="A207" s="23"/>
      <c r="B207" s="23"/>
      <c r="C207" s="23"/>
      <c r="D207" s="23"/>
      <c r="E207" s="24"/>
      <c r="F207" s="193"/>
    </row>
    <row r="208" spans="1:6" x14ac:dyDescent="0.25">
      <c r="A208" s="23"/>
      <c r="B208" s="23"/>
      <c r="C208" s="23"/>
      <c r="D208" s="23"/>
      <c r="E208" s="24"/>
      <c r="F208" s="193"/>
    </row>
    <row r="209" spans="1:6" x14ac:dyDescent="0.25">
      <c r="A209" s="23"/>
      <c r="B209" s="23"/>
      <c r="C209" s="23"/>
      <c r="D209" s="23"/>
      <c r="E209" s="24"/>
      <c r="F209" s="193"/>
    </row>
    <row r="210" spans="1:6" x14ac:dyDescent="0.25">
      <c r="A210" s="23"/>
      <c r="B210" s="23"/>
      <c r="C210" s="23"/>
      <c r="D210" s="23"/>
      <c r="E210" s="24"/>
      <c r="F210" s="193"/>
    </row>
    <row r="211" spans="1:6" x14ac:dyDescent="0.25">
      <c r="A211" s="23"/>
      <c r="B211" s="23"/>
      <c r="C211" s="23"/>
      <c r="D211" s="23"/>
      <c r="E211" s="24"/>
      <c r="F211" s="193"/>
    </row>
    <row r="212" spans="1:6" x14ac:dyDescent="0.25">
      <c r="A212" s="23"/>
      <c r="B212" s="23"/>
      <c r="C212" s="23"/>
      <c r="D212" s="23"/>
      <c r="E212" s="24"/>
      <c r="F212" s="193"/>
    </row>
    <row r="213" spans="1:6" x14ac:dyDescent="0.25">
      <c r="A213" s="23"/>
      <c r="B213" s="23"/>
      <c r="C213" s="23"/>
      <c r="D213" s="23"/>
      <c r="E213" s="24"/>
      <c r="F213" s="193"/>
    </row>
    <row r="214" spans="1:6" x14ac:dyDescent="0.25">
      <c r="A214" s="23"/>
      <c r="B214" s="23"/>
      <c r="C214" s="23"/>
      <c r="D214" s="23"/>
      <c r="E214" s="24"/>
      <c r="F214" s="193"/>
    </row>
    <row r="215" spans="1:6" x14ac:dyDescent="0.25">
      <c r="A215" s="23"/>
      <c r="B215" s="23"/>
      <c r="C215" s="23"/>
      <c r="D215" s="23"/>
      <c r="E215" s="24"/>
      <c r="F215" s="193"/>
    </row>
    <row r="216" spans="1:6" x14ac:dyDescent="0.25">
      <c r="A216" s="23"/>
      <c r="B216" s="23"/>
      <c r="C216" s="23"/>
      <c r="D216" s="23"/>
      <c r="E216" s="24"/>
      <c r="F216" s="193"/>
    </row>
    <row r="217" spans="1:6" x14ac:dyDescent="0.25">
      <c r="A217" s="23"/>
      <c r="B217" s="23"/>
      <c r="C217" s="23"/>
      <c r="D217" s="23"/>
      <c r="E217" s="24"/>
      <c r="F217" s="193"/>
    </row>
    <row r="218" spans="1:6" x14ac:dyDescent="0.25">
      <c r="A218" s="23"/>
      <c r="B218" s="23"/>
      <c r="C218" s="23"/>
      <c r="D218" s="23"/>
      <c r="E218" s="24"/>
      <c r="F218" s="193"/>
    </row>
    <row r="219" spans="1:6" x14ac:dyDescent="0.25">
      <c r="A219" s="23"/>
      <c r="B219" s="23"/>
      <c r="C219" s="23"/>
      <c r="D219" s="23"/>
      <c r="E219" s="24"/>
      <c r="F219" s="193"/>
    </row>
    <row r="220" spans="1:6" x14ac:dyDescent="0.25">
      <c r="A220" s="23"/>
      <c r="B220" s="23"/>
      <c r="C220" s="23"/>
      <c r="D220" s="23"/>
      <c r="E220" s="24"/>
      <c r="F220" s="193"/>
    </row>
    <row r="221" spans="1:6" x14ac:dyDescent="0.25">
      <c r="A221" s="23"/>
      <c r="B221" s="23"/>
      <c r="C221" s="23"/>
      <c r="D221" s="23"/>
      <c r="E221" s="24"/>
      <c r="F221" s="193"/>
    </row>
    <row r="222" spans="1:6" x14ac:dyDescent="0.25">
      <c r="A222" s="23"/>
      <c r="B222" s="23"/>
      <c r="C222" s="23"/>
      <c r="D222" s="23"/>
      <c r="E222" s="24"/>
      <c r="F222" s="193"/>
    </row>
    <row r="223" spans="1:6" x14ac:dyDescent="0.25">
      <c r="A223" s="23"/>
      <c r="B223" s="23"/>
      <c r="C223" s="23"/>
      <c r="D223" s="23"/>
      <c r="E223" s="24"/>
      <c r="F223" s="193"/>
    </row>
    <row r="224" spans="1:6" x14ac:dyDescent="0.25">
      <c r="A224" s="23"/>
      <c r="B224" s="23"/>
      <c r="C224" s="23"/>
      <c r="D224" s="23"/>
      <c r="E224" s="24"/>
      <c r="F224" s="193"/>
    </row>
    <row r="225" spans="1:6" x14ac:dyDescent="0.25">
      <c r="A225" s="23"/>
      <c r="B225" s="23"/>
      <c r="C225" s="23"/>
      <c r="D225" s="23"/>
      <c r="E225" s="24"/>
      <c r="F225" s="193"/>
    </row>
    <row r="226" spans="1:6" x14ac:dyDescent="0.25">
      <c r="A226" s="23"/>
      <c r="B226" s="23"/>
      <c r="C226" s="23"/>
      <c r="D226" s="23"/>
      <c r="E226" s="24"/>
      <c r="F226" s="193"/>
    </row>
    <row r="227" spans="1:6" x14ac:dyDescent="0.25">
      <c r="A227" s="23"/>
      <c r="B227" s="23"/>
      <c r="C227" s="23"/>
      <c r="D227" s="23"/>
      <c r="E227" s="24"/>
      <c r="F227" s="193"/>
    </row>
    <row r="228" spans="1:6" x14ac:dyDescent="0.25">
      <c r="A228" s="23"/>
      <c r="B228" s="23"/>
      <c r="C228" s="23"/>
      <c r="D228" s="23"/>
      <c r="E228" s="24"/>
      <c r="F228" s="193"/>
    </row>
    <row r="229" spans="1:6" x14ac:dyDescent="0.25">
      <c r="A229" s="23"/>
      <c r="B229" s="23"/>
      <c r="C229" s="23"/>
      <c r="D229" s="23"/>
      <c r="E229" s="24"/>
      <c r="F229" s="193"/>
    </row>
    <row r="230" spans="1:6" x14ac:dyDescent="0.25">
      <c r="A230" s="23"/>
      <c r="B230" s="23"/>
      <c r="C230" s="23"/>
      <c r="D230" s="23"/>
      <c r="E230" s="24"/>
      <c r="F230" s="193"/>
    </row>
    <row r="231" spans="1:6" x14ac:dyDescent="0.25">
      <c r="A231" s="23"/>
      <c r="B231" s="23"/>
      <c r="C231" s="23"/>
      <c r="D231" s="23"/>
      <c r="E231" s="24"/>
      <c r="F231" s="193"/>
    </row>
    <row r="232" spans="1:6" x14ac:dyDescent="0.25">
      <c r="A232" s="23"/>
      <c r="B232" s="23"/>
      <c r="C232" s="23"/>
      <c r="D232" s="23"/>
      <c r="E232" s="24"/>
      <c r="F232" s="193"/>
    </row>
    <row r="233" spans="1:6" x14ac:dyDescent="0.25">
      <c r="A233" s="23"/>
      <c r="B233" s="23"/>
      <c r="C233" s="23"/>
      <c r="D233" s="23"/>
      <c r="E233" s="24"/>
      <c r="F233" s="193"/>
    </row>
    <row r="234" spans="1:6" x14ac:dyDescent="0.25">
      <c r="A234" s="23"/>
      <c r="B234" s="23"/>
      <c r="C234" s="23"/>
      <c r="D234" s="23"/>
      <c r="E234" s="24"/>
      <c r="F234" s="193"/>
    </row>
    <row r="235" spans="1:6" x14ac:dyDescent="0.25">
      <c r="A235" s="23"/>
      <c r="B235" s="23"/>
      <c r="C235" s="23"/>
      <c r="D235" s="23"/>
      <c r="E235" s="24"/>
      <c r="F235" s="193"/>
    </row>
    <row r="236" spans="1:6" x14ac:dyDescent="0.25">
      <c r="A236" s="23"/>
      <c r="B236" s="23"/>
      <c r="C236" s="23"/>
      <c r="D236" s="23"/>
      <c r="E236" s="24"/>
      <c r="F236" s="193"/>
    </row>
    <row r="237" spans="1:6" x14ac:dyDescent="0.25">
      <c r="A237" s="23"/>
      <c r="B237" s="23"/>
      <c r="C237" s="23"/>
      <c r="D237" s="23"/>
      <c r="E237" s="24"/>
      <c r="F237" s="193"/>
    </row>
    <row r="238" spans="1:6" x14ac:dyDescent="0.25">
      <c r="A238" s="23"/>
      <c r="B238" s="23"/>
      <c r="C238" s="23"/>
      <c r="D238" s="23"/>
      <c r="E238" s="24"/>
      <c r="F238" s="193"/>
    </row>
    <row r="239" spans="1:6" x14ac:dyDescent="0.25">
      <c r="A239" s="23"/>
      <c r="B239" s="23"/>
      <c r="C239" s="23"/>
      <c r="D239" s="23"/>
      <c r="E239" s="24"/>
      <c r="F239" s="193"/>
    </row>
    <row r="240" spans="1:6" x14ac:dyDescent="0.25">
      <c r="A240" s="23"/>
      <c r="B240" s="23"/>
      <c r="C240" s="23"/>
      <c r="D240" s="23"/>
      <c r="E240" s="24"/>
      <c r="F240" s="193"/>
    </row>
    <row r="241" spans="1:6" x14ac:dyDescent="0.25">
      <c r="A241" s="23"/>
      <c r="B241" s="23"/>
      <c r="C241" s="23"/>
      <c r="D241" s="23"/>
      <c r="E241" s="24"/>
      <c r="F241" s="193"/>
    </row>
    <row r="242" spans="1:6" x14ac:dyDescent="0.25">
      <c r="A242" s="23"/>
      <c r="B242" s="23"/>
      <c r="C242" s="23"/>
      <c r="D242" s="23"/>
      <c r="E242" s="24"/>
      <c r="F242" s="193"/>
    </row>
    <row r="243" spans="1:6" x14ac:dyDescent="0.25">
      <c r="A243" s="23"/>
      <c r="B243" s="23"/>
      <c r="C243" s="23"/>
      <c r="D243" s="23"/>
      <c r="E243" s="24"/>
      <c r="F243" s="193"/>
    </row>
    <row r="244" spans="1:6" x14ac:dyDescent="0.25">
      <c r="A244" s="23"/>
      <c r="B244" s="23"/>
      <c r="C244" s="23"/>
      <c r="D244" s="23"/>
      <c r="E244" s="24"/>
      <c r="F244" s="193"/>
    </row>
    <row r="245" spans="1:6" x14ac:dyDescent="0.25">
      <c r="A245" s="23"/>
      <c r="B245" s="23"/>
      <c r="C245" s="23"/>
      <c r="D245" s="23"/>
      <c r="E245" s="24"/>
      <c r="F245" s="193"/>
    </row>
    <row r="246" spans="1:6" x14ac:dyDescent="0.25">
      <c r="A246" s="23"/>
      <c r="B246" s="23"/>
      <c r="C246" s="23"/>
      <c r="D246" s="23"/>
      <c r="E246" s="24"/>
      <c r="F246" s="193"/>
    </row>
    <row r="247" spans="1:6" x14ac:dyDescent="0.25">
      <c r="A247" s="23"/>
      <c r="B247" s="23"/>
      <c r="C247" s="23"/>
      <c r="D247" s="23"/>
      <c r="E247" s="24"/>
      <c r="F247" s="193"/>
    </row>
    <row r="248" spans="1:6" x14ac:dyDescent="0.25">
      <c r="A248" s="23"/>
      <c r="B248" s="23"/>
      <c r="C248" s="23"/>
      <c r="D248" s="23"/>
      <c r="E248" s="24"/>
      <c r="F248" s="193"/>
    </row>
    <row r="249" spans="1:6" x14ac:dyDescent="0.25">
      <c r="A249" s="23"/>
      <c r="B249" s="23"/>
      <c r="C249" s="23"/>
      <c r="D249" s="23"/>
      <c r="E249" s="24"/>
      <c r="F249" s="193"/>
    </row>
    <row r="250" spans="1:6" x14ac:dyDescent="0.25">
      <c r="A250" s="23"/>
      <c r="B250" s="23"/>
      <c r="C250" s="23"/>
      <c r="D250" s="23"/>
      <c r="E250" s="24"/>
      <c r="F250" s="193"/>
    </row>
    <row r="251" spans="1:6" x14ac:dyDescent="0.25">
      <c r="A251" s="23"/>
      <c r="B251" s="23"/>
      <c r="C251" s="23"/>
      <c r="D251" s="23"/>
      <c r="E251" s="24"/>
      <c r="F251" s="193"/>
    </row>
    <row r="252" spans="1:6" x14ac:dyDescent="0.25">
      <c r="A252" s="23"/>
      <c r="B252" s="23"/>
      <c r="C252" s="23"/>
      <c r="D252" s="23"/>
      <c r="E252" s="24"/>
      <c r="F252" s="193"/>
    </row>
    <row r="253" spans="1:6" x14ac:dyDescent="0.25">
      <c r="A253" s="23"/>
      <c r="B253" s="23"/>
      <c r="C253" s="23"/>
      <c r="D253" s="23"/>
      <c r="E253" s="24"/>
      <c r="F253" s="193"/>
    </row>
    <row r="254" spans="1:6" x14ac:dyDescent="0.25">
      <c r="A254" s="23"/>
      <c r="B254" s="23"/>
      <c r="C254" s="23"/>
      <c r="D254" s="23"/>
      <c r="E254" s="24"/>
      <c r="F254" s="193"/>
    </row>
    <row r="255" spans="1:6" x14ac:dyDescent="0.25">
      <c r="A255" s="23"/>
      <c r="B255" s="23"/>
      <c r="C255" s="23"/>
      <c r="D255" s="23"/>
      <c r="E255" s="24"/>
      <c r="F255" s="193"/>
    </row>
    <row r="256" spans="1:6" x14ac:dyDescent="0.25">
      <c r="A256" s="23"/>
      <c r="B256" s="23"/>
      <c r="C256" s="23"/>
      <c r="D256" s="23"/>
      <c r="E256" s="24"/>
      <c r="F256" s="193"/>
    </row>
    <row r="257" spans="1:6" x14ac:dyDescent="0.25">
      <c r="A257" s="23"/>
      <c r="B257" s="23"/>
      <c r="C257" s="23"/>
      <c r="D257" s="23"/>
      <c r="E257" s="24"/>
      <c r="F257" s="193"/>
    </row>
    <row r="258" spans="1:6" x14ac:dyDescent="0.25">
      <c r="A258" s="23"/>
      <c r="B258" s="23"/>
      <c r="C258" s="23"/>
      <c r="D258" s="23"/>
      <c r="E258" s="24"/>
      <c r="F258" s="193"/>
    </row>
    <row r="259" spans="1:6" x14ac:dyDescent="0.25">
      <c r="A259" s="23"/>
      <c r="B259" s="23"/>
      <c r="C259" s="23"/>
      <c r="D259" s="23"/>
      <c r="E259" s="24"/>
      <c r="F259" s="193"/>
    </row>
    <row r="260" spans="1:6" x14ac:dyDescent="0.25">
      <c r="A260" s="23"/>
      <c r="B260" s="23"/>
      <c r="C260" s="23"/>
      <c r="D260" s="23"/>
      <c r="E260" s="24"/>
      <c r="F260" s="193"/>
    </row>
    <row r="261" spans="1:6" x14ac:dyDescent="0.25">
      <c r="A261" s="23"/>
      <c r="B261" s="23"/>
      <c r="C261" s="23"/>
      <c r="D261" s="23"/>
      <c r="E261" s="24"/>
      <c r="F261" s="193"/>
    </row>
    <row r="262" spans="1:6" x14ac:dyDescent="0.25">
      <c r="A262" s="23"/>
      <c r="B262" s="23"/>
      <c r="C262" s="23"/>
      <c r="D262" s="23"/>
      <c r="E262" s="24"/>
      <c r="F262" s="193"/>
    </row>
    <row r="263" spans="1:6" x14ac:dyDescent="0.25">
      <c r="A263" s="23"/>
      <c r="B263" s="23"/>
      <c r="C263" s="23"/>
      <c r="D263" s="23"/>
      <c r="E263" s="24"/>
      <c r="F263" s="193"/>
    </row>
    <row r="264" spans="1:6" x14ac:dyDescent="0.25">
      <c r="A264" s="23"/>
      <c r="B264" s="23"/>
      <c r="C264" s="23"/>
      <c r="D264" s="23"/>
      <c r="E264" s="24"/>
      <c r="F264" s="193"/>
    </row>
    <row r="265" spans="1:6" x14ac:dyDescent="0.25">
      <c r="A265" s="23"/>
      <c r="B265" s="23"/>
      <c r="C265" s="23"/>
      <c r="D265" s="23"/>
      <c r="E265" s="24"/>
      <c r="F265" s="193"/>
    </row>
    <row r="266" spans="1:6" x14ac:dyDescent="0.25">
      <c r="A266" s="23"/>
      <c r="B266" s="23"/>
      <c r="C266" s="23"/>
      <c r="D266" s="23"/>
      <c r="E266" s="24"/>
      <c r="F266" s="193"/>
    </row>
    <row r="267" spans="1:6" x14ac:dyDescent="0.25">
      <c r="A267" s="23"/>
      <c r="B267" s="23"/>
      <c r="C267" s="23"/>
      <c r="D267" s="23"/>
      <c r="E267" s="24"/>
      <c r="F267" s="193"/>
    </row>
    <row r="268" spans="1:6" x14ac:dyDescent="0.25">
      <c r="A268" s="23"/>
      <c r="B268" s="23"/>
      <c r="C268" s="23"/>
      <c r="D268" s="23"/>
      <c r="E268" s="24"/>
      <c r="F268" s="193"/>
    </row>
    <row r="269" spans="1:6" x14ac:dyDescent="0.25">
      <c r="A269" s="23"/>
      <c r="B269" s="23"/>
      <c r="C269" s="23"/>
      <c r="D269" s="23"/>
      <c r="E269" s="24"/>
      <c r="F269" s="193"/>
    </row>
    <row r="270" spans="1:6" x14ac:dyDescent="0.25">
      <c r="A270" s="23"/>
      <c r="B270" s="23"/>
      <c r="C270" s="23"/>
      <c r="D270" s="23"/>
      <c r="E270" s="24"/>
      <c r="F270" s="193"/>
    </row>
    <row r="271" spans="1:6" x14ac:dyDescent="0.25">
      <c r="A271" s="23"/>
      <c r="B271" s="23"/>
      <c r="C271" s="23"/>
      <c r="D271" s="23"/>
      <c r="E271" s="24"/>
      <c r="F271" s="193"/>
    </row>
    <row r="272" spans="1:6" x14ac:dyDescent="0.25">
      <c r="A272" s="23"/>
      <c r="B272" s="23"/>
      <c r="C272" s="23"/>
      <c r="D272" s="23"/>
      <c r="E272" s="24"/>
      <c r="F272" s="193"/>
    </row>
    <row r="273" spans="1:6" x14ac:dyDescent="0.25">
      <c r="A273" s="23"/>
      <c r="B273" s="23"/>
      <c r="C273" s="23"/>
      <c r="D273" s="23"/>
      <c r="E273" s="24"/>
      <c r="F273" s="193"/>
    </row>
    <row r="274" spans="1:6" x14ac:dyDescent="0.25">
      <c r="A274" s="23"/>
      <c r="B274" s="23"/>
      <c r="C274" s="23"/>
      <c r="D274" s="23"/>
      <c r="E274" s="24"/>
      <c r="F274" s="193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F7DEC-5D0C-4D62-8882-43A1FF4EA8C4}">
  <dimension ref="A2:H579"/>
  <sheetViews>
    <sheetView topLeftCell="A391" zoomScale="106" zoomScaleNormal="106" workbookViewId="0">
      <selection activeCell="E70" sqref="E70"/>
    </sheetView>
  </sheetViews>
  <sheetFormatPr baseColWidth="10" defaultRowHeight="12.75" x14ac:dyDescent="0.2"/>
  <cols>
    <col min="1" max="2" width="11.42578125" style="22"/>
    <col min="3" max="3" width="15.42578125" style="22" customWidth="1"/>
    <col min="4" max="4" width="11.42578125" style="22"/>
    <col min="5" max="5" width="11.42578125" style="223"/>
    <col min="6" max="7" width="11.42578125" style="22"/>
    <col min="8" max="8" width="11.42578125" style="148"/>
    <col min="9" max="16384" width="11.42578125" style="22"/>
  </cols>
  <sheetData>
    <row r="2" spans="1:8" x14ac:dyDescent="0.2">
      <c r="A2" s="298" t="s">
        <v>16669</v>
      </c>
      <c r="B2" s="298"/>
      <c r="C2" s="298"/>
      <c r="D2" s="298"/>
      <c r="E2" s="298"/>
      <c r="F2" s="298"/>
      <c r="G2" s="298"/>
      <c r="H2" s="298"/>
    </row>
    <row r="3" spans="1:8" x14ac:dyDescent="0.2">
      <c r="A3" s="276" t="s">
        <v>1080</v>
      </c>
      <c r="B3" s="276" t="s">
        <v>1079</v>
      </c>
      <c r="C3" s="276" t="s">
        <v>1078</v>
      </c>
      <c r="D3" s="276" t="s">
        <v>525</v>
      </c>
      <c r="E3" s="277" t="s">
        <v>1077</v>
      </c>
      <c r="F3" s="276" t="s">
        <v>1076</v>
      </c>
      <c r="G3" s="276" t="s">
        <v>1075</v>
      </c>
      <c r="H3" s="234" t="s">
        <v>545</v>
      </c>
    </row>
    <row r="4" spans="1:8" ht="14.25" customHeight="1" x14ac:dyDescent="0.2">
      <c r="A4" s="229" t="s">
        <v>13338</v>
      </c>
      <c r="B4" s="229" t="s">
        <v>13385</v>
      </c>
      <c r="C4" s="229" t="s">
        <v>13384</v>
      </c>
      <c r="D4" s="229" t="s">
        <v>1343</v>
      </c>
      <c r="E4" s="230">
        <v>1.96</v>
      </c>
      <c r="F4" s="229" t="s">
        <v>1342</v>
      </c>
      <c r="G4" s="229" t="s">
        <v>640</v>
      </c>
      <c r="H4" s="231">
        <v>7473</v>
      </c>
    </row>
    <row r="5" spans="1:8" ht="14.25" customHeight="1" x14ac:dyDescent="0.2">
      <c r="A5" s="229" t="s">
        <v>13338</v>
      </c>
      <c r="B5" s="229" t="s">
        <v>13383</v>
      </c>
      <c r="C5" s="229" t="s">
        <v>13382</v>
      </c>
      <c r="D5" s="229" t="s">
        <v>13381</v>
      </c>
      <c r="E5" s="230">
        <v>9.1300000000000008</v>
      </c>
      <c r="F5" s="229" t="s">
        <v>13380</v>
      </c>
      <c r="G5" s="229" t="s">
        <v>640</v>
      </c>
      <c r="H5" s="231">
        <v>7474</v>
      </c>
    </row>
    <row r="6" spans="1:8" ht="14.25" customHeight="1" x14ac:dyDescent="0.2">
      <c r="A6" s="229" t="s">
        <v>13338</v>
      </c>
      <c r="B6" s="229" t="s">
        <v>13379</v>
      </c>
      <c r="C6" s="229" t="s">
        <v>13378</v>
      </c>
      <c r="D6" s="229" t="s">
        <v>3589</v>
      </c>
      <c r="E6" s="230">
        <v>4.42</v>
      </c>
      <c r="F6" s="229" t="s">
        <v>3590</v>
      </c>
      <c r="G6" s="229" t="s">
        <v>640</v>
      </c>
      <c r="H6" s="231">
        <v>7475</v>
      </c>
    </row>
    <row r="7" spans="1:8" ht="14.25" customHeight="1" x14ac:dyDescent="0.2">
      <c r="A7" s="229" t="s">
        <v>13338</v>
      </c>
      <c r="B7" s="229" t="s">
        <v>13377</v>
      </c>
      <c r="C7" s="229" t="s">
        <v>13376</v>
      </c>
      <c r="D7" s="229" t="s">
        <v>3679</v>
      </c>
      <c r="E7" s="230">
        <v>22.89</v>
      </c>
      <c r="F7" s="229" t="s">
        <v>3680</v>
      </c>
      <c r="G7" s="229" t="s">
        <v>640</v>
      </c>
      <c r="H7" s="231">
        <v>7476</v>
      </c>
    </row>
    <row r="8" spans="1:8" ht="14.25" customHeight="1" x14ac:dyDescent="0.2">
      <c r="A8" s="229" t="s">
        <v>13338</v>
      </c>
      <c r="B8" s="229" t="s">
        <v>13375</v>
      </c>
      <c r="C8" s="229" t="s">
        <v>13374</v>
      </c>
      <c r="D8" s="229" t="s">
        <v>10765</v>
      </c>
      <c r="E8" s="230">
        <v>3.54</v>
      </c>
      <c r="F8" s="229" t="s">
        <v>10764</v>
      </c>
      <c r="G8" s="229" t="s">
        <v>640</v>
      </c>
      <c r="H8" s="231">
        <v>7477</v>
      </c>
    </row>
    <row r="9" spans="1:8" ht="14.25" customHeight="1" x14ac:dyDescent="0.2">
      <c r="A9" s="229" t="s">
        <v>13338</v>
      </c>
      <c r="B9" s="229" t="s">
        <v>6051</v>
      </c>
      <c r="C9" s="229" t="s">
        <v>13373</v>
      </c>
      <c r="D9" s="229" t="s">
        <v>1349</v>
      </c>
      <c r="E9" s="230">
        <v>12.39</v>
      </c>
      <c r="F9" s="229" t="s">
        <v>1348</v>
      </c>
      <c r="G9" s="229" t="s">
        <v>640</v>
      </c>
      <c r="H9" s="231">
        <v>7478</v>
      </c>
    </row>
    <row r="10" spans="1:8" ht="14.25" customHeight="1" x14ac:dyDescent="0.2">
      <c r="A10" s="229" t="s">
        <v>13338</v>
      </c>
      <c r="B10" s="229" t="s">
        <v>13372</v>
      </c>
      <c r="C10" s="229" t="s">
        <v>13371</v>
      </c>
      <c r="D10" s="229" t="s">
        <v>1363</v>
      </c>
      <c r="E10" s="230">
        <v>14.76</v>
      </c>
      <c r="F10" s="229" t="s">
        <v>1362</v>
      </c>
      <c r="G10" s="229" t="s">
        <v>640</v>
      </c>
      <c r="H10" s="231">
        <v>7479</v>
      </c>
    </row>
    <row r="11" spans="1:8" ht="14.25" customHeight="1" x14ac:dyDescent="0.2">
      <c r="A11" s="229" t="s">
        <v>13338</v>
      </c>
      <c r="B11" s="229" t="s">
        <v>13370</v>
      </c>
      <c r="C11" s="229" t="s">
        <v>13369</v>
      </c>
      <c r="D11" s="229" t="s">
        <v>3937</v>
      </c>
      <c r="E11" s="230">
        <v>6.94</v>
      </c>
      <c r="F11" s="229" t="s">
        <v>3938</v>
      </c>
      <c r="G11" s="229" t="s">
        <v>640</v>
      </c>
      <c r="H11" s="231">
        <v>7480</v>
      </c>
    </row>
    <row r="12" spans="1:8" ht="14.25" customHeight="1" x14ac:dyDescent="0.2">
      <c r="A12" s="229" t="s">
        <v>13338</v>
      </c>
      <c r="B12" s="229" t="s">
        <v>13368</v>
      </c>
      <c r="C12" s="229" t="s">
        <v>13367</v>
      </c>
      <c r="D12" s="229" t="s">
        <v>5722</v>
      </c>
      <c r="E12" s="230">
        <v>4.66</v>
      </c>
      <c r="F12" s="229" t="s">
        <v>5723</v>
      </c>
      <c r="G12" s="229" t="s">
        <v>640</v>
      </c>
      <c r="H12" s="231">
        <v>7481</v>
      </c>
    </row>
    <row r="13" spans="1:8" ht="14.25" customHeight="1" x14ac:dyDescent="0.2">
      <c r="A13" s="229" t="s">
        <v>13338</v>
      </c>
      <c r="B13" s="229" t="s">
        <v>13366</v>
      </c>
      <c r="C13" s="229" t="s">
        <v>13365</v>
      </c>
      <c r="D13" s="229" t="s">
        <v>1507</v>
      </c>
      <c r="E13" s="230">
        <v>1.77</v>
      </c>
      <c r="F13" s="229" t="s">
        <v>1506</v>
      </c>
      <c r="G13" s="229" t="s">
        <v>640</v>
      </c>
      <c r="H13" s="231">
        <v>7482</v>
      </c>
    </row>
    <row r="14" spans="1:8" ht="14.25" customHeight="1" x14ac:dyDescent="0.2">
      <c r="A14" s="229" t="s">
        <v>13338</v>
      </c>
      <c r="B14" s="229" t="s">
        <v>13364</v>
      </c>
      <c r="C14" s="229" t="s">
        <v>13363</v>
      </c>
      <c r="D14" s="229" t="s">
        <v>11091</v>
      </c>
      <c r="E14" s="230">
        <v>12.14</v>
      </c>
      <c r="F14" s="229" t="s">
        <v>11090</v>
      </c>
      <c r="G14" s="229" t="s">
        <v>640</v>
      </c>
      <c r="H14" s="231">
        <v>7483</v>
      </c>
    </row>
    <row r="15" spans="1:8" ht="14.25" customHeight="1" x14ac:dyDescent="0.2">
      <c r="A15" s="229" t="s">
        <v>13338</v>
      </c>
      <c r="B15" s="229" t="s">
        <v>13362</v>
      </c>
      <c r="C15" s="229" t="s">
        <v>13361</v>
      </c>
      <c r="D15" s="229" t="s">
        <v>13360</v>
      </c>
      <c r="E15" s="230">
        <v>5.93</v>
      </c>
      <c r="F15" s="229" t="s">
        <v>13359</v>
      </c>
      <c r="G15" s="229" t="s">
        <v>640</v>
      </c>
      <c r="H15" s="231">
        <v>7484</v>
      </c>
    </row>
    <row r="16" spans="1:8" ht="14.25" customHeight="1" x14ac:dyDescent="0.2">
      <c r="A16" s="229" t="s">
        <v>13338</v>
      </c>
      <c r="B16" s="229" t="s">
        <v>13358</v>
      </c>
      <c r="C16" s="229" t="s">
        <v>13357</v>
      </c>
      <c r="D16" s="229" t="s">
        <v>888</v>
      </c>
      <c r="E16" s="230">
        <v>2.95</v>
      </c>
      <c r="F16" s="229" t="s">
        <v>887</v>
      </c>
      <c r="G16" s="229" t="s">
        <v>640</v>
      </c>
      <c r="H16" s="231">
        <v>7485</v>
      </c>
    </row>
    <row r="17" spans="1:8" ht="14.25" customHeight="1" x14ac:dyDescent="0.2">
      <c r="A17" s="229" t="s">
        <v>13338</v>
      </c>
      <c r="B17" s="229" t="s">
        <v>13356</v>
      </c>
      <c r="C17" s="229" t="s">
        <v>13355</v>
      </c>
      <c r="D17" s="229" t="s">
        <v>5936</v>
      </c>
      <c r="E17" s="230">
        <v>8.19</v>
      </c>
      <c r="F17" s="229" t="s">
        <v>5937</v>
      </c>
      <c r="G17" s="229" t="s">
        <v>640</v>
      </c>
      <c r="H17" s="231">
        <v>7486</v>
      </c>
    </row>
    <row r="18" spans="1:8" ht="14.25" customHeight="1" x14ac:dyDescent="0.2">
      <c r="A18" s="229" t="s">
        <v>13338</v>
      </c>
      <c r="B18" s="229" t="s">
        <v>13354</v>
      </c>
      <c r="C18" s="229" t="s">
        <v>13353</v>
      </c>
      <c r="D18" s="229" t="s">
        <v>806</v>
      </c>
      <c r="E18" s="230">
        <v>1.68</v>
      </c>
      <c r="F18" s="229" t="s">
        <v>805</v>
      </c>
      <c r="G18" s="229" t="s">
        <v>640</v>
      </c>
      <c r="H18" s="231">
        <v>7487</v>
      </c>
    </row>
    <row r="19" spans="1:8" ht="14.25" customHeight="1" x14ac:dyDescent="0.2">
      <c r="A19" s="229" t="s">
        <v>13338</v>
      </c>
      <c r="B19" s="229" t="s">
        <v>13352</v>
      </c>
      <c r="C19" s="229" t="s">
        <v>13351</v>
      </c>
      <c r="D19" s="229" t="s">
        <v>5261</v>
      </c>
      <c r="E19" s="230">
        <v>3.96</v>
      </c>
      <c r="F19" s="229" t="s">
        <v>5262</v>
      </c>
      <c r="G19" s="229" t="s">
        <v>640</v>
      </c>
      <c r="H19" s="231">
        <v>7488</v>
      </c>
    </row>
    <row r="20" spans="1:8" ht="14.25" customHeight="1" x14ac:dyDescent="0.2">
      <c r="A20" s="229" t="s">
        <v>13338</v>
      </c>
      <c r="B20" s="229" t="s">
        <v>13350</v>
      </c>
      <c r="C20" s="229" t="s">
        <v>13349</v>
      </c>
      <c r="D20" s="229" t="s">
        <v>648</v>
      </c>
      <c r="E20" s="230">
        <v>2.89</v>
      </c>
      <c r="F20" s="229" t="s">
        <v>647</v>
      </c>
      <c r="G20" s="229" t="s">
        <v>640</v>
      </c>
      <c r="H20" s="231">
        <v>7489</v>
      </c>
    </row>
    <row r="21" spans="1:8" ht="14.25" customHeight="1" x14ac:dyDescent="0.2">
      <c r="A21" s="229" t="s">
        <v>13338</v>
      </c>
      <c r="B21" s="229" t="s">
        <v>13348</v>
      </c>
      <c r="C21" s="229" t="s">
        <v>13347</v>
      </c>
      <c r="D21" s="229" t="s">
        <v>646</v>
      </c>
      <c r="E21" s="230">
        <v>12.48</v>
      </c>
      <c r="F21" s="229" t="s">
        <v>645</v>
      </c>
      <c r="G21" s="229" t="s">
        <v>640</v>
      </c>
      <c r="H21" s="231">
        <v>7490</v>
      </c>
    </row>
    <row r="22" spans="1:8" ht="14.25" customHeight="1" x14ac:dyDescent="0.2">
      <c r="A22" s="229" t="s">
        <v>13338</v>
      </c>
      <c r="B22" s="229" t="s">
        <v>13346</v>
      </c>
      <c r="C22" s="229" t="s">
        <v>13345</v>
      </c>
      <c r="D22" s="229" t="s">
        <v>1060</v>
      </c>
      <c r="E22" s="230">
        <v>1.97</v>
      </c>
      <c r="F22" s="229" t="s">
        <v>1059</v>
      </c>
      <c r="G22" s="229" t="s">
        <v>640</v>
      </c>
      <c r="H22" s="231">
        <v>7491</v>
      </c>
    </row>
    <row r="23" spans="1:8" ht="14.25" customHeight="1" x14ac:dyDescent="0.2">
      <c r="A23" s="229" t="s">
        <v>13338</v>
      </c>
      <c r="B23" s="229" t="s">
        <v>13344</v>
      </c>
      <c r="C23" s="229" t="s">
        <v>13343</v>
      </c>
      <c r="D23" s="229" t="s">
        <v>13342</v>
      </c>
      <c r="E23" s="230">
        <v>41.79</v>
      </c>
      <c r="F23" s="229" t="s">
        <v>13341</v>
      </c>
      <c r="G23" s="229" t="s">
        <v>640</v>
      </c>
      <c r="H23" s="231">
        <v>7492</v>
      </c>
    </row>
    <row r="24" spans="1:8" ht="14.25" customHeight="1" x14ac:dyDescent="0.2">
      <c r="A24" s="229" t="s">
        <v>13338</v>
      </c>
      <c r="B24" s="229" t="s">
        <v>13340</v>
      </c>
      <c r="C24" s="229" t="s">
        <v>13339</v>
      </c>
      <c r="D24" s="229" t="s">
        <v>1020</v>
      </c>
      <c r="E24" s="230">
        <v>5.4</v>
      </c>
      <c r="F24" s="229" t="s">
        <v>1019</v>
      </c>
      <c r="G24" s="229" t="s">
        <v>640</v>
      </c>
      <c r="H24" s="231">
        <v>7493</v>
      </c>
    </row>
    <row r="25" spans="1:8" ht="14.25" customHeight="1" x14ac:dyDescent="0.2">
      <c r="A25" s="229" t="s">
        <v>13338</v>
      </c>
      <c r="B25" s="229" t="s">
        <v>13337</v>
      </c>
      <c r="C25" s="229" t="s">
        <v>13336</v>
      </c>
      <c r="D25" s="229" t="s">
        <v>1475</v>
      </c>
      <c r="E25" s="230">
        <v>2.17</v>
      </c>
      <c r="F25" s="229" t="s">
        <v>1474</v>
      </c>
      <c r="G25" s="229" t="s">
        <v>640</v>
      </c>
      <c r="H25" s="231">
        <v>7494</v>
      </c>
    </row>
    <row r="26" spans="1:8" ht="14.25" customHeight="1" x14ac:dyDescent="0.2">
      <c r="A26" s="229" t="s">
        <v>13308</v>
      </c>
      <c r="B26" s="229" t="s">
        <v>13335</v>
      </c>
      <c r="C26" s="229" t="s">
        <v>13334</v>
      </c>
      <c r="D26" s="229" t="s">
        <v>13333</v>
      </c>
      <c r="E26" s="230">
        <v>3.48</v>
      </c>
      <c r="F26" s="229" t="s">
        <v>13332</v>
      </c>
      <c r="G26" s="229" t="s">
        <v>640</v>
      </c>
      <c r="H26" s="231">
        <v>7498</v>
      </c>
    </row>
    <row r="27" spans="1:8" ht="14.25" customHeight="1" x14ac:dyDescent="0.2">
      <c r="A27" s="229" t="s">
        <v>13308</v>
      </c>
      <c r="B27" s="229" t="s">
        <v>13331</v>
      </c>
      <c r="C27" s="229" t="s">
        <v>13330</v>
      </c>
      <c r="D27" s="229" t="s">
        <v>4479</v>
      </c>
      <c r="E27" s="230">
        <v>6.37</v>
      </c>
      <c r="F27" s="229" t="s">
        <v>4480</v>
      </c>
      <c r="G27" s="229" t="s">
        <v>640</v>
      </c>
      <c r="H27" s="231">
        <v>7499</v>
      </c>
    </row>
    <row r="28" spans="1:8" ht="14.25" customHeight="1" x14ac:dyDescent="0.2">
      <c r="A28" s="229" t="s">
        <v>13308</v>
      </c>
      <c r="B28" s="229" t="s">
        <v>13329</v>
      </c>
      <c r="C28" s="229" t="s">
        <v>13328</v>
      </c>
      <c r="D28" s="229" t="s">
        <v>5924</v>
      </c>
      <c r="E28" s="230">
        <v>2.31</v>
      </c>
      <c r="F28" s="229" t="s">
        <v>5925</v>
      </c>
      <c r="G28" s="229" t="s">
        <v>640</v>
      </c>
      <c r="H28" s="231">
        <v>7500</v>
      </c>
    </row>
    <row r="29" spans="1:8" ht="14.25" customHeight="1" x14ac:dyDescent="0.2">
      <c r="A29" s="229" t="s">
        <v>13308</v>
      </c>
      <c r="B29" s="229" t="s">
        <v>13327</v>
      </c>
      <c r="C29" s="229" t="s">
        <v>13326</v>
      </c>
      <c r="D29" s="229" t="s">
        <v>1152</v>
      </c>
      <c r="E29" s="230">
        <v>2.15</v>
      </c>
      <c r="F29" s="229" t="s">
        <v>1151</v>
      </c>
      <c r="G29" s="229" t="s">
        <v>640</v>
      </c>
      <c r="H29" s="231">
        <v>7501</v>
      </c>
    </row>
    <row r="30" spans="1:8" ht="14.25" customHeight="1" x14ac:dyDescent="0.2">
      <c r="A30" s="229" t="s">
        <v>13308</v>
      </c>
      <c r="B30" s="229" t="s">
        <v>13325</v>
      </c>
      <c r="C30" s="229" t="s">
        <v>13324</v>
      </c>
      <c r="D30" s="229" t="s">
        <v>13323</v>
      </c>
      <c r="E30" s="230">
        <v>20.7</v>
      </c>
      <c r="F30" s="229" t="s">
        <v>13322</v>
      </c>
      <c r="G30" s="229" t="s">
        <v>640</v>
      </c>
      <c r="H30" s="231">
        <v>7502</v>
      </c>
    </row>
    <row r="31" spans="1:8" ht="14.25" customHeight="1" x14ac:dyDescent="0.2">
      <c r="A31" s="229" t="s">
        <v>13308</v>
      </c>
      <c r="B31" s="229" t="s">
        <v>13321</v>
      </c>
      <c r="C31" s="229" t="s">
        <v>13320</v>
      </c>
      <c r="D31" s="229" t="s">
        <v>1205</v>
      </c>
      <c r="E31" s="230">
        <v>6.75</v>
      </c>
      <c r="F31" s="229" t="s">
        <v>1204</v>
      </c>
      <c r="G31" s="229" t="s">
        <v>640</v>
      </c>
      <c r="H31" s="231">
        <v>7503</v>
      </c>
    </row>
    <row r="32" spans="1:8" ht="14.25" customHeight="1" x14ac:dyDescent="0.2">
      <c r="A32" s="229" t="s">
        <v>13308</v>
      </c>
      <c r="B32" s="229" t="s">
        <v>13319</v>
      </c>
      <c r="C32" s="229" t="s">
        <v>13318</v>
      </c>
      <c r="D32" s="229" t="s">
        <v>685</v>
      </c>
      <c r="E32" s="230">
        <v>8.3800000000000008</v>
      </c>
      <c r="F32" s="229" t="s">
        <v>684</v>
      </c>
      <c r="G32" s="229" t="s">
        <v>640</v>
      </c>
      <c r="H32" s="231">
        <v>7504</v>
      </c>
    </row>
    <row r="33" spans="1:8" ht="14.25" customHeight="1" x14ac:dyDescent="0.2">
      <c r="A33" s="229" t="s">
        <v>13308</v>
      </c>
      <c r="B33" s="229" t="s">
        <v>13317</v>
      </c>
      <c r="C33" s="229" t="s">
        <v>13316</v>
      </c>
      <c r="D33" s="229" t="s">
        <v>6062</v>
      </c>
      <c r="E33" s="230">
        <v>2.74</v>
      </c>
      <c r="F33" s="229" t="s">
        <v>6063</v>
      </c>
      <c r="G33" s="229" t="s">
        <v>640</v>
      </c>
      <c r="H33" s="231">
        <v>7505</v>
      </c>
    </row>
    <row r="34" spans="1:8" ht="14.25" customHeight="1" x14ac:dyDescent="0.2">
      <c r="A34" s="229" t="s">
        <v>13308</v>
      </c>
      <c r="B34" s="229" t="s">
        <v>13315</v>
      </c>
      <c r="C34" s="229" t="s">
        <v>13314</v>
      </c>
      <c r="D34" s="229" t="s">
        <v>654</v>
      </c>
      <c r="E34" s="230">
        <v>1.68</v>
      </c>
      <c r="F34" s="229" t="s">
        <v>653</v>
      </c>
      <c r="G34" s="229" t="s">
        <v>640</v>
      </c>
      <c r="H34" s="231">
        <v>7506</v>
      </c>
    </row>
    <row r="35" spans="1:8" ht="14.25" customHeight="1" x14ac:dyDescent="0.2">
      <c r="A35" s="229" t="s">
        <v>13308</v>
      </c>
      <c r="B35" s="229" t="s">
        <v>13313</v>
      </c>
      <c r="C35" s="229" t="s">
        <v>13312</v>
      </c>
      <c r="D35" s="229" t="s">
        <v>716</v>
      </c>
      <c r="E35" s="230">
        <v>1.68</v>
      </c>
      <c r="F35" s="229" t="s">
        <v>715</v>
      </c>
      <c r="G35" s="229" t="s">
        <v>640</v>
      </c>
      <c r="H35" s="231" t="s">
        <v>13311</v>
      </c>
    </row>
    <row r="36" spans="1:8" ht="14.25" customHeight="1" x14ac:dyDescent="0.2">
      <c r="A36" s="229" t="s">
        <v>13308</v>
      </c>
      <c r="B36" s="229" t="s">
        <v>13310</v>
      </c>
      <c r="C36" s="229" t="s">
        <v>13309</v>
      </c>
      <c r="D36" s="229" t="s">
        <v>4604</v>
      </c>
      <c r="E36" s="230">
        <v>5.59</v>
      </c>
      <c r="F36" s="229" t="s">
        <v>4605</v>
      </c>
      <c r="G36" s="229" t="s">
        <v>640</v>
      </c>
      <c r="H36" s="231">
        <v>7507</v>
      </c>
    </row>
    <row r="37" spans="1:8" ht="14.25" customHeight="1" x14ac:dyDescent="0.2">
      <c r="A37" s="229" t="s">
        <v>13308</v>
      </c>
      <c r="B37" s="229" t="s">
        <v>13307</v>
      </c>
      <c r="C37" s="229" t="s">
        <v>13306</v>
      </c>
      <c r="D37" s="229" t="s">
        <v>3810</v>
      </c>
      <c r="E37" s="230">
        <v>4.32</v>
      </c>
      <c r="F37" s="229" t="s">
        <v>3811</v>
      </c>
      <c r="G37" s="229" t="s">
        <v>640</v>
      </c>
      <c r="H37" s="231">
        <v>7509</v>
      </c>
    </row>
    <row r="38" spans="1:8" ht="14.25" customHeight="1" x14ac:dyDescent="0.2">
      <c r="A38" s="229" t="s">
        <v>13292</v>
      </c>
      <c r="B38" s="229" t="s">
        <v>13305</v>
      </c>
      <c r="C38" s="229" t="s">
        <v>13304</v>
      </c>
      <c r="D38" s="229" t="s">
        <v>11466</v>
      </c>
      <c r="E38" s="230">
        <v>3.36</v>
      </c>
      <c r="F38" s="229" t="s">
        <v>11465</v>
      </c>
      <c r="G38" s="229" t="s">
        <v>640</v>
      </c>
      <c r="H38" s="231">
        <v>7510</v>
      </c>
    </row>
    <row r="39" spans="1:8" ht="14.25" customHeight="1" x14ac:dyDescent="0.2">
      <c r="A39" s="229" t="s">
        <v>13292</v>
      </c>
      <c r="B39" s="229" t="s">
        <v>13303</v>
      </c>
      <c r="C39" s="229" t="s">
        <v>13302</v>
      </c>
      <c r="D39" s="229" t="s">
        <v>1299</v>
      </c>
      <c r="E39" s="230">
        <v>3.36</v>
      </c>
      <c r="F39" s="229" t="s">
        <v>1298</v>
      </c>
      <c r="G39" s="229" t="s">
        <v>640</v>
      </c>
      <c r="H39" s="231">
        <v>7511</v>
      </c>
    </row>
    <row r="40" spans="1:8" ht="14.25" customHeight="1" x14ac:dyDescent="0.2">
      <c r="A40" s="229" t="s">
        <v>13292</v>
      </c>
      <c r="B40" s="229" t="s">
        <v>13301</v>
      </c>
      <c r="C40" s="229" t="s">
        <v>13300</v>
      </c>
      <c r="D40" s="229" t="s">
        <v>5164</v>
      </c>
      <c r="E40" s="230">
        <v>1.72</v>
      </c>
      <c r="F40" s="229" t="s">
        <v>13299</v>
      </c>
      <c r="G40" s="229" t="s">
        <v>640</v>
      </c>
      <c r="H40" s="231">
        <v>7512</v>
      </c>
    </row>
    <row r="41" spans="1:8" ht="14.25" customHeight="1" x14ac:dyDescent="0.2">
      <c r="A41" s="229" t="s">
        <v>13292</v>
      </c>
      <c r="B41" s="229" t="s">
        <v>13298</v>
      </c>
      <c r="C41" s="229" t="s">
        <v>13297</v>
      </c>
      <c r="D41" s="229" t="s">
        <v>13296</v>
      </c>
      <c r="E41" s="230">
        <v>5.0999999999999996</v>
      </c>
      <c r="F41" s="229" t="s">
        <v>13295</v>
      </c>
      <c r="G41" s="229" t="s">
        <v>640</v>
      </c>
      <c r="H41" s="231">
        <v>7513</v>
      </c>
    </row>
    <row r="42" spans="1:8" ht="14.25" customHeight="1" x14ac:dyDescent="0.2">
      <c r="A42" s="229" t="s">
        <v>13292</v>
      </c>
      <c r="B42" s="229" t="s">
        <v>13294</v>
      </c>
      <c r="C42" s="229" t="s">
        <v>13293</v>
      </c>
      <c r="D42" s="229" t="s">
        <v>1318</v>
      </c>
      <c r="E42" s="230">
        <v>4.26</v>
      </c>
      <c r="F42" s="229" t="s">
        <v>1317</v>
      </c>
      <c r="G42" s="229" t="s">
        <v>640</v>
      </c>
      <c r="H42" s="231">
        <v>7515</v>
      </c>
    </row>
    <row r="43" spans="1:8" ht="14.25" customHeight="1" x14ac:dyDescent="0.2">
      <c r="A43" s="229" t="s">
        <v>13292</v>
      </c>
      <c r="B43" s="229" t="s">
        <v>13291</v>
      </c>
      <c r="C43" s="229" t="s">
        <v>13290</v>
      </c>
      <c r="D43" s="229" t="s">
        <v>942</v>
      </c>
      <c r="E43" s="230">
        <v>1.68</v>
      </c>
      <c r="F43" s="229" t="s">
        <v>941</v>
      </c>
      <c r="G43" s="229" t="s">
        <v>640</v>
      </c>
      <c r="H43" s="231" t="s">
        <v>13289</v>
      </c>
    </row>
    <row r="44" spans="1:8" ht="14.25" customHeight="1" x14ac:dyDescent="0.2">
      <c r="A44" s="229" t="s">
        <v>13229</v>
      </c>
      <c r="B44" s="229" t="s">
        <v>13278</v>
      </c>
      <c r="C44" s="229" t="s">
        <v>13277</v>
      </c>
      <c r="D44" s="229" t="s">
        <v>10846</v>
      </c>
      <c r="E44" s="230">
        <v>1.75</v>
      </c>
      <c r="F44" s="229" t="s">
        <v>10845</v>
      </c>
      <c r="G44" s="229" t="s">
        <v>640</v>
      </c>
      <c r="H44" s="231">
        <v>8415</v>
      </c>
    </row>
    <row r="45" spans="1:8" ht="14.25" customHeight="1" x14ac:dyDescent="0.2">
      <c r="A45" s="229" t="s">
        <v>13229</v>
      </c>
      <c r="B45" s="229" t="s">
        <v>13288</v>
      </c>
      <c r="C45" s="229" t="s">
        <v>13287</v>
      </c>
      <c r="D45" s="229" t="s">
        <v>1158</v>
      </c>
      <c r="E45" s="230">
        <v>8.4600000000000009</v>
      </c>
      <c r="F45" s="229" t="s">
        <v>1157</v>
      </c>
      <c r="G45" s="229" t="s">
        <v>640</v>
      </c>
      <c r="H45" s="231">
        <v>7564</v>
      </c>
    </row>
    <row r="46" spans="1:8" ht="14.25" customHeight="1" x14ac:dyDescent="0.2">
      <c r="A46" s="229" t="s">
        <v>13229</v>
      </c>
      <c r="B46" s="229" t="s">
        <v>13286</v>
      </c>
      <c r="C46" s="229" t="s">
        <v>13285</v>
      </c>
      <c r="D46" s="229" t="s">
        <v>6064</v>
      </c>
      <c r="E46" s="230">
        <v>3.7</v>
      </c>
      <c r="F46" s="229" t="s">
        <v>6065</v>
      </c>
      <c r="G46" s="229" t="s">
        <v>640</v>
      </c>
      <c r="H46" s="231">
        <v>7565</v>
      </c>
    </row>
    <row r="47" spans="1:8" ht="14.25" customHeight="1" x14ac:dyDescent="0.2">
      <c r="A47" s="229" t="s">
        <v>13229</v>
      </c>
      <c r="B47" s="229" t="s">
        <v>13284</v>
      </c>
      <c r="C47" s="229" t="s">
        <v>13283</v>
      </c>
      <c r="D47" s="229" t="s">
        <v>13282</v>
      </c>
      <c r="E47" s="230">
        <v>2.61</v>
      </c>
      <c r="F47" s="229" t="s">
        <v>13281</v>
      </c>
      <c r="G47" s="229" t="s">
        <v>640</v>
      </c>
      <c r="H47" s="231">
        <v>7566</v>
      </c>
    </row>
    <row r="48" spans="1:8" ht="14.25" customHeight="1" x14ac:dyDescent="0.2">
      <c r="A48" s="229" t="s">
        <v>13229</v>
      </c>
      <c r="B48" s="229" t="s">
        <v>13280</v>
      </c>
      <c r="C48" s="229" t="s">
        <v>13279</v>
      </c>
      <c r="D48" s="229" t="s">
        <v>4834</v>
      </c>
      <c r="E48" s="230">
        <v>3.36</v>
      </c>
      <c r="F48" s="229" t="s">
        <v>4835</v>
      </c>
      <c r="G48" s="229" t="s">
        <v>640</v>
      </c>
      <c r="H48" s="231">
        <v>7567</v>
      </c>
    </row>
    <row r="49" spans="1:8" ht="14.25" customHeight="1" x14ac:dyDescent="0.2">
      <c r="A49" s="229" t="s">
        <v>13229</v>
      </c>
      <c r="B49" s="229" t="s">
        <v>13276</v>
      </c>
      <c r="C49" s="229" t="s">
        <v>13275</v>
      </c>
      <c r="D49" s="229" t="s">
        <v>5617</v>
      </c>
      <c r="E49" s="230">
        <v>5.31</v>
      </c>
      <c r="F49" s="229" t="s">
        <v>5618</v>
      </c>
      <c r="G49" s="229" t="s">
        <v>640</v>
      </c>
      <c r="H49" s="228">
        <v>7569</v>
      </c>
    </row>
    <row r="50" spans="1:8" ht="14.25" customHeight="1" x14ac:dyDescent="0.2">
      <c r="A50" s="229" t="s">
        <v>13229</v>
      </c>
      <c r="B50" s="229" t="s">
        <v>13274</v>
      </c>
      <c r="C50" s="229" t="s">
        <v>13273</v>
      </c>
      <c r="D50" s="229" t="s">
        <v>4774</v>
      </c>
      <c r="E50" s="230">
        <v>8.3800000000000008</v>
      </c>
      <c r="F50" s="229" t="s">
        <v>4775</v>
      </c>
      <c r="G50" s="229" t="s">
        <v>640</v>
      </c>
      <c r="H50" s="228">
        <v>7570</v>
      </c>
    </row>
    <row r="51" spans="1:8" ht="14.25" customHeight="1" x14ac:dyDescent="0.2">
      <c r="A51" s="229" t="s">
        <v>13229</v>
      </c>
      <c r="B51" s="229" t="s">
        <v>13272</v>
      </c>
      <c r="C51" s="229" t="s">
        <v>13271</v>
      </c>
      <c r="D51" s="229" t="s">
        <v>13270</v>
      </c>
      <c r="E51" s="230">
        <v>10.65</v>
      </c>
      <c r="F51" s="229" t="s">
        <v>13269</v>
      </c>
      <c r="G51" s="229" t="s">
        <v>640</v>
      </c>
      <c r="H51" s="228">
        <v>7571</v>
      </c>
    </row>
    <row r="52" spans="1:8" ht="14.25" customHeight="1" x14ac:dyDescent="0.2">
      <c r="A52" s="229" t="s">
        <v>13229</v>
      </c>
      <c r="B52" s="229" t="s">
        <v>13268</v>
      </c>
      <c r="C52" s="229" t="s">
        <v>13267</v>
      </c>
      <c r="D52" s="229" t="s">
        <v>867</v>
      </c>
      <c r="E52" s="230">
        <v>3.52</v>
      </c>
      <c r="F52" s="229" t="s">
        <v>866</v>
      </c>
      <c r="G52" s="229" t="s">
        <v>640</v>
      </c>
      <c r="H52" s="228">
        <v>7572</v>
      </c>
    </row>
    <row r="53" spans="1:8" ht="14.25" customHeight="1" x14ac:dyDescent="0.2">
      <c r="A53" s="229" t="s">
        <v>13229</v>
      </c>
      <c r="B53" s="229" t="s">
        <v>13266</v>
      </c>
      <c r="C53" s="229" t="s">
        <v>13265</v>
      </c>
      <c r="D53" s="229" t="s">
        <v>675</v>
      </c>
      <c r="E53" s="230">
        <v>3.72</v>
      </c>
      <c r="F53" s="229" t="s">
        <v>674</v>
      </c>
      <c r="G53" s="229" t="s">
        <v>640</v>
      </c>
      <c r="H53" s="228">
        <v>7573</v>
      </c>
    </row>
    <row r="54" spans="1:8" ht="14.25" customHeight="1" x14ac:dyDescent="0.2">
      <c r="A54" s="229" t="s">
        <v>13229</v>
      </c>
      <c r="B54" s="229" t="s">
        <v>13264</v>
      </c>
      <c r="C54" s="229" t="s">
        <v>13263</v>
      </c>
      <c r="D54" s="229" t="s">
        <v>4206</v>
      </c>
      <c r="E54" s="230">
        <v>10.92</v>
      </c>
      <c r="F54" s="229" t="s">
        <v>4207</v>
      </c>
      <c r="G54" s="229" t="s">
        <v>640</v>
      </c>
      <c r="H54" s="228">
        <v>7574</v>
      </c>
    </row>
    <row r="55" spans="1:8" ht="14.25" customHeight="1" x14ac:dyDescent="0.2">
      <c r="A55" s="229" t="s">
        <v>13229</v>
      </c>
      <c r="B55" s="229" t="s">
        <v>13262</v>
      </c>
      <c r="C55" s="229" t="s">
        <v>13261</v>
      </c>
      <c r="D55" s="229" t="s">
        <v>13260</v>
      </c>
      <c r="E55" s="230">
        <v>9.77</v>
      </c>
      <c r="F55" s="229" t="s">
        <v>13259</v>
      </c>
      <c r="G55" s="229" t="s">
        <v>640</v>
      </c>
      <c r="H55" s="228">
        <v>7575</v>
      </c>
    </row>
    <row r="56" spans="1:8" ht="14.25" customHeight="1" x14ac:dyDescent="0.2">
      <c r="A56" s="229" t="s">
        <v>13229</v>
      </c>
      <c r="B56" s="229" t="s">
        <v>13258</v>
      </c>
      <c r="C56" s="229" t="s">
        <v>13257</v>
      </c>
      <c r="D56" s="229" t="s">
        <v>4015</v>
      </c>
      <c r="E56" s="230">
        <v>3.97</v>
      </c>
      <c r="F56" s="229" t="s">
        <v>4016</v>
      </c>
      <c r="G56" s="229" t="s">
        <v>640</v>
      </c>
      <c r="H56" s="228">
        <v>7576</v>
      </c>
    </row>
    <row r="57" spans="1:8" ht="14.25" customHeight="1" x14ac:dyDescent="0.2">
      <c r="A57" s="229" t="s">
        <v>13229</v>
      </c>
      <c r="B57" s="229" t="s">
        <v>13256</v>
      </c>
      <c r="C57" s="229" t="s">
        <v>13255</v>
      </c>
      <c r="D57" s="229" t="s">
        <v>4105</v>
      </c>
      <c r="E57" s="230">
        <v>6.1</v>
      </c>
      <c r="F57" s="229" t="s">
        <v>4106</v>
      </c>
      <c r="G57" s="229" t="s">
        <v>640</v>
      </c>
      <c r="H57" s="228">
        <v>7577</v>
      </c>
    </row>
    <row r="58" spans="1:8" ht="14.25" customHeight="1" x14ac:dyDescent="0.2">
      <c r="A58" s="229" t="s">
        <v>13229</v>
      </c>
      <c r="B58" s="229" t="s">
        <v>13254</v>
      </c>
      <c r="C58" s="229" t="s">
        <v>13253</v>
      </c>
      <c r="D58" s="229" t="s">
        <v>853</v>
      </c>
      <c r="E58" s="230">
        <v>2.09</v>
      </c>
      <c r="F58" s="229" t="s">
        <v>852</v>
      </c>
      <c r="G58" s="229" t="s">
        <v>640</v>
      </c>
      <c r="H58" s="228">
        <v>7578</v>
      </c>
    </row>
    <row r="59" spans="1:8" ht="14.25" customHeight="1" x14ac:dyDescent="0.2">
      <c r="A59" s="229" t="s">
        <v>13229</v>
      </c>
      <c r="B59" s="229" t="s">
        <v>13252</v>
      </c>
      <c r="C59" s="229" t="s">
        <v>13251</v>
      </c>
      <c r="D59" s="229" t="s">
        <v>1285</v>
      </c>
      <c r="E59" s="230">
        <v>1.68</v>
      </c>
      <c r="F59" s="229" t="s">
        <v>1284</v>
      </c>
      <c r="G59" s="229" t="s">
        <v>640</v>
      </c>
      <c r="H59" s="228">
        <v>7579</v>
      </c>
    </row>
    <row r="60" spans="1:8" ht="14.25" customHeight="1" x14ac:dyDescent="0.2">
      <c r="A60" s="229" t="s">
        <v>13229</v>
      </c>
      <c r="B60" s="229" t="s">
        <v>3137</v>
      </c>
      <c r="C60" s="229" t="s">
        <v>13250</v>
      </c>
      <c r="D60" s="229" t="s">
        <v>5062</v>
      </c>
      <c r="E60" s="230">
        <v>9.6</v>
      </c>
      <c r="F60" s="229" t="s">
        <v>5063</v>
      </c>
      <c r="G60" s="229" t="s">
        <v>640</v>
      </c>
      <c r="H60" s="228">
        <v>7580</v>
      </c>
    </row>
    <row r="61" spans="1:8" ht="14.25" customHeight="1" x14ac:dyDescent="0.2">
      <c r="A61" s="229" t="s">
        <v>13229</v>
      </c>
      <c r="B61" s="229" t="s">
        <v>13249</v>
      </c>
      <c r="C61" s="229" t="s">
        <v>13248</v>
      </c>
      <c r="D61" s="229" t="s">
        <v>3000</v>
      </c>
      <c r="E61" s="230">
        <v>4.2699999999999996</v>
      </c>
      <c r="F61" s="229" t="s">
        <v>3001</v>
      </c>
      <c r="G61" s="229" t="s">
        <v>640</v>
      </c>
      <c r="H61" s="228">
        <v>7581</v>
      </c>
    </row>
    <row r="62" spans="1:8" ht="14.25" customHeight="1" x14ac:dyDescent="0.2">
      <c r="A62" s="229" t="s">
        <v>13229</v>
      </c>
      <c r="B62" s="229" t="s">
        <v>13247</v>
      </c>
      <c r="C62" s="229" t="s">
        <v>13246</v>
      </c>
      <c r="D62" s="229" t="s">
        <v>846</v>
      </c>
      <c r="E62" s="230">
        <v>8.3800000000000008</v>
      </c>
      <c r="F62" s="229" t="s">
        <v>845</v>
      </c>
      <c r="G62" s="229" t="s">
        <v>640</v>
      </c>
      <c r="H62" s="228">
        <v>7582</v>
      </c>
    </row>
    <row r="63" spans="1:8" ht="14.25" customHeight="1" x14ac:dyDescent="0.2">
      <c r="A63" s="229" t="s">
        <v>13229</v>
      </c>
      <c r="B63" s="229" t="s">
        <v>13245</v>
      </c>
      <c r="C63" s="229" t="s">
        <v>13244</v>
      </c>
      <c r="D63" s="229" t="s">
        <v>642</v>
      </c>
      <c r="E63" s="230">
        <v>9.52</v>
      </c>
      <c r="F63" s="229" t="s">
        <v>641</v>
      </c>
      <c r="G63" s="229" t="s">
        <v>640</v>
      </c>
      <c r="H63" s="228">
        <v>7583</v>
      </c>
    </row>
    <row r="64" spans="1:8" ht="14.25" customHeight="1" x14ac:dyDescent="0.2">
      <c r="A64" s="229" t="s">
        <v>13229</v>
      </c>
      <c r="B64" s="229" t="s">
        <v>13243</v>
      </c>
      <c r="C64" s="229" t="s">
        <v>13242</v>
      </c>
      <c r="D64" s="229" t="s">
        <v>13241</v>
      </c>
      <c r="E64" s="230">
        <v>14.49</v>
      </c>
      <c r="F64" s="229" t="s">
        <v>13240</v>
      </c>
      <c r="G64" s="229" t="s">
        <v>640</v>
      </c>
      <c r="H64" s="228">
        <v>7584</v>
      </c>
    </row>
    <row r="65" spans="1:8" ht="14.25" customHeight="1" x14ac:dyDescent="0.2">
      <c r="A65" s="229" t="s">
        <v>13229</v>
      </c>
      <c r="B65" s="229" t="s">
        <v>13239</v>
      </c>
      <c r="C65" s="229" t="s">
        <v>13238</v>
      </c>
      <c r="D65" s="229" t="s">
        <v>3852</v>
      </c>
      <c r="E65" s="230">
        <v>3.81</v>
      </c>
      <c r="F65" s="229" t="s">
        <v>3853</v>
      </c>
      <c r="G65" s="229" t="s">
        <v>640</v>
      </c>
      <c r="H65" s="228">
        <v>7585</v>
      </c>
    </row>
    <row r="66" spans="1:8" ht="14.25" customHeight="1" x14ac:dyDescent="0.2">
      <c r="A66" s="229" t="s">
        <v>13229</v>
      </c>
      <c r="B66" s="229" t="s">
        <v>13237</v>
      </c>
      <c r="C66" s="229" t="s">
        <v>13236</v>
      </c>
      <c r="D66" s="229" t="s">
        <v>3601</v>
      </c>
      <c r="E66" s="230">
        <v>3.36</v>
      </c>
      <c r="F66" s="229" t="s">
        <v>3602</v>
      </c>
      <c r="G66" s="229" t="s">
        <v>640</v>
      </c>
      <c r="H66" s="228">
        <v>7586</v>
      </c>
    </row>
    <row r="67" spans="1:8" ht="14.25" customHeight="1" x14ac:dyDescent="0.2">
      <c r="A67" s="229" t="s">
        <v>13229</v>
      </c>
      <c r="B67" s="229" t="s">
        <v>13235</v>
      </c>
      <c r="C67" s="229" t="s">
        <v>13234</v>
      </c>
      <c r="D67" s="229" t="s">
        <v>13233</v>
      </c>
      <c r="E67" s="230">
        <v>5.04</v>
      </c>
      <c r="F67" s="229" t="s">
        <v>13232</v>
      </c>
      <c r="G67" s="229" t="s">
        <v>640</v>
      </c>
      <c r="H67" s="228">
        <v>7587</v>
      </c>
    </row>
    <row r="68" spans="1:8" x14ac:dyDescent="0.2">
      <c r="A68" s="225" t="s">
        <v>13229</v>
      </c>
      <c r="B68" s="225" t="s">
        <v>13231</v>
      </c>
      <c r="C68" s="225" t="s">
        <v>13230</v>
      </c>
      <c r="D68" s="225" t="s">
        <v>1431</v>
      </c>
      <c r="E68" s="226">
        <v>0.71</v>
      </c>
      <c r="F68" s="225" t="s">
        <v>1430</v>
      </c>
      <c r="G68" s="225" t="s">
        <v>640</v>
      </c>
      <c r="H68" s="228">
        <v>7588</v>
      </c>
    </row>
    <row r="69" spans="1:8" x14ac:dyDescent="0.2">
      <c r="A69" s="225" t="s">
        <v>13229</v>
      </c>
      <c r="B69" s="225" t="s">
        <v>13228</v>
      </c>
      <c r="C69" s="225" t="s">
        <v>13227</v>
      </c>
      <c r="D69" s="225" t="s">
        <v>1003</v>
      </c>
      <c r="E69" s="226">
        <v>13.25</v>
      </c>
      <c r="F69" s="225" t="s">
        <v>1002</v>
      </c>
      <c r="G69" s="225" t="s">
        <v>640</v>
      </c>
      <c r="H69" s="228">
        <v>7589</v>
      </c>
    </row>
    <row r="70" spans="1:8" x14ac:dyDescent="0.2">
      <c r="A70" s="227"/>
      <c r="B70" s="227"/>
      <c r="C70" s="227" t="s">
        <v>3577</v>
      </c>
      <c r="D70" s="227"/>
      <c r="E70" s="278">
        <f>SUM(E4:E69)</f>
        <v>428.06000000000006</v>
      </c>
      <c r="F70" s="227"/>
      <c r="G70" s="227"/>
      <c r="H70" s="228"/>
    </row>
    <row r="71" spans="1:8" x14ac:dyDescent="0.2">
      <c r="A71" s="225" t="s">
        <v>16607</v>
      </c>
      <c r="B71" s="225" t="s">
        <v>16668</v>
      </c>
      <c r="C71" s="225" t="s">
        <v>16667</v>
      </c>
      <c r="D71" s="225" t="s">
        <v>16666</v>
      </c>
      <c r="E71" s="226">
        <v>17.309999999999999</v>
      </c>
      <c r="F71" s="225" t="s">
        <v>16665</v>
      </c>
      <c r="G71" s="225" t="s">
        <v>640</v>
      </c>
      <c r="H71" s="153">
        <v>7671</v>
      </c>
    </row>
    <row r="72" spans="1:8" x14ac:dyDescent="0.2">
      <c r="A72" s="225" t="s">
        <v>16607</v>
      </c>
      <c r="B72" s="225" t="s">
        <v>16664</v>
      </c>
      <c r="C72" s="225" t="s">
        <v>16663</v>
      </c>
      <c r="D72" s="225" t="s">
        <v>5082</v>
      </c>
      <c r="E72" s="226">
        <v>5.53</v>
      </c>
      <c r="F72" s="225" t="s">
        <v>5083</v>
      </c>
      <c r="G72" s="225" t="s">
        <v>640</v>
      </c>
      <c r="H72" s="153">
        <v>7672</v>
      </c>
    </row>
    <row r="73" spans="1:8" x14ac:dyDescent="0.2">
      <c r="A73" s="225" t="s">
        <v>16607</v>
      </c>
      <c r="B73" s="225" t="s">
        <v>16662</v>
      </c>
      <c r="C73" s="225" t="s">
        <v>16661</v>
      </c>
      <c r="D73" s="225" t="s">
        <v>706</v>
      </c>
      <c r="E73" s="226">
        <v>8.3800000000000008</v>
      </c>
      <c r="F73" s="225" t="s">
        <v>705</v>
      </c>
      <c r="G73" s="225" t="s">
        <v>640</v>
      </c>
      <c r="H73" s="153">
        <v>7673</v>
      </c>
    </row>
    <row r="74" spans="1:8" x14ac:dyDescent="0.2">
      <c r="A74" s="225" t="s">
        <v>16607</v>
      </c>
      <c r="B74" s="225" t="s">
        <v>16660</v>
      </c>
      <c r="C74" s="225" t="s">
        <v>16659</v>
      </c>
      <c r="D74" s="225" t="s">
        <v>1297</v>
      </c>
      <c r="E74" s="226">
        <v>7.76</v>
      </c>
      <c r="F74" s="225" t="s">
        <v>1296</v>
      </c>
      <c r="G74" s="225" t="s">
        <v>640</v>
      </c>
      <c r="H74" s="153">
        <v>7674</v>
      </c>
    </row>
    <row r="75" spans="1:8" x14ac:dyDescent="0.2">
      <c r="A75" s="225" t="s">
        <v>16607</v>
      </c>
      <c r="B75" s="225" t="s">
        <v>16658</v>
      </c>
      <c r="C75" s="225" t="s">
        <v>16657</v>
      </c>
      <c r="D75" s="225" t="s">
        <v>4822</v>
      </c>
      <c r="E75" s="226">
        <v>1.68</v>
      </c>
      <c r="F75" s="225" t="s">
        <v>4823</v>
      </c>
      <c r="G75" s="225" t="s">
        <v>640</v>
      </c>
      <c r="H75" s="153">
        <v>7675</v>
      </c>
    </row>
    <row r="76" spans="1:8" x14ac:dyDescent="0.2">
      <c r="A76" s="225" t="s">
        <v>16607</v>
      </c>
      <c r="B76" s="225" t="s">
        <v>16656</v>
      </c>
      <c r="C76" s="225" t="s">
        <v>16655</v>
      </c>
      <c r="D76" s="225" t="s">
        <v>952</v>
      </c>
      <c r="E76" s="226">
        <v>6.69</v>
      </c>
      <c r="F76" s="225" t="s">
        <v>951</v>
      </c>
      <c r="G76" s="225" t="s">
        <v>640</v>
      </c>
      <c r="H76" s="153">
        <v>7676</v>
      </c>
    </row>
    <row r="77" spans="1:8" x14ac:dyDescent="0.2">
      <c r="A77" s="225" t="s">
        <v>16607</v>
      </c>
      <c r="B77" s="225" t="s">
        <v>16654</v>
      </c>
      <c r="C77" s="225" t="s">
        <v>16653</v>
      </c>
      <c r="D77" s="225" t="s">
        <v>4651</v>
      </c>
      <c r="E77" s="226">
        <v>2.14</v>
      </c>
      <c r="F77" s="225" t="s">
        <v>4652</v>
      </c>
      <c r="G77" s="225" t="s">
        <v>640</v>
      </c>
      <c r="H77" s="153">
        <v>7677</v>
      </c>
    </row>
    <row r="78" spans="1:8" x14ac:dyDescent="0.2">
      <c r="A78" s="225" t="s">
        <v>16607</v>
      </c>
      <c r="B78" s="225" t="s">
        <v>16652</v>
      </c>
      <c r="C78" s="225" t="s">
        <v>16651</v>
      </c>
      <c r="D78" s="225" t="s">
        <v>4882</v>
      </c>
      <c r="E78" s="226">
        <v>10.68</v>
      </c>
      <c r="F78" s="225" t="s">
        <v>4883</v>
      </c>
      <c r="G78" s="225" t="s">
        <v>640</v>
      </c>
      <c r="H78" s="153">
        <v>7678</v>
      </c>
    </row>
    <row r="79" spans="1:8" x14ac:dyDescent="0.2">
      <c r="A79" s="225" t="s">
        <v>16607</v>
      </c>
      <c r="B79" s="225" t="s">
        <v>16650</v>
      </c>
      <c r="C79" s="225" t="s">
        <v>16649</v>
      </c>
      <c r="D79" s="225" t="s">
        <v>14049</v>
      </c>
      <c r="E79" s="226">
        <v>0.31</v>
      </c>
      <c r="F79" s="225" t="s">
        <v>14048</v>
      </c>
      <c r="G79" s="225" t="s">
        <v>640</v>
      </c>
      <c r="H79" s="153">
        <v>7679</v>
      </c>
    </row>
    <row r="80" spans="1:8" x14ac:dyDescent="0.2">
      <c r="A80" s="225" t="s">
        <v>16607</v>
      </c>
      <c r="B80" s="225" t="s">
        <v>16648</v>
      </c>
      <c r="C80" s="225" t="s">
        <v>16647</v>
      </c>
      <c r="D80" s="225" t="s">
        <v>4411</v>
      </c>
      <c r="E80" s="226">
        <v>7.8</v>
      </c>
      <c r="F80" s="225" t="s">
        <v>4412</v>
      </c>
      <c r="G80" s="225" t="s">
        <v>640</v>
      </c>
      <c r="H80" s="153">
        <v>7680</v>
      </c>
    </row>
    <row r="81" spans="1:8" x14ac:dyDescent="0.2">
      <c r="A81" s="225" t="s">
        <v>16607</v>
      </c>
      <c r="B81" s="225" t="s">
        <v>16646</v>
      </c>
      <c r="C81" s="225" t="s">
        <v>16645</v>
      </c>
      <c r="D81" s="225" t="s">
        <v>958</v>
      </c>
      <c r="E81" s="226">
        <v>16.91</v>
      </c>
      <c r="F81" s="225" t="s">
        <v>957</v>
      </c>
      <c r="G81" s="225" t="s">
        <v>640</v>
      </c>
      <c r="H81" s="153">
        <v>7681</v>
      </c>
    </row>
    <row r="82" spans="1:8" x14ac:dyDescent="0.2">
      <c r="A82" s="225" t="s">
        <v>16607</v>
      </c>
      <c r="B82" s="225" t="s">
        <v>16644</v>
      </c>
      <c r="C82" s="225" t="s">
        <v>16643</v>
      </c>
      <c r="D82" s="225" t="s">
        <v>1034</v>
      </c>
      <c r="E82" s="226">
        <v>2.21</v>
      </c>
      <c r="F82" s="225" t="s">
        <v>1033</v>
      </c>
      <c r="G82" s="225" t="s">
        <v>640</v>
      </c>
      <c r="H82" s="153">
        <v>7682</v>
      </c>
    </row>
    <row r="83" spans="1:8" x14ac:dyDescent="0.2">
      <c r="A83" s="225" t="s">
        <v>16607</v>
      </c>
      <c r="B83" s="225" t="s">
        <v>16642</v>
      </c>
      <c r="C83" s="225" t="s">
        <v>16641</v>
      </c>
      <c r="D83" s="225" t="s">
        <v>1390</v>
      </c>
      <c r="E83" s="226">
        <v>3.9</v>
      </c>
      <c r="F83" s="225" t="s">
        <v>1389</v>
      </c>
      <c r="G83" s="225" t="s">
        <v>640</v>
      </c>
      <c r="H83" s="153">
        <v>7683</v>
      </c>
    </row>
    <row r="84" spans="1:8" x14ac:dyDescent="0.2">
      <c r="A84" s="225" t="s">
        <v>16607</v>
      </c>
      <c r="B84" s="225" t="s">
        <v>16640</v>
      </c>
      <c r="C84" s="225" t="s">
        <v>16639</v>
      </c>
      <c r="D84" s="225" t="s">
        <v>3985</v>
      </c>
      <c r="E84" s="226">
        <v>29.67</v>
      </c>
      <c r="F84" s="225" t="s">
        <v>3986</v>
      </c>
      <c r="G84" s="225" t="s">
        <v>640</v>
      </c>
      <c r="H84" s="153">
        <v>7684</v>
      </c>
    </row>
    <row r="85" spans="1:8" x14ac:dyDescent="0.2">
      <c r="A85" s="225" t="s">
        <v>16607</v>
      </c>
      <c r="B85" s="225" t="s">
        <v>16638</v>
      </c>
      <c r="C85" s="225" t="s">
        <v>16637</v>
      </c>
      <c r="D85" s="225" t="s">
        <v>13545</v>
      </c>
      <c r="E85" s="226">
        <v>3.24</v>
      </c>
      <c r="F85" s="225" t="s">
        <v>13544</v>
      </c>
      <c r="G85" s="225" t="s">
        <v>640</v>
      </c>
      <c r="H85" s="153" t="s">
        <v>16636</v>
      </c>
    </row>
    <row r="86" spans="1:8" x14ac:dyDescent="0.2">
      <c r="A86" s="225" t="s">
        <v>16607</v>
      </c>
      <c r="B86" s="225" t="s">
        <v>16635</v>
      </c>
      <c r="C86" s="225" t="s">
        <v>16634</v>
      </c>
      <c r="D86" s="225" t="s">
        <v>4755</v>
      </c>
      <c r="E86" s="226">
        <v>5.13</v>
      </c>
      <c r="F86" s="225" t="s">
        <v>4756</v>
      </c>
      <c r="G86" s="225" t="s">
        <v>640</v>
      </c>
      <c r="H86" s="153">
        <v>7685</v>
      </c>
    </row>
    <row r="87" spans="1:8" x14ac:dyDescent="0.2">
      <c r="A87" s="225" t="s">
        <v>16607</v>
      </c>
      <c r="B87" s="225" t="s">
        <v>16633</v>
      </c>
      <c r="C87" s="225" t="s">
        <v>16632</v>
      </c>
      <c r="D87" s="225" t="s">
        <v>4897</v>
      </c>
      <c r="E87" s="226">
        <v>2.09</v>
      </c>
      <c r="F87" s="225" t="s">
        <v>4898</v>
      </c>
      <c r="G87" s="225" t="s">
        <v>640</v>
      </c>
      <c r="H87" s="153">
        <v>7686</v>
      </c>
    </row>
    <row r="88" spans="1:8" x14ac:dyDescent="0.2">
      <c r="A88" s="225" t="s">
        <v>16607</v>
      </c>
      <c r="B88" s="225" t="s">
        <v>16631</v>
      </c>
      <c r="C88" s="225" t="s">
        <v>16630</v>
      </c>
      <c r="D88" s="225" t="s">
        <v>16629</v>
      </c>
      <c r="E88" s="226">
        <v>13.06</v>
      </c>
      <c r="F88" s="225" t="s">
        <v>16628</v>
      </c>
      <c r="G88" s="225" t="s">
        <v>640</v>
      </c>
      <c r="H88" s="153">
        <v>7687</v>
      </c>
    </row>
    <row r="89" spans="1:8" x14ac:dyDescent="0.2">
      <c r="A89" s="225" t="s">
        <v>16607</v>
      </c>
      <c r="B89" s="225" t="s">
        <v>10526</v>
      </c>
      <c r="C89" s="225" t="s">
        <v>16627</v>
      </c>
      <c r="D89" s="225" t="s">
        <v>5586</v>
      </c>
      <c r="E89" s="226">
        <v>5.69</v>
      </c>
      <c r="F89" s="225" t="s">
        <v>5587</v>
      </c>
      <c r="G89" s="225" t="s">
        <v>640</v>
      </c>
      <c r="H89" s="153">
        <v>7688</v>
      </c>
    </row>
    <row r="90" spans="1:8" x14ac:dyDescent="0.2">
      <c r="A90" s="225" t="s">
        <v>16607</v>
      </c>
      <c r="B90" s="225" t="s">
        <v>16626</v>
      </c>
      <c r="C90" s="225" t="s">
        <v>16625</v>
      </c>
      <c r="D90" s="225" t="s">
        <v>1331</v>
      </c>
      <c r="E90" s="226">
        <v>2.5299999999999998</v>
      </c>
      <c r="F90" s="225" t="s">
        <v>1330</v>
      </c>
      <c r="G90" s="225" t="s">
        <v>640</v>
      </c>
      <c r="H90" s="153">
        <v>7689</v>
      </c>
    </row>
    <row r="91" spans="1:8" x14ac:dyDescent="0.2">
      <c r="A91" s="225" t="s">
        <v>16607</v>
      </c>
      <c r="B91" s="225" t="s">
        <v>16624</v>
      </c>
      <c r="C91" s="225" t="s">
        <v>16623</v>
      </c>
      <c r="D91" s="225" t="s">
        <v>4216</v>
      </c>
      <c r="E91" s="226">
        <v>5.84</v>
      </c>
      <c r="F91" s="225" t="s">
        <v>4217</v>
      </c>
      <c r="G91" s="225" t="s">
        <v>640</v>
      </c>
      <c r="H91" s="153">
        <v>7690</v>
      </c>
    </row>
    <row r="92" spans="1:8" x14ac:dyDescent="0.2">
      <c r="A92" s="225" t="s">
        <v>16607</v>
      </c>
      <c r="B92" s="225" t="s">
        <v>16622</v>
      </c>
      <c r="C92" s="225" t="s">
        <v>16621</v>
      </c>
      <c r="D92" s="225" t="s">
        <v>4638</v>
      </c>
      <c r="E92" s="226">
        <v>1.71</v>
      </c>
      <c r="F92" s="225" t="s">
        <v>4639</v>
      </c>
      <c r="G92" s="225" t="s">
        <v>640</v>
      </c>
      <c r="H92" s="153">
        <v>7691</v>
      </c>
    </row>
    <row r="93" spans="1:8" x14ac:dyDescent="0.2">
      <c r="A93" s="225" t="s">
        <v>16607</v>
      </c>
      <c r="B93" s="225" t="s">
        <v>16020</v>
      </c>
      <c r="C93" s="225" t="s">
        <v>16620</v>
      </c>
      <c r="D93" s="225" t="s">
        <v>1178</v>
      </c>
      <c r="E93" s="226">
        <v>4.1100000000000003</v>
      </c>
      <c r="F93" s="225" t="s">
        <v>1177</v>
      </c>
      <c r="G93" s="225" t="s">
        <v>640</v>
      </c>
      <c r="H93" s="153">
        <v>7692</v>
      </c>
    </row>
    <row r="94" spans="1:8" x14ac:dyDescent="0.2">
      <c r="A94" s="225" t="s">
        <v>16607</v>
      </c>
      <c r="B94" s="225" t="s">
        <v>16619</v>
      </c>
      <c r="C94" s="225" t="s">
        <v>16618</v>
      </c>
      <c r="D94" s="225" t="s">
        <v>1570</v>
      </c>
      <c r="E94" s="226">
        <v>6.8</v>
      </c>
      <c r="F94" s="225" t="s">
        <v>1569</v>
      </c>
      <c r="G94" s="225" t="s">
        <v>640</v>
      </c>
      <c r="H94" s="153">
        <v>7693</v>
      </c>
    </row>
    <row r="95" spans="1:8" x14ac:dyDescent="0.2">
      <c r="A95" s="225" t="s">
        <v>16607</v>
      </c>
      <c r="B95" s="225" t="s">
        <v>16617</v>
      </c>
      <c r="C95" s="225" t="s">
        <v>16616</v>
      </c>
      <c r="D95" s="225" t="s">
        <v>16615</v>
      </c>
      <c r="E95" s="226">
        <v>60.92</v>
      </c>
      <c r="F95" s="225" t="s">
        <v>16614</v>
      </c>
      <c r="G95" s="225" t="s">
        <v>640</v>
      </c>
      <c r="H95" s="153">
        <v>7694</v>
      </c>
    </row>
    <row r="96" spans="1:8" x14ac:dyDescent="0.2">
      <c r="A96" s="225" t="s">
        <v>16607</v>
      </c>
      <c r="B96" s="225" t="s">
        <v>16613</v>
      </c>
      <c r="C96" s="225" t="s">
        <v>16612</v>
      </c>
      <c r="D96" s="225" t="s">
        <v>3655</v>
      </c>
      <c r="E96" s="226">
        <v>3.32</v>
      </c>
      <c r="F96" s="225" t="s">
        <v>3656</v>
      </c>
      <c r="G96" s="225" t="s">
        <v>640</v>
      </c>
      <c r="H96" s="153">
        <v>7695</v>
      </c>
    </row>
    <row r="97" spans="1:8" x14ac:dyDescent="0.2">
      <c r="A97" s="225" t="s">
        <v>16607</v>
      </c>
      <c r="B97" s="225" t="s">
        <v>16611</v>
      </c>
      <c r="C97" s="225" t="s">
        <v>16610</v>
      </c>
      <c r="D97" s="225" t="s">
        <v>4729</v>
      </c>
      <c r="E97" s="226">
        <v>7.16</v>
      </c>
      <c r="F97" s="225" t="s">
        <v>4730</v>
      </c>
      <c r="G97" s="225" t="s">
        <v>640</v>
      </c>
      <c r="H97" s="153">
        <v>7696</v>
      </c>
    </row>
    <row r="98" spans="1:8" x14ac:dyDescent="0.2">
      <c r="A98" s="225" t="s">
        <v>16607</v>
      </c>
      <c r="B98" s="225" t="s">
        <v>16609</v>
      </c>
      <c r="C98" s="225" t="s">
        <v>16608</v>
      </c>
      <c r="D98" s="225" t="s">
        <v>995</v>
      </c>
      <c r="E98" s="226">
        <v>2.4300000000000002</v>
      </c>
      <c r="F98" s="225" t="s">
        <v>994</v>
      </c>
      <c r="G98" s="225" t="s">
        <v>640</v>
      </c>
      <c r="H98" s="153">
        <v>7697</v>
      </c>
    </row>
    <row r="99" spans="1:8" x14ac:dyDescent="0.2">
      <c r="A99" s="225" t="s">
        <v>16607</v>
      </c>
      <c r="B99" s="225" t="s">
        <v>16606</v>
      </c>
      <c r="C99" s="225" t="s">
        <v>16605</v>
      </c>
      <c r="D99" s="225" t="s">
        <v>1456</v>
      </c>
      <c r="E99" s="226">
        <v>4.12</v>
      </c>
      <c r="F99" s="225" t="s">
        <v>1455</v>
      </c>
      <c r="G99" s="225" t="s">
        <v>640</v>
      </c>
      <c r="H99" s="153">
        <v>7698</v>
      </c>
    </row>
    <row r="100" spans="1:8" x14ac:dyDescent="0.2">
      <c r="A100" s="225"/>
      <c r="B100" s="225"/>
      <c r="C100" s="227" t="s">
        <v>3738</v>
      </c>
      <c r="E100" s="278">
        <f>SUM(E71:E99)</f>
        <v>249.12000000000003</v>
      </c>
      <c r="F100" s="225"/>
      <c r="G100" s="225"/>
      <c r="H100" s="153"/>
    </row>
    <row r="101" spans="1:8" x14ac:dyDescent="0.2">
      <c r="A101" s="225" t="s">
        <v>16554</v>
      </c>
      <c r="B101" s="225" t="s">
        <v>16604</v>
      </c>
      <c r="C101" s="225" t="s">
        <v>16603</v>
      </c>
      <c r="D101" s="225" t="s">
        <v>4049</v>
      </c>
      <c r="E101" s="226">
        <v>8.02</v>
      </c>
      <c r="F101" s="225" t="s">
        <v>4050</v>
      </c>
      <c r="G101" s="225" t="s">
        <v>640</v>
      </c>
      <c r="H101" s="153">
        <v>7720</v>
      </c>
    </row>
    <row r="102" spans="1:8" x14ac:dyDescent="0.2">
      <c r="A102" s="225" t="s">
        <v>16554</v>
      </c>
      <c r="B102" s="225" t="s">
        <v>16602</v>
      </c>
      <c r="C102" s="225" t="s">
        <v>16601</v>
      </c>
      <c r="D102" s="225" t="s">
        <v>16600</v>
      </c>
      <c r="E102" s="226">
        <v>0.28999999999999998</v>
      </c>
      <c r="F102" s="225" t="s">
        <v>16599</v>
      </c>
      <c r="G102" s="225" t="s">
        <v>640</v>
      </c>
      <c r="H102" s="153">
        <v>7721</v>
      </c>
    </row>
    <row r="103" spans="1:8" x14ac:dyDescent="0.2">
      <c r="A103" s="225" t="s">
        <v>16554</v>
      </c>
      <c r="B103" s="225" t="s">
        <v>16598</v>
      </c>
      <c r="C103" s="225" t="s">
        <v>16597</v>
      </c>
      <c r="D103" s="225" t="s">
        <v>4626</v>
      </c>
      <c r="E103" s="226">
        <v>3.36</v>
      </c>
      <c r="F103" s="225" t="s">
        <v>4627</v>
      </c>
      <c r="G103" s="225" t="s">
        <v>640</v>
      </c>
      <c r="H103" s="153">
        <v>7722</v>
      </c>
    </row>
    <row r="104" spans="1:8" x14ac:dyDescent="0.2">
      <c r="A104" s="225" t="s">
        <v>16554</v>
      </c>
      <c r="B104" s="225" t="s">
        <v>16596</v>
      </c>
      <c r="C104" s="225" t="s">
        <v>16595</v>
      </c>
      <c r="D104" s="225" t="s">
        <v>11233</v>
      </c>
      <c r="E104" s="226">
        <v>42.25</v>
      </c>
      <c r="F104" s="225" t="s">
        <v>11232</v>
      </c>
      <c r="G104" s="225" t="s">
        <v>640</v>
      </c>
      <c r="H104" s="153">
        <v>7723</v>
      </c>
    </row>
    <row r="105" spans="1:8" x14ac:dyDescent="0.2">
      <c r="A105" s="225" t="s">
        <v>16554</v>
      </c>
      <c r="B105" s="225" t="s">
        <v>16594</v>
      </c>
      <c r="C105" s="225" t="s">
        <v>16593</v>
      </c>
      <c r="D105" s="225" t="s">
        <v>5306</v>
      </c>
      <c r="E105" s="226">
        <v>9</v>
      </c>
      <c r="F105" s="225" t="s">
        <v>5307</v>
      </c>
      <c r="G105" s="225" t="s">
        <v>640</v>
      </c>
      <c r="H105" s="153">
        <v>7724</v>
      </c>
    </row>
    <row r="106" spans="1:8" x14ac:dyDescent="0.2">
      <c r="A106" s="225" t="s">
        <v>16554</v>
      </c>
      <c r="B106" s="225" t="s">
        <v>16592</v>
      </c>
      <c r="C106" s="225" t="s">
        <v>16591</v>
      </c>
      <c r="D106" s="225" t="s">
        <v>4826</v>
      </c>
      <c r="E106" s="226">
        <v>5.86</v>
      </c>
      <c r="F106" s="225" t="s">
        <v>4827</v>
      </c>
      <c r="G106" s="225" t="s">
        <v>640</v>
      </c>
      <c r="H106" s="153">
        <v>7725</v>
      </c>
    </row>
    <row r="107" spans="1:8" x14ac:dyDescent="0.2">
      <c r="A107" s="225" t="s">
        <v>16554</v>
      </c>
      <c r="B107" s="225" t="s">
        <v>16590</v>
      </c>
      <c r="C107" s="225" t="s">
        <v>16589</v>
      </c>
      <c r="D107" s="225" t="s">
        <v>1030</v>
      </c>
      <c r="E107" s="226">
        <v>16.52</v>
      </c>
      <c r="F107" s="225" t="s">
        <v>1029</v>
      </c>
      <c r="G107" s="225" t="s">
        <v>640</v>
      </c>
      <c r="H107" s="153">
        <v>7726</v>
      </c>
    </row>
    <row r="108" spans="1:8" x14ac:dyDescent="0.2">
      <c r="A108" s="225" t="s">
        <v>16554</v>
      </c>
      <c r="B108" s="225" t="s">
        <v>16588</v>
      </c>
      <c r="C108" s="225" t="s">
        <v>16587</v>
      </c>
      <c r="D108" s="225" t="s">
        <v>4361</v>
      </c>
      <c r="E108" s="226">
        <v>10.72</v>
      </c>
      <c r="F108" s="225" t="s">
        <v>4362</v>
      </c>
      <c r="G108" s="225" t="s">
        <v>640</v>
      </c>
      <c r="H108" s="153">
        <v>7727</v>
      </c>
    </row>
    <row r="109" spans="1:8" x14ac:dyDescent="0.2">
      <c r="A109" s="225" t="s">
        <v>16554</v>
      </c>
      <c r="B109" s="225" t="s">
        <v>16586</v>
      </c>
      <c r="C109" s="225" t="s">
        <v>16585</v>
      </c>
      <c r="D109" s="225" t="s">
        <v>3720</v>
      </c>
      <c r="E109" s="226">
        <v>1.83</v>
      </c>
      <c r="F109" s="225" t="s">
        <v>3721</v>
      </c>
      <c r="G109" s="225" t="s">
        <v>640</v>
      </c>
      <c r="H109" s="153">
        <v>7728</v>
      </c>
    </row>
    <row r="110" spans="1:8" x14ac:dyDescent="0.2">
      <c r="A110" s="225" t="s">
        <v>16554</v>
      </c>
      <c r="B110" s="225" t="s">
        <v>16584</v>
      </c>
      <c r="C110" s="225" t="s">
        <v>16583</v>
      </c>
      <c r="D110" s="225" t="s">
        <v>660</v>
      </c>
      <c r="E110" s="226">
        <v>6.51</v>
      </c>
      <c r="F110" s="225" t="s">
        <v>659</v>
      </c>
      <c r="G110" s="225" t="s">
        <v>640</v>
      </c>
      <c r="H110" s="153">
        <v>7729</v>
      </c>
    </row>
    <row r="111" spans="1:8" x14ac:dyDescent="0.2">
      <c r="A111" s="225" t="s">
        <v>16554</v>
      </c>
      <c r="B111" s="225" t="s">
        <v>16582</v>
      </c>
      <c r="C111" s="225" t="s">
        <v>16581</v>
      </c>
      <c r="D111" s="225" t="s">
        <v>10917</v>
      </c>
      <c r="E111" s="226">
        <v>4.3600000000000003</v>
      </c>
      <c r="F111" s="225" t="s">
        <v>10916</v>
      </c>
      <c r="G111" s="225" t="s">
        <v>640</v>
      </c>
      <c r="H111" s="153">
        <v>7730</v>
      </c>
    </row>
    <row r="112" spans="1:8" x14ac:dyDescent="0.2">
      <c r="A112" s="225" t="s">
        <v>16554</v>
      </c>
      <c r="B112" s="225" t="s">
        <v>16580</v>
      </c>
      <c r="C112" s="225" t="s">
        <v>16579</v>
      </c>
      <c r="D112" s="225" t="s">
        <v>16578</v>
      </c>
      <c r="E112" s="226">
        <v>14.99</v>
      </c>
      <c r="F112" s="225" t="s">
        <v>16577</v>
      </c>
      <c r="G112" s="225" t="s">
        <v>640</v>
      </c>
      <c r="H112" s="153">
        <v>7731</v>
      </c>
    </row>
    <row r="113" spans="1:8" x14ac:dyDescent="0.2">
      <c r="A113" s="225" t="s">
        <v>16554</v>
      </c>
      <c r="B113" s="225" t="s">
        <v>16576</v>
      </c>
      <c r="C113" s="225" t="s">
        <v>16575</v>
      </c>
      <c r="D113" s="225" t="s">
        <v>1220</v>
      </c>
      <c r="E113" s="226">
        <v>14.47</v>
      </c>
      <c r="F113" s="225" t="s">
        <v>1219</v>
      </c>
      <c r="G113" s="225" t="s">
        <v>640</v>
      </c>
      <c r="H113" s="153">
        <v>7732</v>
      </c>
    </row>
    <row r="114" spans="1:8" x14ac:dyDescent="0.2">
      <c r="A114" s="225" t="s">
        <v>16554</v>
      </c>
      <c r="B114" s="225" t="s">
        <v>16574</v>
      </c>
      <c r="C114" s="225" t="s">
        <v>16573</v>
      </c>
      <c r="D114" s="225" t="s">
        <v>1016</v>
      </c>
      <c r="E114" s="226">
        <v>8.3800000000000008</v>
      </c>
      <c r="F114" s="225" t="s">
        <v>1015</v>
      </c>
      <c r="G114" s="225" t="s">
        <v>640</v>
      </c>
      <c r="H114" s="153">
        <v>7733</v>
      </c>
    </row>
    <row r="115" spans="1:8" x14ac:dyDescent="0.2">
      <c r="A115" s="225" t="s">
        <v>16554</v>
      </c>
      <c r="B115" s="225" t="s">
        <v>16572</v>
      </c>
      <c r="C115" s="225" t="s">
        <v>16571</v>
      </c>
      <c r="D115" s="225" t="s">
        <v>6054</v>
      </c>
      <c r="E115" s="226">
        <v>0.15</v>
      </c>
      <c r="F115" s="225" t="s">
        <v>6055</v>
      </c>
      <c r="G115" s="225" t="s">
        <v>640</v>
      </c>
      <c r="H115" s="153">
        <v>7734</v>
      </c>
    </row>
    <row r="116" spans="1:8" x14ac:dyDescent="0.2">
      <c r="A116" s="225" t="s">
        <v>16554</v>
      </c>
      <c r="B116" s="225" t="s">
        <v>16570</v>
      </c>
      <c r="C116" s="225" t="s">
        <v>16569</v>
      </c>
      <c r="D116" s="225" t="s">
        <v>1291</v>
      </c>
      <c r="E116" s="226">
        <v>2.0299999999999998</v>
      </c>
      <c r="F116" s="225" t="s">
        <v>1290</v>
      </c>
      <c r="G116" s="225" t="s">
        <v>640</v>
      </c>
      <c r="H116" s="153">
        <v>7735</v>
      </c>
    </row>
    <row r="117" spans="1:8" x14ac:dyDescent="0.2">
      <c r="A117" s="225" t="s">
        <v>16554</v>
      </c>
      <c r="B117" s="225" t="s">
        <v>16568</v>
      </c>
      <c r="C117" s="225" t="s">
        <v>16567</v>
      </c>
      <c r="D117" s="225" t="s">
        <v>881</v>
      </c>
      <c r="E117" s="226">
        <v>2.14</v>
      </c>
      <c r="F117" s="225" t="s">
        <v>880</v>
      </c>
      <c r="G117" s="225" t="s">
        <v>640</v>
      </c>
      <c r="H117" s="153">
        <v>7737</v>
      </c>
    </row>
    <row r="118" spans="1:8" x14ac:dyDescent="0.2">
      <c r="A118" s="225" t="s">
        <v>16554</v>
      </c>
      <c r="B118" s="225" t="s">
        <v>16566</v>
      </c>
      <c r="C118" s="225" t="s">
        <v>16565</v>
      </c>
      <c r="D118" s="225" t="s">
        <v>666</v>
      </c>
      <c r="E118" s="226">
        <v>6.76</v>
      </c>
      <c r="F118" s="225" t="s">
        <v>665</v>
      </c>
      <c r="G118" s="225" t="s">
        <v>640</v>
      </c>
      <c r="H118" s="153">
        <v>7738</v>
      </c>
    </row>
    <row r="119" spans="1:8" x14ac:dyDescent="0.2">
      <c r="A119" s="225" t="s">
        <v>16554</v>
      </c>
      <c r="B119" s="225" t="s">
        <v>16564</v>
      </c>
      <c r="C119" s="225" t="s">
        <v>16563</v>
      </c>
      <c r="D119" s="225" t="s">
        <v>749</v>
      </c>
      <c r="E119" s="226">
        <v>6.46</v>
      </c>
      <c r="F119" s="225" t="s">
        <v>748</v>
      </c>
      <c r="G119" s="225" t="s">
        <v>640</v>
      </c>
      <c r="H119" s="153">
        <v>7739</v>
      </c>
    </row>
    <row r="120" spans="1:8" x14ac:dyDescent="0.2">
      <c r="A120" s="225" t="s">
        <v>16554</v>
      </c>
      <c r="B120" s="225" t="s">
        <v>16562</v>
      </c>
      <c r="C120" s="225" t="s">
        <v>16561</v>
      </c>
      <c r="D120" s="225" t="s">
        <v>4498</v>
      </c>
      <c r="E120" s="226">
        <v>1.68</v>
      </c>
      <c r="F120" s="225" t="s">
        <v>4499</v>
      </c>
      <c r="G120" s="225" t="s">
        <v>640</v>
      </c>
      <c r="H120" s="153">
        <v>7740</v>
      </c>
    </row>
    <row r="121" spans="1:8" x14ac:dyDescent="0.2">
      <c r="A121" s="225" t="s">
        <v>16554</v>
      </c>
      <c r="B121" s="225" t="s">
        <v>16560</v>
      </c>
      <c r="C121" s="225" t="s">
        <v>16559</v>
      </c>
      <c r="D121" s="225" t="s">
        <v>4371</v>
      </c>
      <c r="E121" s="226">
        <v>7.05</v>
      </c>
      <c r="F121" s="225" t="s">
        <v>4372</v>
      </c>
      <c r="G121" s="225" t="s">
        <v>640</v>
      </c>
      <c r="H121" s="153">
        <v>7741</v>
      </c>
    </row>
    <row r="122" spans="1:8" x14ac:dyDescent="0.2">
      <c r="A122" s="225" t="s">
        <v>16554</v>
      </c>
      <c r="B122" s="225" t="s">
        <v>16558</v>
      </c>
      <c r="C122" s="225" t="s">
        <v>16557</v>
      </c>
      <c r="D122" s="225" t="s">
        <v>668</v>
      </c>
      <c r="E122" s="226">
        <v>1.68</v>
      </c>
      <c r="F122" s="225" t="s">
        <v>667</v>
      </c>
      <c r="G122" s="225" t="s">
        <v>640</v>
      </c>
      <c r="H122" s="153">
        <v>7742</v>
      </c>
    </row>
    <row r="123" spans="1:8" x14ac:dyDescent="0.2">
      <c r="A123" s="225" t="s">
        <v>16554</v>
      </c>
      <c r="B123" s="225" t="s">
        <v>16556</v>
      </c>
      <c r="C123" s="225" t="s">
        <v>16555</v>
      </c>
      <c r="D123" s="225" t="s">
        <v>10536</v>
      </c>
      <c r="E123" s="226">
        <v>3.63</v>
      </c>
      <c r="F123" s="225" t="s">
        <v>10535</v>
      </c>
      <c r="G123" s="225" t="s">
        <v>640</v>
      </c>
      <c r="H123" s="153">
        <v>7743</v>
      </c>
    </row>
    <row r="124" spans="1:8" x14ac:dyDescent="0.2">
      <c r="A124" s="225" t="s">
        <v>16554</v>
      </c>
      <c r="B124" s="225" t="s">
        <v>16553</v>
      </c>
      <c r="C124" s="225" t="s">
        <v>16552</v>
      </c>
      <c r="D124" s="225" t="s">
        <v>1048</v>
      </c>
      <c r="E124" s="226">
        <v>11.49</v>
      </c>
      <c r="F124" s="225" t="s">
        <v>1047</v>
      </c>
      <c r="G124" s="225" t="s">
        <v>640</v>
      </c>
      <c r="H124" s="153">
        <v>7744</v>
      </c>
    </row>
    <row r="125" spans="1:8" x14ac:dyDescent="0.2">
      <c r="A125" s="225"/>
      <c r="B125" s="225"/>
      <c r="C125" s="227" t="s">
        <v>3738</v>
      </c>
      <c r="E125" s="278">
        <f>SUM(E101:E124)</f>
        <v>189.63000000000002</v>
      </c>
      <c r="F125" s="225"/>
      <c r="G125" s="225"/>
      <c r="H125" s="153"/>
    </row>
    <row r="126" spans="1:8" x14ac:dyDescent="0.2">
      <c r="A126" s="225" t="s">
        <v>16506</v>
      </c>
      <c r="B126" s="225" t="s">
        <v>16551</v>
      </c>
      <c r="C126" s="225" t="s">
        <v>16550</v>
      </c>
      <c r="D126" s="225" t="s">
        <v>4856</v>
      </c>
      <c r="E126" s="226">
        <v>1.85</v>
      </c>
      <c r="F126" s="225" t="s">
        <v>4857</v>
      </c>
      <c r="G126" s="225" t="s">
        <v>640</v>
      </c>
      <c r="H126" s="153">
        <v>7977</v>
      </c>
    </row>
    <row r="127" spans="1:8" x14ac:dyDescent="0.2">
      <c r="A127" s="225" t="s">
        <v>16506</v>
      </c>
      <c r="B127" s="225" t="s">
        <v>16549</v>
      </c>
      <c r="C127" s="225" t="s">
        <v>16548</v>
      </c>
      <c r="D127" s="225" t="s">
        <v>1235</v>
      </c>
      <c r="E127" s="226">
        <v>2.0699999999999998</v>
      </c>
      <c r="F127" s="225" t="s">
        <v>1234</v>
      </c>
      <c r="G127" s="225" t="s">
        <v>640</v>
      </c>
      <c r="H127" s="153">
        <v>7978</v>
      </c>
    </row>
    <row r="128" spans="1:8" x14ac:dyDescent="0.2">
      <c r="A128" s="225" t="s">
        <v>16506</v>
      </c>
      <c r="B128" s="225" t="s">
        <v>16547</v>
      </c>
      <c r="C128" s="225" t="s">
        <v>16546</v>
      </c>
      <c r="D128" s="225" t="s">
        <v>4815</v>
      </c>
      <c r="E128" s="226">
        <v>6.13</v>
      </c>
      <c r="F128" s="225" t="s">
        <v>4816</v>
      </c>
      <c r="G128" s="225" t="s">
        <v>640</v>
      </c>
      <c r="H128" s="153">
        <v>7979</v>
      </c>
    </row>
    <row r="129" spans="1:8" x14ac:dyDescent="0.2">
      <c r="A129" s="225" t="s">
        <v>16506</v>
      </c>
      <c r="B129" s="225" t="s">
        <v>16545</v>
      </c>
      <c r="C129" s="225" t="s">
        <v>16544</v>
      </c>
      <c r="D129" s="225" t="s">
        <v>6058</v>
      </c>
      <c r="E129" s="226">
        <v>3.93</v>
      </c>
      <c r="F129" s="225" t="s">
        <v>6059</v>
      </c>
      <c r="G129" s="225" t="s">
        <v>640</v>
      </c>
      <c r="H129" s="153">
        <v>7980</v>
      </c>
    </row>
    <row r="130" spans="1:8" x14ac:dyDescent="0.2">
      <c r="A130" s="225" t="s">
        <v>16506</v>
      </c>
      <c r="B130" s="225" t="s">
        <v>16543</v>
      </c>
      <c r="C130" s="225" t="s">
        <v>16542</v>
      </c>
      <c r="D130" s="225" t="s">
        <v>757</v>
      </c>
      <c r="E130" s="226">
        <v>19.920000000000002</v>
      </c>
      <c r="F130" s="225" t="s">
        <v>756</v>
      </c>
      <c r="G130" s="225" t="s">
        <v>640</v>
      </c>
      <c r="H130" s="153">
        <v>7981</v>
      </c>
    </row>
    <row r="131" spans="1:8" x14ac:dyDescent="0.2">
      <c r="A131" s="225" t="s">
        <v>16506</v>
      </c>
      <c r="B131" s="225" t="s">
        <v>2836</v>
      </c>
      <c r="C131" s="225" t="s">
        <v>16541</v>
      </c>
      <c r="D131" s="225" t="s">
        <v>16540</v>
      </c>
      <c r="E131" s="226">
        <v>0.53</v>
      </c>
      <c r="F131" s="225" t="s">
        <v>16539</v>
      </c>
      <c r="G131" s="225" t="s">
        <v>640</v>
      </c>
      <c r="H131" s="153">
        <v>7982</v>
      </c>
    </row>
    <row r="132" spans="1:8" x14ac:dyDescent="0.2">
      <c r="A132" s="225" t="s">
        <v>16506</v>
      </c>
      <c r="B132" s="225" t="s">
        <v>16538</v>
      </c>
      <c r="C132" s="225" t="s">
        <v>16537</v>
      </c>
      <c r="D132" s="225" t="s">
        <v>898</v>
      </c>
      <c r="E132" s="226">
        <v>10.36</v>
      </c>
      <c r="F132" s="225" t="s">
        <v>897</v>
      </c>
      <c r="G132" s="225" t="s">
        <v>640</v>
      </c>
      <c r="H132" s="153">
        <v>7983</v>
      </c>
    </row>
    <row r="133" spans="1:8" x14ac:dyDescent="0.2">
      <c r="A133" s="225" t="s">
        <v>16506</v>
      </c>
      <c r="B133" s="225" t="s">
        <v>16536</v>
      </c>
      <c r="C133" s="225" t="s">
        <v>16535</v>
      </c>
      <c r="D133" s="225" t="s">
        <v>899</v>
      </c>
      <c r="E133" s="226">
        <v>5.04</v>
      </c>
      <c r="F133" s="225" t="s">
        <v>897</v>
      </c>
      <c r="G133" s="225" t="s">
        <v>640</v>
      </c>
      <c r="H133" s="153">
        <v>7984</v>
      </c>
    </row>
    <row r="134" spans="1:8" x14ac:dyDescent="0.2">
      <c r="A134" s="225" t="s">
        <v>16506</v>
      </c>
      <c r="B134" s="225" t="s">
        <v>16534</v>
      </c>
      <c r="C134" s="225" t="s">
        <v>16533</v>
      </c>
      <c r="D134" s="225" t="s">
        <v>1405</v>
      </c>
      <c r="E134" s="226">
        <v>5.68</v>
      </c>
      <c r="F134" s="225" t="s">
        <v>1404</v>
      </c>
      <c r="G134" s="225" t="s">
        <v>640</v>
      </c>
      <c r="H134" s="153">
        <v>7985</v>
      </c>
    </row>
    <row r="135" spans="1:8" x14ac:dyDescent="0.2">
      <c r="A135" s="225" t="s">
        <v>16506</v>
      </c>
      <c r="B135" s="225" t="s">
        <v>16532</v>
      </c>
      <c r="C135" s="225" t="s">
        <v>16531</v>
      </c>
      <c r="D135" s="225" t="s">
        <v>4797</v>
      </c>
      <c r="E135" s="226">
        <v>7.07</v>
      </c>
      <c r="F135" s="225" t="s">
        <v>4798</v>
      </c>
      <c r="G135" s="225" t="s">
        <v>640</v>
      </c>
      <c r="H135" s="153">
        <v>7986</v>
      </c>
    </row>
    <row r="136" spans="1:8" x14ac:dyDescent="0.2">
      <c r="A136" s="225" t="s">
        <v>16506</v>
      </c>
      <c r="B136" s="225" t="s">
        <v>16530</v>
      </c>
      <c r="C136" s="225" t="s">
        <v>16529</v>
      </c>
      <c r="D136" s="225" t="s">
        <v>11208</v>
      </c>
      <c r="E136" s="226">
        <v>8.92</v>
      </c>
      <c r="F136" s="225" t="s">
        <v>11207</v>
      </c>
      <c r="G136" s="225" t="s">
        <v>640</v>
      </c>
      <c r="H136" s="153">
        <v>7987</v>
      </c>
    </row>
    <row r="137" spans="1:8" x14ac:dyDescent="0.2">
      <c r="A137" s="225" t="s">
        <v>16506</v>
      </c>
      <c r="B137" s="225" t="s">
        <v>16528</v>
      </c>
      <c r="C137" s="225" t="s">
        <v>16527</v>
      </c>
      <c r="D137" s="225" t="s">
        <v>871</v>
      </c>
      <c r="E137" s="226">
        <v>10.66</v>
      </c>
      <c r="F137" s="225" t="s">
        <v>870</v>
      </c>
      <c r="G137" s="225" t="s">
        <v>640</v>
      </c>
      <c r="H137" s="153">
        <v>7988</v>
      </c>
    </row>
    <row r="138" spans="1:8" x14ac:dyDescent="0.2">
      <c r="A138" s="225" t="s">
        <v>16506</v>
      </c>
      <c r="B138" s="225" t="s">
        <v>16526</v>
      </c>
      <c r="C138" s="225" t="s">
        <v>16525</v>
      </c>
      <c r="D138" s="225" t="s">
        <v>3597</v>
      </c>
      <c r="E138" s="226">
        <v>1.68</v>
      </c>
      <c r="F138" s="225" t="s">
        <v>3598</v>
      </c>
      <c r="G138" s="225" t="s">
        <v>640</v>
      </c>
      <c r="H138" s="153">
        <v>7989</v>
      </c>
    </row>
    <row r="139" spans="1:8" x14ac:dyDescent="0.2">
      <c r="A139" s="225" t="s">
        <v>16506</v>
      </c>
      <c r="B139" s="225" t="s">
        <v>16524</v>
      </c>
      <c r="C139" s="225" t="s">
        <v>16523</v>
      </c>
      <c r="D139" s="225" t="s">
        <v>968</v>
      </c>
      <c r="E139" s="226">
        <v>2.39</v>
      </c>
      <c r="F139" s="225" t="s">
        <v>967</v>
      </c>
      <c r="G139" s="225" t="s">
        <v>640</v>
      </c>
      <c r="H139" s="153">
        <v>7990</v>
      </c>
    </row>
    <row r="140" spans="1:8" x14ac:dyDescent="0.2">
      <c r="A140" s="225" t="s">
        <v>16506</v>
      </c>
      <c r="B140" s="225" t="s">
        <v>16522</v>
      </c>
      <c r="C140" s="225" t="s">
        <v>16521</v>
      </c>
      <c r="D140" s="225" t="s">
        <v>16520</v>
      </c>
      <c r="E140" s="226">
        <v>13.18</v>
      </c>
      <c r="F140" s="225" t="s">
        <v>16519</v>
      </c>
      <c r="G140" s="225" t="s">
        <v>640</v>
      </c>
      <c r="H140" s="153">
        <v>7991</v>
      </c>
    </row>
    <row r="141" spans="1:8" x14ac:dyDescent="0.2">
      <c r="A141" s="225" t="s">
        <v>16506</v>
      </c>
      <c r="B141" s="225" t="s">
        <v>16518</v>
      </c>
      <c r="C141" s="225" t="s">
        <v>16517</v>
      </c>
      <c r="D141" s="225" t="s">
        <v>3637</v>
      </c>
      <c r="E141" s="226">
        <v>5.98</v>
      </c>
      <c r="F141" s="225" t="s">
        <v>3638</v>
      </c>
      <c r="G141" s="225" t="s">
        <v>640</v>
      </c>
      <c r="H141" s="153">
        <v>7992</v>
      </c>
    </row>
    <row r="142" spans="1:8" x14ac:dyDescent="0.2">
      <c r="A142" s="225" t="s">
        <v>16506</v>
      </c>
      <c r="B142" s="225" t="s">
        <v>16516</v>
      </c>
      <c r="C142" s="225" t="s">
        <v>16515</v>
      </c>
      <c r="D142" s="225" t="s">
        <v>827</v>
      </c>
      <c r="E142" s="226">
        <v>5.1100000000000003</v>
      </c>
      <c r="F142" s="225" t="s">
        <v>826</v>
      </c>
      <c r="G142" s="225" t="s">
        <v>640</v>
      </c>
      <c r="H142" s="153">
        <v>7993</v>
      </c>
    </row>
    <row r="143" spans="1:8" x14ac:dyDescent="0.2">
      <c r="A143" s="225" t="s">
        <v>16506</v>
      </c>
      <c r="B143" s="225" t="s">
        <v>16514</v>
      </c>
      <c r="C143" s="225" t="s">
        <v>16513</v>
      </c>
      <c r="D143" s="225" t="s">
        <v>3911</v>
      </c>
      <c r="E143" s="226">
        <v>30.26</v>
      </c>
      <c r="F143" s="225" t="s">
        <v>3912</v>
      </c>
      <c r="G143" s="225" t="s">
        <v>640</v>
      </c>
      <c r="H143" s="153">
        <v>7994</v>
      </c>
    </row>
    <row r="144" spans="1:8" x14ac:dyDescent="0.2">
      <c r="A144" s="225" t="s">
        <v>16506</v>
      </c>
      <c r="B144" s="225" t="s">
        <v>16512</v>
      </c>
      <c r="C144" s="225" t="s">
        <v>16511</v>
      </c>
      <c r="D144" s="225" t="s">
        <v>999</v>
      </c>
      <c r="E144" s="226">
        <v>2.4900000000000002</v>
      </c>
      <c r="F144" s="225" t="s">
        <v>998</v>
      </c>
      <c r="G144" s="225" t="s">
        <v>640</v>
      </c>
      <c r="H144" s="153">
        <v>7995</v>
      </c>
    </row>
    <row r="145" spans="1:8" x14ac:dyDescent="0.2">
      <c r="A145" s="225" t="s">
        <v>16506</v>
      </c>
      <c r="B145" s="225" t="s">
        <v>16510</v>
      </c>
      <c r="C145" s="225" t="s">
        <v>16509</v>
      </c>
      <c r="D145" s="225" t="s">
        <v>3625</v>
      </c>
      <c r="E145" s="226">
        <v>5.54</v>
      </c>
      <c r="F145" s="225" t="s">
        <v>3626</v>
      </c>
      <c r="G145" s="225" t="s">
        <v>640</v>
      </c>
      <c r="H145" s="153">
        <v>7996</v>
      </c>
    </row>
    <row r="146" spans="1:8" x14ac:dyDescent="0.2">
      <c r="A146" s="225" t="s">
        <v>16506</v>
      </c>
      <c r="B146" s="225" t="s">
        <v>16508</v>
      </c>
      <c r="C146" s="225" t="s">
        <v>16507</v>
      </c>
      <c r="D146" s="225" t="s">
        <v>4494</v>
      </c>
      <c r="E146" s="226">
        <v>4.1900000000000004</v>
      </c>
      <c r="F146" s="225" t="s">
        <v>4495</v>
      </c>
      <c r="G146" s="225" t="s">
        <v>640</v>
      </c>
      <c r="H146" s="153">
        <v>7997</v>
      </c>
    </row>
    <row r="147" spans="1:8" x14ac:dyDescent="0.2">
      <c r="A147" s="225" t="s">
        <v>16506</v>
      </c>
      <c r="B147" s="225" t="s">
        <v>16505</v>
      </c>
      <c r="C147" s="225" t="s">
        <v>16504</v>
      </c>
      <c r="D147" s="225" t="s">
        <v>4194</v>
      </c>
      <c r="E147" s="226">
        <v>2.5099999999999998</v>
      </c>
      <c r="F147" s="225" t="s">
        <v>4195</v>
      </c>
      <c r="G147" s="225" t="s">
        <v>640</v>
      </c>
      <c r="H147" s="153">
        <v>7998</v>
      </c>
    </row>
    <row r="148" spans="1:8" x14ac:dyDescent="0.2">
      <c r="A148" s="225"/>
      <c r="B148" s="225"/>
      <c r="C148" s="227" t="s">
        <v>3738</v>
      </c>
      <c r="E148" s="278">
        <f>SUM(E126:E147)</f>
        <v>155.48999999999998</v>
      </c>
      <c r="F148" s="225"/>
      <c r="G148" s="225"/>
      <c r="H148" s="153"/>
    </row>
    <row r="149" spans="1:8" x14ac:dyDescent="0.2">
      <c r="A149" s="225" t="s">
        <v>16460</v>
      </c>
      <c r="B149" s="225" t="s">
        <v>16503</v>
      </c>
      <c r="C149" s="225" t="s">
        <v>16502</v>
      </c>
      <c r="D149" s="225" t="s">
        <v>1201</v>
      </c>
      <c r="E149" s="226">
        <v>1.68</v>
      </c>
      <c r="F149" s="225" t="s">
        <v>1200</v>
      </c>
      <c r="G149" s="225" t="s">
        <v>640</v>
      </c>
      <c r="H149" s="153">
        <v>8058</v>
      </c>
    </row>
    <row r="150" spans="1:8" x14ac:dyDescent="0.2">
      <c r="A150" s="225" t="s">
        <v>16460</v>
      </c>
      <c r="B150" s="225" t="s">
        <v>16501</v>
      </c>
      <c r="C150" s="225" t="s">
        <v>16500</v>
      </c>
      <c r="D150" s="225" t="s">
        <v>832</v>
      </c>
      <c r="E150" s="226">
        <v>3.45</v>
      </c>
      <c r="F150" s="225" t="s">
        <v>831</v>
      </c>
      <c r="G150" s="225" t="s">
        <v>640</v>
      </c>
      <c r="H150" s="153">
        <v>8059</v>
      </c>
    </row>
    <row r="151" spans="1:8" x14ac:dyDescent="0.2">
      <c r="A151" s="225" t="s">
        <v>16460</v>
      </c>
      <c r="B151" s="225" t="s">
        <v>16499</v>
      </c>
      <c r="C151" s="225" t="s">
        <v>16498</v>
      </c>
      <c r="D151" s="225" t="s">
        <v>1150</v>
      </c>
      <c r="E151" s="226">
        <v>1.68</v>
      </c>
      <c r="F151" s="225" t="s">
        <v>1149</v>
      </c>
      <c r="G151" s="225" t="s">
        <v>640</v>
      </c>
      <c r="H151" s="153">
        <v>8064</v>
      </c>
    </row>
    <row r="152" spans="1:8" x14ac:dyDescent="0.2">
      <c r="A152" s="225" t="s">
        <v>16460</v>
      </c>
      <c r="B152" s="225" t="s">
        <v>16497</v>
      </c>
      <c r="C152" s="225" t="s">
        <v>16496</v>
      </c>
      <c r="D152" s="225" t="s">
        <v>1050</v>
      </c>
      <c r="E152" s="226">
        <v>1.85</v>
      </c>
      <c r="F152" s="225" t="s">
        <v>1049</v>
      </c>
      <c r="G152" s="225" t="s">
        <v>640</v>
      </c>
      <c r="H152" s="153">
        <v>8066</v>
      </c>
    </row>
    <row r="153" spans="1:8" x14ac:dyDescent="0.2">
      <c r="A153" s="225" t="s">
        <v>16460</v>
      </c>
      <c r="B153" s="225" t="s">
        <v>16495</v>
      </c>
      <c r="C153" s="225" t="s">
        <v>16494</v>
      </c>
      <c r="D153" s="225" t="s">
        <v>6072</v>
      </c>
      <c r="E153" s="226">
        <v>4.21</v>
      </c>
      <c r="F153" s="225" t="s">
        <v>6073</v>
      </c>
      <c r="G153" s="225" t="s">
        <v>640</v>
      </c>
      <c r="H153" s="153">
        <v>8068</v>
      </c>
    </row>
    <row r="154" spans="1:8" x14ac:dyDescent="0.2">
      <c r="A154" s="225" t="s">
        <v>16460</v>
      </c>
      <c r="B154" s="225" t="s">
        <v>16493</v>
      </c>
      <c r="C154" s="225" t="s">
        <v>16492</v>
      </c>
      <c r="D154" s="225" t="s">
        <v>5121</v>
      </c>
      <c r="E154" s="226">
        <v>64.540000000000006</v>
      </c>
      <c r="F154" s="225" t="s">
        <v>5122</v>
      </c>
      <c r="G154" s="225" t="s">
        <v>640</v>
      </c>
      <c r="H154" s="153">
        <v>8070</v>
      </c>
    </row>
    <row r="155" spans="1:8" x14ac:dyDescent="0.2">
      <c r="A155" s="225" t="s">
        <v>16460</v>
      </c>
      <c r="B155" s="225" t="s">
        <v>16491</v>
      </c>
      <c r="C155" s="225" t="s">
        <v>16490</v>
      </c>
      <c r="D155" s="225" t="s">
        <v>16489</v>
      </c>
      <c r="E155" s="226">
        <v>1.38</v>
      </c>
      <c r="F155" s="225" t="s">
        <v>16488</v>
      </c>
      <c r="G155" s="225" t="s">
        <v>640</v>
      </c>
      <c r="H155" s="153">
        <v>8085</v>
      </c>
    </row>
    <row r="156" spans="1:8" x14ac:dyDescent="0.2">
      <c r="A156" s="225" t="s">
        <v>16460</v>
      </c>
      <c r="B156" s="225" t="s">
        <v>16487</v>
      </c>
      <c r="C156" s="225" t="s">
        <v>16486</v>
      </c>
      <c r="D156" s="225" t="s">
        <v>10715</v>
      </c>
      <c r="E156" s="226">
        <v>0.16</v>
      </c>
      <c r="F156" s="225" t="s">
        <v>10714</v>
      </c>
      <c r="G156" s="225" t="s">
        <v>640</v>
      </c>
      <c r="H156" s="153">
        <v>8086</v>
      </c>
    </row>
    <row r="157" spans="1:8" x14ac:dyDescent="0.2">
      <c r="A157" s="225" t="s">
        <v>16460</v>
      </c>
      <c r="B157" s="225" t="s">
        <v>16485</v>
      </c>
      <c r="C157" s="225" t="s">
        <v>16484</v>
      </c>
      <c r="D157" s="225" t="s">
        <v>950</v>
      </c>
      <c r="E157" s="226">
        <v>1.69</v>
      </c>
      <c r="F157" s="225" t="s">
        <v>949</v>
      </c>
      <c r="G157" s="225" t="s">
        <v>640</v>
      </c>
      <c r="H157" s="153">
        <v>8087</v>
      </c>
    </row>
    <row r="158" spans="1:8" x14ac:dyDescent="0.2">
      <c r="A158" s="225" t="s">
        <v>16460</v>
      </c>
      <c r="B158" s="225" t="s">
        <v>16483</v>
      </c>
      <c r="C158" s="225" t="s">
        <v>16482</v>
      </c>
      <c r="D158" s="225" t="s">
        <v>792</v>
      </c>
      <c r="E158" s="226">
        <v>9.49</v>
      </c>
      <c r="F158" s="225" t="s">
        <v>791</v>
      </c>
      <c r="G158" s="225" t="s">
        <v>640</v>
      </c>
      <c r="H158" s="153">
        <v>8088</v>
      </c>
    </row>
    <row r="159" spans="1:8" x14ac:dyDescent="0.2">
      <c r="A159" s="225" t="s">
        <v>16460</v>
      </c>
      <c r="B159" s="225" t="s">
        <v>16481</v>
      </c>
      <c r="C159" s="225" t="s">
        <v>16480</v>
      </c>
      <c r="D159" s="225" t="s">
        <v>1182</v>
      </c>
      <c r="E159" s="226">
        <v>8.3800000000000008</v>
      </c>
      <c r="F159" s="225" t="s">
        <v>1181</v>
      </c>
      <c r="G159" s="225" t="s">
        <v>640</v>
      </c>
      <c r="H159" s="153">
        <v>8089</v>
      </c>
    </row>
    <row r="160" spans="1:8" x14ac:dyDescent="0.2">
      <c r="A160" s="225" t="s">
        <v>16460</v>
      </c>
      <c r="B160" s="225" t="s">
        <v>16479</v>
      </c>
      <c r="C160" s="225" t="s">
        <v>16478</v>
      </c>
      <c r="D160" s="225" t="s">
        <v>741</v>
      </c>
      <c r="E160" s="226">
        <v>3.01</v>
      </c>
      <c r="F160" s="225" t="s">
        <v>740</v>
      </c>
      <c r="G160" s="225" t="s">
        <v>640</v>
      </c>
      <c r="H160" s="153">
        <v>8090</v>
      </c>
    </row>
    <row r="161" spans="1:8" x14ac:dyDescent="0.2">
      <c r="A161" s="225" t="s">
        <v>16460</v>
      </c>
      <c r="B161" s="225" t="s">
        <v>16477</v>
      </c>
      <c r="C161" s="225" t="s">
        <v>16476</v>
      </c>
      <c r="D161" s="225" t="s">
        <v>15971</v>
      </c>
      <c r="E161" s="226">
        <v>9.93</v>
      </c>
      <c r="F161" s="225" t="s">
        <v>15970</v>
      </c>
      <c r="G161" s="225" t="s">
        <v>640</v>
      </c>
      <c r="H161" s="153">
        <v>8091</v>
      </c>
    </row>
    <row r="162" spans="1:8" x14ac:dyDescent="0.2">
      <c r="A162" s="225" t="s">
        <v>16460</v>
      </c>
      <c r="B162" s="225" t="s">
        <v>16475</v>
      </c>
      <c r="C162" s="225" t="s">
        <v>16474</v>
      </c>
      <c r="D162" s="225" t="s">
        <v>1433</v>
      </c>
      <c r="E162" s="226">
        <v>2</v>
      </c>
      <c r="F162" s="225" t="s">
        <v>1432</v>
      </c>
      <c r="G162" s="225" t="s">
        <v>640</v>
      </c>
      <c r="H162" s="153">
        <v>8092</v>
      </c>
    </row>
    <row r="163" spans="1:8" x14ac:dyDescent="0.2">
      <c r="A163" s="225" t="s">
        <v>16460</v>
      </c>
      <c r="B163" s="225" t="s">
        <v>16473</v>
      </c>
      <c r="C163" s="225" t="s">
        <v>16472</v>
      </c>
      <c r="D163" s="225" t="s">
        <v>6074</v>
      </c>
      <c r="E163" s="226">
        <v>2.2400000000000002</v>
      </c>
      <c r="F163" s="225" t="s">
        <v>16471</v>
      </c>
      <c r="G163" s="225" t="s">
        <v>640</v>
      </c>
      <c r="H163" s="153">
        <v>8093</v>
      </c>
    </row>
    <row r="164" spans="1:8" x14ac:dyDescent="0.2">
      <c r="A164" s="225" t="s">
        <v>16460</v>
      </c>
      <c r="B164" s="225" t="s">
        <v>16470</v>
      </c>
      <c r="C164" s="225" t="s">
        <v>16469</v>
      </c>
      <c r="D164" s="225" t="s">
        <v>1382</v>
      </c>
      <c r="E164" s="226">
        <v>3.91</v>
      </c>
      <c r="F164" s="225" t="s">
        <v>1381</v>
      </c>
      <c r="G164" s="225" t="s">
        <v>640</v>
      </c>
      <c r="H164" s="153">
        <v>8094</v>
      </c>
    </row>
    <row r="165" spans="1:8" x14ac:dyDescent="0.2">
      <c r="A165" s="225" t="s">
        <v>16460</v>
      </c>
      <c r="B165" s="225" t="s">
        <v>16468</v>
      </c>
      <c r="C165" s="225" t="s">
        <v>16467</v>
      </c>
      <c r="D165" s="225" t="s">
        <v>1218</v>
      </c>
      <c r="E165" s="226">
        <v>10.08</v>
      </c>
      <c r="F165" s="225" t="s">
        <v>1217</v>
      </c>
      <c r="G165" s="225" t="s">
        <v>640</v>
      </c>
      <c r="H165" s="153">
        <v>8095</v>
      </c>
    </row>
    <row r="166" spans="1:8" x14ac:dyDescent="0.2">
      <c r="A166" s="225" t="s">
        <v>16460</v>
      </c>
      <c r="B166" s="225" t="s">
        <v>16466</v>
      </c>
      <c r="C166" s="225" t="s">
        <v>16465</v>
      </c>
      <c r="D166" s="225" t="s">
        <v>10542</v>
      </c>
      <c r="E166" s="226">
        <v>1.97</v>
      </c>
      <c r="F166" s="225" t="s">
        <v>10541</v>
      </c>
      <c r="G166" s="225" t="s">
        <v>640</v>
      </c>
      <c r="H166" s="153">
        <v>8096</v>
      </c>
    </row>
    <row r="167" spans="1:8" x14ac:dyDescent="0.2">
      <c r="A167" s="225" t="s">
        <v>16460</v>
      </c>
      <c r="B167" s="225" t="s">
        <v>16464</v>
      </c>
      <c r="C167" s="225" t="s">
        <v>16463</v>
      </c>
      <c r="D167" s="225" t="s">
        <v>3231</v>
      </c>
      <c r="E167" s="226">
        <v>17.18</v>
      </c>
      <c r="F167" s="225" t="s">
        <v>3232</v>
      </c>
      <c r="G167" s="225" t="s">
        <v>640</v>
      </c>
      <c r="H167" s="153">
        <v>8110</v>
      </c>
    </row>
    <row r="168" spans="1:8" x14ac:dyDescent="0.2">
      <c r="A168" s="225" t="s">
        <v>16460</v>
      </c>
      <c r="B168" s="225" t="s">
        <v>16462</v>
      </c>
      <c r="C168" s="225" t="s">
        <v>16461</v>
      </c>
      <c r="D168" s="225" t="s">
        <v>4143</v>
      </c>
      <c r="E168" s="226">
        <v>3.69</v>
      </c>
      <c r="F168" s="225" t="s">
        <v>4140</v>
      </c>
      <c r="G168" s="225" t="s">
        <v>640</v>
      </c>
      <c r="H168" s="153">
        <v>9409</v>
      </c>
    </row>
    <row r="169" spans="1:8" x14ac:dyDescent="0.2">
      <c r="A169" s="225" t="s">
        <v>16460</v>
      </c>
      <c r="B169" s="225" t="s">
        <v>16459</v>
      </c>
      <c r="C169" s="225" t="s">
        <v>16458</v>
      </c>
      <c r="D169" s="225" t="s">
        <v>4139</v>
      </c>
      <c r="E169" s="226">
        <v>4.53</v>
      </c>
      <c r="F169" s="225" t="s">
        <v>4140</v>
      </c>
      <c r="G169" s="225" t="s">
        <v>640</v>
      </c>
      <c r="H169" s="153">
        <v>9408</v>
      </c>
    </row>
    <row r="170" spans="1:8" x14ac:dyDescent="0.2">
      <c r="A170" s="225"/>
      <c r="B170" s="225"/>
      <c r="C170" s="227" t="s">
        <v>3578</v>
      </c>
      <c r="D170" s="225"/>
      <c r="E170" s="278">
        <f>SUM(E149:E169)</f>
        <v>157.04999999999998</v>
      </c>
      <c r="F170" s="225"/>
      <c r="G170" s="225"/>
      <c r="H170" s="153"/>
    </row>
    <row r="171" spans="1:8" x14ac:dyDescent="0.2">
      <c r="A171" s="225" t="s">
        <v>16419</v>
      </c>
      <c r="B171" s="225" t="s">
        <v>16457</v>
      </c>
      <c r="C171" s="225" t="s">
        <v>16456</v>
      </c>
      <c r="D171" s="225" t="s">
        <v>1367</v>
      </c>
      <c r="E171" s="226">
        <v>2.27</v>
      </c>
      <c r="F171" s="225" t="s">
        <v>1366</v>
      </c>
      <c r="G171" s="225" t="s">
        <v>640</v>
      </c>
      <c r="H171" s="153">
        <v>8127</v>
      </c>
    </row>
    <row r="172" spans="1:8" x14ac:dyDescent="0.2">
      <c r="A172" s="225" t="s">
        <v>16419</v>
      </c>
      <c r="B172" s="225" t="s">
        <v>16455</v>
      </c>
      <c r="C172" s="225" t="s">
        <v>16454</v>
      </c>
      <c r="D172" s="225" t="s">
        <v>16453</v>
      </c>
      <c r="E172" s="226">
        <v>7.94</v>
      </c>
      <c r="F172" s="225" t="s">
        <v>16452</v>
      </c>
      <c r="G172" s="225" t="s">
        <v>640</v>
      </c>
      <c r="H172" s="153">
        <v>8128</v>
      </c>
    </row>
    <row r="173" spans="1:8" x14ac:dyDescent="0.2">
      <c r="A173" s="225" t="s">
        <v>16419</v>
      </c>
      <c r="B173" s="225" t="s">
        <v>16451</v>
      </c>
      <c r="C173" s="225" t="s">
        <v>16450</v>
      </c>
      <c r="D173" s="225" t="s">
        <v>3324</v>
      </c>
      <c r="E173" s="226">
        <v>1.68</v>
      </c>
      <c r="F173" s="225" t="s">
        <v>3325</v>
      </c>
      <c r="G173" s="225" t="s">
        <v>640</v>
      </c>
      <c r="H173" s="153">
        <v>8129</v>
      </c>
    </row>
    <row r="174" spans="1:8" x14ac:dyDescent="0.2">
      <c r="A174" s="225" t="s">
        <v>16419</v>
      </c>
      <c r="B174" s="225" t="s">
        <v>16449</v>
      </c>
      <c r="C174" s="225" t="s">
        <v>16448</v>
      </c>
      <c r="D174" s="225" t="s">
        <v>5582</v>
      </c>
      <c r="E174" s="226">
        <v>7.6</v>
      </c>
      <c r="F174" s="225" t="s">
        <v>5583</v>
      </c>
      <c r="G174" s="225" t="s">
        <v>640</v>
      </c>
      <c r="H174" s="153">
        <v>8130</v>
      </c>
    </row>
    <row r="175" spans="1:8" x14ac:dyDescent="0.2">
      <c r="A175" s="225" t="s">
        <v>16419</v>
      </c>
      <c r="B175" s="225" t="s">
        <v>16447</v>
      </c>
      <c r="C175" s="225" t="s">
        <v>16446</v>
      </c>
      <c r="D175" s="225" t="s">
        <v>3139</v>
      </c>
      <c r="E175" s="226">
        <v>16.760000000000002</v>
      </c>
      <c r="F175" s="225" t="s">
        <v>3140</v>
      </c>
      <c r="G175" s="225" t="s">
        <v>640</v>
      </c>
      <c r="H175" s="153">
        <v>8131</v>
      </c>
    </row>
    <row r="176" spans="1:8" x14ac:dyDescent="0.2">
      <c r="A176" s="225" t="s">
        <v>16419</v>
      </c>
      <c r="B176" s="225" t="s">
        <v>16445</v>
      </c>
      <c r="C176" s="225" t="s">
        <v>16444</v>
      </c>
      <c r="D176" s="225" t="s">
        <v>3143</v>
      </c>
      <c r="E176" s="226">
        <v>16.760000000000002</v>
      </c>
      <c r="F176" s="225" t="s">
        <v>3144</v>
      </c>
      <c r="G176" s="225" t="s">
        <v>640</v>
      </c>
      <c r="H176" s="153">
        <v>8132</v>
      </c>
    </row>
    <row r="177" spans="1:8" x14ac:dyDescent="0.2">
      <c r="A177" s="225" t="s">
        <v>16419</v>
      </c>
      <c r="B177" s="225" t="s">
        <v>16443</v>
      </c>
      <c r="C177" s="225" t="s">
        <v>16442</v>
      </c>
      <c r="D177" s="225" t="s">
        <v>4077</v>
      </c>
      <c r="E177" s="226">
        <v>5.19</v>
      </c>
      <c r="F177" s="225" t="s">
        <v>4078</v>
      </c>
      <c r="G177" s="225" t="s">
        <v>640</v>
      </c>
      <c r="H177" s="153">
        <v>8133</v>
      </c>
    </row>
    <row r="178" spans="1:8" x14ac:dyDescent="0.2">
      <c r="A178" s="225" t="s">
        <v>16419</v>
      </c>
      <c r="B178" s="225" t="s">
        <v>16441</v>
      </c>
      <c r="C178" s="225" t="s">
        <v>16440</v>
      </c>
      <c r="D178" s="225" t="s">
        <v>11566</v>
      </c>
      <c r="E178" s="226">
        <v>5.48</v>
      </c>
      <c r="F178" s="225" t="s">
        <v>11565</v>
      </c>
      <c r="G178" s="225" t="s">
        <v>640</v>
      </c>
      <c r="H178" s="153">
        <v>8134</v>
      </c>
    </row>
    <row r="179" spans="1:8" x14ac:dyDescent="0.2">
      <c r="A179" s="225" t="s">
        <v>16419</v>
      </c>
      <c r="B179" s="225" t="s">
        <v>13266</v>
      </c>
      <c r="C179" s="225" t="s">
        <v>16439</v>
      </c>
      <c r="D179" s="225" t="s">
        <v>1176</v>
      </c>
      <c r="E179" s="226">
        <v>1.68</v>
      </c>
      <c r="F179" s="225" t="s">
        <v>1175</v>
      </c>
      <c r="G179" s="225" t="s">
        <v>640</v>
      </c>
      <c r="H179" s="153">
        <v>8135</v>
      </c>
    </row>
    <row r="180" spans="1:8" x14ac:dyDescent="0.2">
      <c r="A180" s="225" t="s">
        <v>16419</v>
      </c>
      <c r="B180" s="225" t="s">
        <v>16438</v>
      </c>
      <c r="C180" s="225" t="s">
        <v>16437</v>
      </c>
      <c r="D180" s="225" t="s">
        <v>10522</v>
      </c>
      <c r="E180" s="226">
        <v>0.93</v>
      </c>
      <c r="F180" s="225" t="s">
        <v>10521</v>
      </c>
      <c r="G180" s="225" t="s">
        <v>640</v>
      </c>
      <c r="H180" s="153">
        <v>8136</v>
      </c>
    </row>
    <row r="181" spans="1:8" x14ac:dyDescent="0.2">
      <c r="A181" s="225" t="s">
        <v>16419</v>
      </c>
      <c r="B181" s="225" t="s">
        <v>16436</v>
      </c>
      <c r="C181" s="225" t="s">
        <v>16435</v>
      </c>
      <c r="D181" s="225" t="s">
        <v>932</v>
      </c>
      <c r="E181" s="226">
        <v>1.68</v>
      </c>
      <c r="F181" s="225" t="s">
        <v>931</v>
      </c>
      <c r="G181" s="225" t="s">
        <v>640</v>
      </c>
      <c r="H181" s="153">
        <v>8137</v>
      </c>
    </row>
    <row r="182" spans="1:8" x14ac:dyDescent="0.2">
      <c r="A182" s="225" t="s">
        <v>16419</v>
      </c>
      <c r="B182" s="225" t="s">
        <v>16434</v>
      </c>
      <c r="C182" s="225" t="s">
        <v>16433</v>
      </c>
      <c r="D182" s="225" t="s">
        <v>1162</v>
      </c>
      <c r="E182" s="226">
        <v>2.61</v>
      </c>
      <c r="F182" s="225" t="s">
        <v>1161</v>
      </c>
      <c r="G182" s="225" t="s">
        <v>640</v>
      </c>
      <c r="H182" s="153">
        <v>8139</v>
      </c>
    </row>
    <row r="183" spans="1:8" x14ac:dyDescent="0.2">
      <c r="A183" s="225" t="s">
        <v>16419</v>
      </c>
      <c r="B183" s="225" t="s">
        <v>16432</v>
      </c>
      <c r="C183" s="225" t="s">
        <v>16431</v>
      </c>
      <c r="D183" s="225" t="s">
        <v>1233</v>
      </c>
      <c r="E183" s="226">
        <v>2.6</v>
      </c>
      <c r="F183" s="225" t="s">
        <v>1232</v>
      </c>
      <c r="G183" s="225" t="s">
        <v>640</v>
      </c>
      <c r="H183" s="153">
        <v>8140</v>
      </c>
    </row>
    <row r="184" spans="1:8" x14ac:dyDescent="0.2">
      <c r="A184" s="225" t="s">
        <v>16419</v>
      </c>
      <c r="B184" s="225" t="s">
        <v>16430</v>
      </c>
      <c r="C184" s="225" t="s">
        <v>16429</v>
      </c>
      <c r="D184" s="225" t="s">
        <v>1022</v>
      </c>
      <c r="E184" s="226">
        <v>3.8</v>
      </c>
      <c r="F184" s="225" t="s">
        <v>1021</v>
      </c>
      <c r="G184" s="225" t="s">
        <v>640</v>
      </c>
      <c r="H184" s="153">
        <v>8141</v>
      </c>
    </row>
    <row r="185" spans="1:8" x14ac:dyDescent="0.2">
      <c r="A185" s="225" t="s">
        <v>16419</v>
      </c>
      <c r="B185" s="225" t="s">
        <v>16428</v>
      </c>
      <c r="C185" s="225" t="s">
        <v>16427</v>
      </c>
      <c r="D185" s="225" t="s">
        <v>1473</v>
      </c>
      <c r="E185" s="226">
        <v>9.73</v>
      </c>
      <c r="F185" s="225" t="s">
        <v>1472</v>
      </c>
      <c r="G185" s="225" t="s">
        <v>640</v>
      </c>
      <c r="H185" s="153">
        <v>8142</v>
      </c>
    </row>
    <row r="186" spans="1:8" x14ac:dyDescent="0.2">
      <c r="A186" s="225" t="s">
        <v>16419</v>
      </c>
      <c r="B186" s="225" t="s">
        <v>14159</v>
      </c>
      <c r="C186" s="225" t="s">
        <v>16426</v>
      </c>
      <c r="D186" s="225" t="s">
        <v>11484</v>
      </c>
      <c r="E186" s="226">
        <v>2.74</v>
      </c>
      <c r="F186" s="225" t="s">
        <v>11480</v>
      </c>
      <c r="G186" s="225" t="s">
        <v>640</v>
      </c>
      <c r="H186" s="153">
        <v>8143</v>
      </c>
    </row>
    <row r="187" spans="1:8" x14ac:dyDescent="0.2">
      <c r="A187" s="225" t="s">
        <v>16419</v>
      </c>
      <c r="B187" s="225" t="s">
        <v>11418</v>
      </c>
      <c r="C187" s="225" t="s">
        <v>16425</v>
      </c>
      <c r="D187" s="225" t="s">
        <v>11493</v>
      </c>
      <c r="E187" s="226">
        <v>1.68</v>
      </c>
      <c r="F187" s="225" t="s">
        <v>11480</v>
      </c>
      <c r="G187" s="225" t="s">
        <v>640</v>
      </c>
      <c r="H187" s="153">
        <v>8144</v>
      </c>
    </row>
    <row r="188" spans="1:8" x14ac:dyDescent="0.2">
      <c r="A188" s="225" t="s">
        <v>16419</v>
      </c>
      <c r="B188" s="225" t="s">
        <v>16424</v>
      </c>
      <c r="C188" s="225" t="s">
        <v>16423</v>
      </c>
      <c r="D188" s="225" t="s">
        <v>11481</v>
      </c>
      <c r="E188" s="226">
        <v>5.16</v>
      </c>
      <c r="F188" s="225" t="s">
        <v>11480</v>
      </c>
      <c r="G188" s="225" t="s">
        <v>640</v>
      </c>
      <c r="H188" s="153">
        <v>8146</v>
      </c>
    </row>
    <row r="189" spans="1:8" x14ac:dyDescent="0.2">
      <c r="A189" s="225" t="s">
        <v>16419</v>
      </c>
      <c r="B189" s="225" t="s">
        <v>16422</v>
      </c>
      <c r="C189" s="225" t="s">
        <v>16421</v>
      </c>
      <c r="D189" s="225" t="s">
        <v>11488</v>
      </c>
      <c r="E189" s="226">
        <v>6.44</v>
      </c>
      <c r="F189" s="225" t="s">
        <v>11480</v>
      </c>
      <c r="G189" s="225" t="s">
        <v>640</v>
      </c>
      <c r="H189" s="153">
        <v>8147</v>
      </c>
    </row>
    <row r="190" spans="1:8" x14ac:dyDescent="0.2">
      <c r="A190" s="225" t="s">
        <v>16419</v>
      </c>
      <c r="B190" s="225" t="s">
        <v>11404</v>
      </c>
      <c r="C190" s="225" t="s">
        <v>16420</v>
      </c>
      <c r="D190" s="225" t="s">
        <v>1064</v>
      </c>
      <c r="E190" s="226">
        <v>1.69</v>
      </c>
      <c r="F190" s="225" t="s">
        <v>1063</v>
      </c>
      <c r="G190" s="225" t="s">
        <v>640</v>
      </c>
      <c r="H190" s="153">
        <v>8148</v>
      </c>
    </row>
    <row r="191" spans="1:8" x14ac:dyDescent="0.2">
      <c r="A191" s="225" t="s">
        <v>16419</v>
      </c>
      <c r="B191" s="225" t="s">
        <v>16418</v>
      </c>
      <c r="C191" s="225" t="s">
        <v>16417</v>
      </c>
      <c r="D191" s="225" t="s">
        <v>4568</v>
      </c>
      <c r="E191" s="226">
        <v>4.66</v>
      </c>
      <c r="F191" s="225" t="s">
        <v>4569</v>
      </c>
      <c r="G191" s="225" t="s">
        <v>640</v>
      </c>
      <c r="H191" s="153">
        <v>8149</v>
      </c>
    </row>
    <row r="192" spans="1:8" x14ac:dyDescent="0.2">
      <c r="A192" s="225"/>
      <c r="B192" s="225"/>
      <c r="C192" s="227" t="s">
        <v>3578</v>
      </c>
      <c r="D192" s="225"/>
      <c r="E192" s="278">
        <f>SUM(E171:E191)</f>
        <v>109.08000000000001</v>
      </c>
      <c r="F192" s="225"/>
      <c r="G192" s="225"/>
      <c r="H192" s="153"/>
    </row>
    <row r="193" spans="1:8" x14ac:dyDescent="0.2">
      <c r="A193" s="225" t="s">
        <v>16406</v>
      </c>
      <c r="B193" s="225" t="s">
        <v>16416</v>
      </c>
      <c r="C193" s="225" t="s">
        <v>16415</v>
      </c>
      <c r="D193" s="225" t="s">
        <v>4335</v>
      </c>
      <c r="E193" s="226">
        <v>1.68</v>
      </c>
      <c r="F193" s="225" t="s">
        <v>4336</v>
      </c>
      <c r="G193" s="225" t="s">
        <v>640</v>
      </c>
      <c r="H193" s="153">
        <v>8150</v>
      </c>
    </row>
    <row r="194" spans="1:8" x14ac:dyDescent="0.2">
      <c r="A194" s="225" t="s">
        <v>16406</v>
      </c>
      <c r="B194" s="225" t="s">
        <v>16414</v>
      </c>
      <c r="C194" s="225" t="s">
        <v>16413</v>
      </c>
      <c r="D194" s="225" t="s">
        <v>4475</v>
      </c>
      <c r="E194" s="226">
        <v>9.23</v>
      </c>
      <c r="F194" s="225" t="s">
        <v>4476</v>
      </c>
      <c r="G194" s="225" t="s">
        <v>640</v>
      </c>
      <c r="H194" s="153">
        <v>8151</v>
      </c>
    </row>
    <row r="195" spans="1:8" x14ac:dyDescent="0.2">
      <c r="A195" s="225" t="s">
        <v>16406</v>
      </c>
      <c r="B195" s="225" t="s">
        <v>16412</v>
      </c>
      <c r="C195" s="225" t="s">
        <v>16411</v>
      </c>
      <c r="D195" s="225" t="s">
        <v>720</v>
      </c>
      <c r="E195" s="226">
        <v>5.34</v>
      </c>
      <c r="F195" s="225" t="s">
        <v>719</v>
      </c>
      <c r="G195" s="225" t="s">
        <v>640</v>
      </c>
      <c r="H195" s="153">
        <v>8152</v>
      </c>
    </row>
    <row r="196" spans="1:8" x14ac:dyDescent="0.2">
      <c r="A196" s="225" t="s">
        <v>16406</v>
      </c>
      <c r="B196" s="225" t="s">
        <v>16410</v>
      </c>
      <c r="C196" s="225" t="s">
        <v>16409</v>
      </c>
      <c r="D196" s="225" t="s">
        <v>1289</v>
      </c>
      <c r="E196" s="226">
        <v>31.07</v>
      </c>
      <c r="F196" s="225" t="s">
        <v>1288</v>
      </c>
      <c r="G196" s="225" t="s">
        <v>640</v>
      </c>
      <c r="H196" s="153">
        <v>8153</v>
      </c>
    </row>
    <row r="197" spans="1:8" x14ac:dyDescent="0.2">
      <c r="A197" s="225" t="s">
        <v>16406</v>
      </c>
      <c r="B197" s="225" t="s">
        <v>16408</v>
      </c>
      <c r="C197" s="225" t="s">
        <v>16407</v>
      </c>
      <c r="D197" s="225" t="s">
        <v>796</v>
      </c>
      <c r="E197" s="226">
        <v>6.27</v>
      </c>
      <c r="F197" s="225" t="s">
        <v>795</v>
      </c>
      <c r="G197" s="225" t="s">
        <v>640</v>
      </c>
      <c r="H197" s="153">
        <v>8154</v>
      </c>
    </row>
    <row r="198" spans="1:8" x14ac:dyDescent="0.2">
      <c r="A198" s="225" t="s">
        <v>16406</v>
      </c>
      <c r="B198" s="225" t="s">
        <v>16405</v>
      </c>
      <c r="C198" s="225" t="s">
        <v>16404</v>
      </c>
      <c r="D198" s="225" t="s">
        <v>16403</v>
      </c>
      <c r="E198" s="226">
        <v>2.0499999999999998</v>
      </c>
      <c r="F198" s="225" t="s">
        <v>16402</v>
      </c>
      <c r="G198" s="225" t="s">
        <v>640</v>
      </c>
      <c r="H198" s="153">
        <v>8155</v>
      </c>
    </row>
    <row r="199" spans="1:8" x14ac:dyDescent="0.2">
      <c r="A199" s="225"/>
      <c r="B199" s="225"/>
      <c r="C199" s="227" t="s">
        <v>3578</v>
      </c>
      <c r="D199" s="225"/>
      <c r="E199" s="278">
        <f>SUM(E193:E198)</f>
        <v>55.64</v>
      </c>
      <c r="F199" s="225"/>
      <c r="G199" s="225"/>
      <c r="H199" s="153"/>
    </row>
    <row r="200" spans="1:8" x14ac:dyDescent="0.2">
      <c r="A200" s="225" t="s">
        <v>16345</v>
      </c>
      <c r="B200" s="225" t="s">
        <v>16401</v>
      </c>
      <c r="C200" s="225" t="s">
        <v>16400</v>
      </c>
      <c r="D200" s="225" t="s">
        <v>16399</v>
      </c>
      <c r="E200" s="226">
        <v>5.04</v>
      </c>
      <c r="F200" s="225" t="s">
        <v>16398</v>
      </c>
      <c r="G200" s="225" t="s">
        <v>640</v>
      </c>
      <c r="H200" s="153">
        <v>8208</v>
      </c>
    </row>
    <row r="201" spans="1:8" x14ac:dyDescent="0.2">
      <c r="A201" s="225" t="s">
        <v>16345</v>
      </c>
      <c r="B201" s="225" t="s">
        <v>16397</v>
      </c>
      <c r="C201" s="225" t="s">
        <v>16396</v>
      </c>
      <c r="D201" s="225" t="s">
        <v>1193</v>
      </c>
      <c r="E201" s="226">
        <v>6.82</v>
      </c>
      <c r="F201" s="225" t="s">
        <v>1192</v>
      </c>
      <c r="G201" s="225" t="s">
        <v>640</v>
      </c>
      <c r="H201" s="153">
        <v>8209</v>
      </c>
    </row>
    <row r="202" spans="1:8" x14ac:dyDescent="0.2">
      <c r="A202" s="225" t="s">
        <v>16345</v>
      </c>
      <c r="B202" s="225" t="s">
        <v>16395</v>
      </c>
      <c r="C202" s="225" t="s">
        <v>16394</v>
      </c>
      <c r="D202" s="225" t="s">
        <v>1337</v>
      </c>
      <c r="E202" s="226">
        <v>3.42</v>
      </c>
      <c r="F202" s="225" t="s">
        <v>1336</v>
      </c>
      <c r="G202" s="225" t="s">
        <v>640</v>
      </c>
      <c r="H202" s="153">
        <v>8210</v>
      </c>
    </row>
    <row r="203" spans="1:8" x14ac:dyDescent="0.2">
      <c r="A203" s="225" t="s">
        <v>16345</v>
      </c>
      <c r="B203" s="225" t="s">
        <v>16393</v>
      </c>
      <c r="C203" s="225" t="s">
        <v>16392</v>
      </c>
      <c r="D203" s="225" t="s">
        <v>10524</v>
      </c>
      <c r="E203" s="226">
        <v>5.59</v>
      </c>
      <c r="F203" s="225" t="s">
        <v>10523</v>
      </c>
      <c r="G203" s="225" t="s">
        <v>640</v>
      </c>
      <c r="H203" s="153">
        <v>8211</v>
      </c>
    </row>
    <row r="204" spans="1:8" x14ac:dyDescent="0.2">
      <c r="A204" s="225" t="s">
        <v>16345</v>
      </c>
      <c r="B204" s="225" t="s">
        <v>16391</v>
      </c>
      <c r="C204" s="225" t="s">
        <v>16390</v>
      </c>
      <c r="D204" s="225" t="s">
        <v>5312</v>
      </c>
      <c r="E204" s="226">
        <v>6.38</v>
      </c>
      <c r="F204" s="225" t="s">
        <v>5313</v>
      </c>
      <c r="G204" s="225" t="s">
        <v>640</v>
      </c>
      <c r="H204" s="153">
        <v>8212</v>
      </c>
    </row>
    <row r="205" spans="1:8" x14ac:dyDescent="0.2">
      <c r="A205" s="225" t="s">
        <v>16345</v>
      </c>
      <c r="B205" s="225" t="s">
        <v>3241</v>
      </c>
      <c r="C205" s="225" t="s">
        <v>16389</v>
      </c>
      <c r="D205" s="225" t="s">
        <v>5605</v>
      </c>
      <c r="E205" s="226">
        <v>7.41</v>
      </c>
      <c r="F205" s="225" t="s">
        <v>5606</v>
      </c>
      <c r="G205" s="225" t="s">
        <v>640</v>
      </c>
      <c r="H205" s="153">
        <v>8213</v>
      </c>
    </row>
    <row r="206" spans="1:8" x14ac:dyDescent="0.2">
      <c r="A206" s="225" t="s">
        <v>16345</v>
      </c>
      <c r="B206" s="225" t="s">
        <v>16388</v>
      </c>
      <c r="C206" s="225" t="s">
        <v>16387</v>
      </c>
      <c r="D206" s="225" t="s">
        <v>16386</v>
      </c>
      <c r="E206" s="226">
        <v>5.04</v>
      </c>
      <c r="F206" s="225" t="s">
        <v>16385</v>
      </c>
      <c r="G206" s="225" t="s">
        <v>640</v>
      </c>
      <c r="H206" s="153">
        <v>8214</v>
      </c>
    </row>
    <row r="207" spans="1:8" x14ac:dyDescent="0.2">
      <c r="A207" s="225" t="s">
        <v>16345</v>
      </c>
      <c r="B207" s="225" t="s">
        <v>16384</v>
      </c>
      <c r="C207" s="225" t="s">
        <v>16383</v>
      </c>
      <c r="D207" s="225" t="s">
        <v>1068</v>
      </c>
      <c r="E207" s="226">
        <v>1.68</v>
      </c>
      <c r="F207" s="225" t="s">
        <v>1067</v>
      </c>
      <c r="G207" s="225" t="s">
        <v>640</v>
      </c>
      <c r="H207" s="153">
        <v>8215</v>
      </c>
    </row>
    <row r="208" spans="1:8" x14ac:dyDescent="0.2">
      <c r="A208" s="225" t="s">
        <v>16345</v>
      </c>
      <c r="B208" s="225" t="s">
        <v>16382</v>
      </c>
      <c r="C208" s="225" t="s">
        <v>16381</v>
      </c>
      <c r="D208" s="225" t="s">
        <v>4210</v>
      </c>
      <c r="E208" s="226">
        <v>4.13</v>
      </c>
      <c r="F208" s="225" t="s">
        <v>4211</v>
      </c>
      <c r="G208" s="225" t="s">
        <v>640</v>
      </c>
      <c r="H208" s="153">
        <v>8216</v>
      </c>
    </row>
    <row r="209" spans="1:8" x14ac:dyDescent="0.2">
      <c r="A209" s="225" t="s">
        <v>16345</v>
      </c>
      <c r="B209" s="225" t="s">
        <v>16380</v>
      </c>
      <c r="C209" s="225" t="s">
        <v>16379</v>
      </c>
      <c r="D209" s="225" t="s">
        <v>10842</v>
      </c>
      <c r="E209" s="226">
        <v>0.26</v>
      </c>
      <c r="F209" s="225" t="s">
        <v>10841</v>
      </c>
      <c r="G209" s="225" t="s">
        <v>640</v>
      </c>
      <c r="H209" s="153">
        <v>8217</v>
      </c>
    </row>
    <row r="210" spans="1:8" x14ac:dyDescent="0.2">
      <c r="A210" s="225" t="s">
        <v>16345</v>
      </c>
      <c r="B210" s="225" t="s">
        <v>16378</v>
      </c>
      <c r="C210" s="225" t="s">
        <v>16377</v>
      </c>
      <c r="D210" s="225" t="s">
        <v>16376</v>
      </c>
      <c r="E210" s="226">
        <v>7.1</v>
      </c>
      <c r="F210" s="225" t="s">
        <v>16375</v>
      </c>
      <c r="G210" s="225" t="s">
        <v>640</v>
      </c>
      <c r="H210" s="153">
        <v>8218</v>
      </c>
    </row>
    <row r="211" spans="1:8" x14ac:dyDescent="0.2">
      <c r="A211" s="225" t="s">
        <v>16345</v>
      </c>
      <c r="B211" s="225" t="s">
        <v>16374</v>
      </c>
      <c r="C211" s="225" t="s">
        <v>16373</v>
      </c>
      <c r="D211" s="225" t="s">
        <v>692</v>
      </c>
      <c r="E211" s="226">
        <v>1.86</v>
      </c>
      <c r="F211" s="225" t="s">
        <v>691</v>
      </c>
      <c r="G211" s="225" t="s">
        <v>640</v>
      </c>
      <c r="H211" s="153">
        <v>8219</v>
      </c>
    </row>
    <row r="212" spans="1:8" x14ac:dyDescent="0.2">
      <c r="A212" s="225" t="s">
        <v>16345</v>
      </c>
      <c r="B212" s="225" t="s">
        <v>16372</v>
      </c>
      <c r="C212" s="225" t="s">
        <v>16371</v>
      </c>
      <c r="D212" s="225" t="s">
        <v>4403</v>
      </c>
      <c r="E212" s="226">
        <v>12.82</v>
      </c>
      <c r="F212" s="225" t="s">
        <v>4404</v>
      </c>
      <c r="G212" s="225" t="s">
        <v>640</v>
      </c>
      <c r="H212" s="153">
        <v>8220</v>
      </c>
    </row>
    <row r="213" spans="1:8" x14ac:dyDescent="0.2">
      <c r="A213" s="225" t="s">
        <v>16345</v>
      </c>
      <c r="B213" s="225" t="s">
        <v>16370</v>
      </c>
      <c r="C213" s="225" t="s">
        <v>16369</v>
      </c>
      <c r="D213" s="225" t="s">
        <v>861</v>
      </c>
      <c r="E213" s="226">
        <v>4.25</v>
      </c>
      <c r="F213" s="225" t="s">
        <v>860</v>
      </c>
      <c r="G213" s="225" t="s">
        <v>640</v>
      </c>
      <c r="H213" s="153">
        <v>8221</v>
      </c>
    </row>
    <row r="214" spans="1:8" x14ac:dyDescent="0.2">
      <c r="A214" s="225" t="s">
        <v>16345</v>
      </c>
      <c r="B214" s="225" t="s">
        <v>16368</v>
      </c>
      <c r="C214" s="225" t="s">
        <v>16367</v>
      </c>
      <c r="D214" s="225" t="s">
        <v>4719</v>
      </c>
      <c r="E214" s="226">
        <v>9.16</v>
      </c>
      <c r="F214" s="225" t="s">
        <v>4720</v>
      </c>
      <c r="G214" s="225" t="s">
        <v>640</v>
      </c>
      <c r="H214" s="153">
        <v>8222</v>
      </c>
    </row>
    <row r="215" spans="1:8" x14ac:dyDescent="0.2">
      <c r="A215" s="225" t="s">
        <v>16345</v>
      </c>
      <c r="B215" s="225" t="s">
        <v>16366</v>
      </c>
      <c r="C215" s="225" t="s">
        <v>16365</v>
      </c>
      <c r="D215" s="225" t="s">
        <v>5386</v>
      </c>
      <c r="E215" s="226">
        <v>1.97</v>
      </c>
      <c r="F215" s="225" t="s">
        <v>5387</v>
      </c>
      <c r="G215" s="225" t="s">
        <v>640</v>
      </c>
      <c r="H215" s="153">
        <v>8223</v>
      </c>
    </row>
    <row r="216" spans="1:8" x14ac:dyDescent="0.2">
      <c r="A216" s="225" t="s">
        <v>16345</v>
      </c>
      <c r="B216" s="225" t="s">
        <v>16364</v>
      </c>
      <c r="C216" s="225" t="s">
        <v>16363</v>
      </c>
      <c r="D216" s="225" t="s">
        <v>4427</v>
      </c>
      <c r="E216" s="226">
        <v>15.3</v>
      </c>
      <c r="F216" s="225" t="s">
        <v>4428</v>
      </c>
      <c r="G216" s="225" t="s">
        <v>640</v>
      </c>
      <c r="H216" s="153">
        <v>8224</v>
      </c>
    </row>
    <row r="217" spans="1:8" x14ac:dyDescent="0.2">
      <c r="A217" s="225" t="s">
        <v>16345</v>
      </c>
      <c r="B217" s="225" t="s">
        <v>16362</v>
      </c>
      <c r="C217" s="225" t="s">
        <v>16361</v>
      </c>
      <c r="D217" s="225" t="s">
        <v>1083</v>
      </c>
      <c r="E217" s="226">
        <v>10.7</v>
      </c>
      <c r="F217" s="225" t="s">
        <v>1385</v>
      </c>
      <c r="G217" s="225" t="s">
        <v>640</v>
      </c>
      <c r="H217" s="153">
        <v>8225</v>
      </c>
    </row>
    <row r="218" spans="1:8" x14ac:dyDescent="0.2">
      <c r="A218" s="225" t="s">
        <v>16345</v>
      </c>
      <c r="B218" s="225" t="s">
        <v>16360</v>
      </c>
      <c r="C218" s="225" t="s">
        <v>16359</v>
      </c>
      <c r="D218" s="225" t="s">
        <v>3933</v>
      </c>
      <c r="E218" s="226">
        <v>3.81</v>
      </c>
      <c r="F218" s="225" t="s">
        <v>3934</v>
      </c>
      <c r="G218" s="225" t="s">
        <v>640</v>
      </c>
      <c r="H218" s="153">
        <v>8226</v>
      </c>
    </row>
    <row r="219" spans="1:8" x14ac:dyDescent="0.2">
      <c r="A219" s="225" t="s">
        <v>16345</v>
      </c>
      <c r="B219" s="225" t="s">
        <v>16358</v>
      </c>
      <c r="C219" s="225" t="s">
        <v>16357</v>
      </c>
      <c r="D219" s="225" t="s">
        <v>13871</v>
      </c>
      <c r="E219" s="226">
        <v>0.92</v>
      </c>
      <c r="F219" s="225" t="s">
        <v>13870</v>
      </c>
      <c r="G219" s="225" t="s">
        <v>640</v>
      </c>
      <c r="H219" s="153">
        <v>8227</v>
      </c>
    </row>
    <row r="220" spans="1:8" x14ac:dyDescent="0.2">
      <c r="A220" s="225" t="s">
        <v>16345</v>
      </c>
      <c r="B220" s="225" t="s">
        <v>16356</v>
      </c>
      <c r="C220" s="225" t="s">
        <v>16355</v>
      </c>
      <c r="D220" s="225" t="s">
        <v>16354</v>
      </c>
      <c r="E220" s="226">
        <v>2.78</v>
      </c>
      <c r="F220" s="225" t="s">
        <v>13870</v>
      </c>
      <c r="G220" s="225" t="s">
        <v>640</v>
      </c>
      <c r="H220" s="153">
        <v>8228</v>
      </c>
    </row>
    <row r="221" spans="1:8" x14ac:dyDescent="0.2">
      <c r="A221" s="225" t="s">
        <v>16345</v>
      </c>
      <c r="B221" s="225" t="s">
        <v>16353</v>
      </c>
      <c r="C221" s="225" t="s">
        <v>16352</v>
      </c>
      <c r="D221" s="225" t="s">
        <v>16351</v>
      </c>
      <c r="E221" s="226">
        <v>16.87</v>
      </c>
      <c r="F221" s="225" t="s">
        <v>16350</v>
      </c>
      <c r="G221" s="225" t="s">
        <v>640</v>
      </c>
      <c r="H221" s="153">
        <v>8229</v>
      </c>
    </row>
    <row r="222" spans="1:8" x14ac:dyDescent="0.2">
      <c r="A222" s="225" t="s">
        <v>16345</v>
      </c>
      <c r="B222" s="225" t="s">
        <v>16349</v>
      </c>
      <c r="C222" s="225" t="s">
        <v>16348</v>
      </c>
      <c r="D222" s="225" t="s">
        <v>982</v>
      </c>
      <c r="E222" s="226">
        <v>5.36</v>
      </c>
      <c r="F222" s="225" t="s">
        <v>981</v>
      </c>
      <c r="G222" s="225" t="s">
        <v>640</v>
      </c>
      <c r="H222" s="153">
        <v>8230</v>
      </c>
    </row>
    <row r="223" spans="1:8" x14ac:dyDescent="0.2">
      <c r="A223" s="225" t="s">
        <v>16345</v>
      </c>
      <c r="B223" s="225" t="s">
        <v>16347</v>
      </c>
      <c r="C223" s="225" t="s">
        <v>16346</v>
      </c>
      <c r="D223" s="225" t="s">
        <v>4581</v>
      </c>
      <c r="E223" s="226">
        <v>7.05</v>
      </c>
      <c r="F223" s="225" t="s">
        <v>4582</v>
      </c>
      <c r="G223" s="225" t="s">
        <v>640</v>
      </c>
      <c r="H223" s="153">
        <v>8231</v>
      </c>
    </row>
    <row r="224" spans="1:8" x14ac:dyDescent="0.2">
      <c r="A224" s="225" t="s">
        <v>16345</v>
      </c>
      <c r="B224" s="225" t="s">
        <v>16344</v>
      </c>
      <c r="C224" s="225" t="s">
        <v>16343</v>
      </c>
      <c r="D224" s="225" t="s">
        <v>3962</v>
      </c>
      <c r="E224" s="226">
        <v>12.39</v>
      </c>
      <c r="F224" s="225" t="s">
        <v>3963</v>
      </c>
      <c r="G224" s="225" t="s">
        <v>640</v>
      </c>
      <c r="H224" s="153">
        <v>8232</v>
      </c>
    </row>
    <row r="225" spans="1:8" x14ac:dyDescent="0.2">
      <c r="A225" s="225"/>
      <c r="B225" s="225"/>
      <c r="C225" s="227" t="s">
        <v>3578</v>
      </c>
      <c r="D225" s="225"/>
      <c r="E225" s="278">
        <f>SUM(E200:E224)</f>
        <v>158.11000000000001</v>
      </c>
      <c r="F225" s="225"/>
      <c r="G225" s="225"/>
      <c r="H225" s="153"/>
    </row>
    <row r="226" spans="1:8" x14ac:dyDescent="0.2">
      <c r="A226" s="225" t="s">
        <v>16284</v>
      </c>
      <c r="B226" s="225" t="s">
        <v>16342</v>
      </c>
      <c r="C226" s="225" t="s">
        <v>16341</v>
      </c>
      <c r="D226" s="225" t="s">
        <v>1353</v>
      </c>
      <c r="E226" s="226">
        <v>4.82</v>
      </c>
      <c r="F226" s="225" t="s">
        <v>1352</v>
      </c>
      <c r="G226" s="225" t="s">
        <v>640</v>
      </c>
      <c r="H226" s="153">
        <v>8281</v>
      </c>
    </row>
    <row r="227" spans="1:8" x14ac:dyDescent="0.2">
      <c r="A227" s="225" t="s">
        <v>16284</v>
      </c>
      <c r="B227" s="225" t="s">
        <v>16340</v>
      </c>
      <c r="C227" s="225" t="s">
        <v>16339</v>
      </c>
      <c r="D227" s="225" t="s">
        <v>16338</v>
      </c>
      <c r="E227" s="226">
        <v>9.3800000000000008</v>
      </c>
      <c r="F227" s="225" t="s">
        <v>16337</v>
      </c>
      <c r="G227" s="225" t="s">
        <v>640</v>
      </c>
      <c r="H227" s="153">
        <v>8282</v>
      </c>
    </row>
    <row r="228" spans="1:8" x14ac:dyDescent="0.2">
      <c r="A228" s="225" t="s">
        <v>16284</v>
      </c>
      <c r="B228" s="225" t="s">
        <v>16336</v>
      </c>
      <c r="C228" s="225" t="s">
        <v>16335</v>
      </c>
      <c r="D228" s="225" t="s">
        <v>13619</v>
      </c>
      <c r="E228" s="226">
        <v>4.9800000000000004</v>
      </c>
      <c r="F228" s="225" t="s">
        <v>13618</v>
      </c>
      <c r="G228" s="225" t="s">
        <v>640</v>
      </c>
      <c r="H228" s="153">
        <v>8283</v>
      </c>
    </row>
    <row r="229" spans="1:8" x14ac:dyDescent="0.2">
      <c r="A229" s="225" t="s">
        <v>16284</v>
      </c>
      <c r="B229" s="225" t="s">
        <v>16334</v>
      </c>
      <c r="C229" s="225" t="s">
        <v>16333</v>
      </c>
      <c r="D229" s="225" t="s">
        <v>4594</v>
      </c>
      <c r="E229" s="226">
        <v>4.7</v>
      </c>
      <c r="F229" s="225" t="s">
        <v>4595</v>
      </c>
      <c r="G229" s="225" t="s">
        <v>640</v>
      </c>
      <c r="H229" s="153">
        <v>8285</v>
      </c>
    </row>
    <row r="230" spans="1:8" x14ac:dyDescent="0.2">
      <c r="A230" s="225" t="s">
        <v>16284</v>
      </c>
      <c r="B230" s="225" t="s">
        <v>3058</v>
      </c>
      <c r="C230" s="225" t="s">
        <v>16332</v>
      </c>
      <c r="D230" s="225" t="s">
        <v>5243</v>
      </c>
      <c r="E230" s="226">
        <v>6.08</v>
      </c>
      <c r="F230" s="225" t="s">
        <v>5244</v>
      </c>
      <c r="G230" s="225" t="s">
        <v>640</v>
      </c>
      <c r="H230" s="153">
        <v>8286</v>
      </c>
    </row>
    <row r="231" spans="1:8" x14ac:dyDescent="0.2">
      <c r="A231" s="225" t="s">
        <v>16284</v>
      </c>
      <c r="B231" s="225" t="s">
        <v>16331</v>
      </c>
      <c r="C231" s="225" t="s">
        <v>16330</v>
      </c>
      <c r="D231" s="225" t="s">
        <v>755</v>
      </c>
      <c r="E231" s="226">
        <v>12.91</v>
      </c>
      <c r="F231" s="225" t="s">
        <v>754</v>
      </c>
      <c r="G231" s="225" t="s">
        <v>640</v>
      </c>
      <c r="H231" s="153">
        <v>8287</v>
      </c>
    </row>
    <row r="232" spans="1:8" x14ac:dyDescent="0.2">
      <c r="A232" s="225" t="s">
        <v>16284</v>
      </c>
      <c r="B232" s="225" t="s">
        <v>16329</v>
      </c>
      <c r="C232" s="225" t="s">
        <v>16328</v>
      </c>
      <c r="D232" s="225" t="s">
        <v>3866</v>
      </c>
      <c r="E232" s="226">
        <v>2.61</v>
      </c>
      <c r="F232" s="225" t="s">
        <v>3867</v>
      </c>
      <c r="G232" s="225" t="s">
        <v>640</v>
      </c>
      <c r="H232" s="153">
        <v>8288</v>
      </c>
    </row>
    <row r="233" spans="1:8" x14ac:dyDescent="0.2">
      <c r="A233" s="225" t="s">
        <v>16284</v>
      </c>
      <c r="B233" s="225" t="s">
        <v>16327</v>
      </c>
      <c r="C233" s="225" t="s">
        <v>16326</v>
      </c>
      <c r="D233" s="225" t="s">
        <v>4739</v>
      </c>
      <c r="E233" s="226">
        <v>19.43</v>
      </c>
      <c r="F233" s="225" t="s">
        <v>4740</v>
      </c>
      <c r="G233" s="225" t="s">
        <v>640</v>
      </c>
      <c r="H233" s="153">
        <v>8289</v>
      </c>
    </row>
    <row r="234" spans="1:8" x14ac:dyDescent="0.2">
      <c r="A234" s="225" t="s">
        <v>16284</v>
      </c>
      <c r="B234" s="225" t="s">
        <v>16325</v>
      </c>
      <c r="C234" s="225" t="s">
        <v>16324</v>
      </c>
      <c r="D234" s="225" t="s">
        <v>15963</v>
      </c>
      <c r="E234" s="226">
        <v>24.54</v>
      </c>
      <c r="F234" s="225" t="s">
        <v>15962</v>
      </c>
      <c r="G234" s="225" t="s">
        <v>640</v>
      </c>
      <c r="H234" s="153">
        <v>8290</v>
      </c>
    </row>
    <row r="235" spans="1:8" x14ac:dyDescent="0.2">
      <c r="A235" s="225" t="s">
        <v>16284</v>
      </c>
      <c r="B235" s="225" t="s">
        <v>16323</v>
      </c>
      <c r="C235" s="225" t="s">
        <v>16322</v>
      </c>
      <c r="D235" s="225" t="s">
        <v>3089</v>
      </c>
      <c r="E235" s="226">
        <v>6.24</v>
      </c>
      <c r="F235" s="225" t="s">
        <v>3090</v>
      </c>
      <c r="G235" s="225" t="s">
        <v>640</v>
      </c>
      <c r="H235" s="153">
        <v>8291</v>
      </c>
    </row>
    <row r="236" spans="1:8" x14ac:dyDescent="0.2">
      <c r="A236" s="225" t="s">
        <v>16284</v>
      </c>
      <c r="B236" s="225" t="s">
        <v>16321</v>
      </c>
      <c r="C236" s="225" t="s">
        <v>16320</v>
      </c>
      <c r="D236" s="225" t="s">
        <v>5981</v>
      </c>
      <c r="E236" s="226">
        <v>4.8099999999999996</v>
      </c>
      <c r="F236" s="225" t="s">
        <v>5982</v>
      </c>
      <c r="G236" s="225" t="s">
        <v>640</v>
      </c>
      <c r="H236" s="153">
        <v>8292</v>
      </c>
    </row>
    <row r="237" spans="1:8" x14ac:dyDescent="0.2">
      <c r="A237" s="225" t="s">
        <v>16284</v>
      </c>
      <c r="B237" s="225" t="s">
        <v>16319</v>
      </c>
      <c r="C237" s="225" t="s">
        <v>16318</v>
      </c>
      <c r="D237" s="225" t="s">
        <v>4438</v>
      </c>
      <c r="E237" s="226">
        <v>2.88</v>
      </c>
      <c r="F237" s="225" t="s">
        <v>4439</v>
      </c>
      <c r="G237" s="225" t="s">
        <v>640</v>
      </c>
      <c r="H237" s="153">
        <v>8293</v>
      </c>
    </row>
    <row r="238" spans="1:8" x14ac:dyDescent="0.2">
      <c r="A238" s="225" t="s">
        <v>16284</v>
      </c>
      <c r="B238" s="225" t="s">
        <v>16317</v>
      </c>
      <c r="C238" s="225" t="s">
        <v>16316</v>
      </c>
      <c r="D238" s="225" t="s">
        <v>10532</v>
      </c>
      <c r="E238" s="226">
        <v>11.83</v>
      </c>
      <c r="F238" s="225" t="s">
        <v>10531</v>
      </c>
      <c r="G238" s="225" t="s">
        <v>640</v>
      </c>
      <c r="H238" s="153">
        <v>8294</v>
      </c>
    </row>
    <row r="239" spans="1:8" x14ac:dyDescent="0.2">
      <c r="A239" s="225" t="s">
        <v>16284</v>
      </c>
      <c r="B239" s="225" t="s">
        <v>16315</v>
      </c>
      <c r="C239" s="225" t="s">
        <v>16314</v>
      </c>
      <c r="D239" s="225" t="s">
        <v>894</v>
      </c>
      <c r="E239" s="226">
        <v>2.9</v>
      </c>
      <c r="F239" s="225" t="s">
        <v>893</v>
      </c>
      <c r="G239" s="225" t="s">
        <v>640</v>
      </c>
      <c r="H239" s="153">
        <v>8295</v>
      </c>
    </row>
    <row r="240" spans="1:8" x14ac:dyDescent="0.2">
      <c r="A240" s="225" t="s">
        <v>16284</v>
      </c>
      <c r="B240" s="225" t="s">
        <v>16313</v>
      </c>
      <c r="C240" s="225" t="s">
        <v>16312</v>
      </c>
      <c r="D240" s="225" t="s">
        <v>1481</v>
      </c>
      <c r="E240" s="226">
        <v>1.68</v>
      </c>
      <c r="F240" s="225" t="s">
        <v>1479</v>
      </c>
      <c r="G240" s="225" t="s">
        <v>640</v>
      </c>
      <c r="H240" s="153">
        <v>8296</v>
      </c>
    </row>
    <row r="241" spans="1:8" x14ac:dyDescent="0.2">
      <c r="A241" s="225" t="s">
        <v>16284</v>
      </c>
      <c r="B241" s="225" t="s">
        <v>16311</v>
      </c>
      <c r="C241" s="225" t="s">
        <v>16310</v>
      </c>
      <c r="D241" s="225" t="s">
        <v>1480</v>
      </c>
      <c r="E241" s="226">
        <v>1.69</v>
      </c>
      <c r="F241" s="225" t="s">
        <v>1479</v>
      </c>
      <c r="G241" s="225" t="s">
        <v>640</v>
      </c>
      <c r="H241" s="153">
        <v>8297</v>
      </c>
    </row>
    <row r="242" spans="1:8" x14ac:dyDescent="0.2">
      <c r="A242" s="225" t="s">
        <v>16284</v>
      </c>
      <c r="B242" s="225" t="s">
        <v>16309</v>
      </c>
      <c r="C242" s="225" t="s">
        <v>16308</v>
      </c>
      <c r="D242" s="225" t="s">
        <v>16307</v>
      </c>
      <c r="E242" s="226">
        <v>0.26</v>
      </c>
      <c r="F242" s="225" t="s">
        <v>16306</v>
      </c>
      <c r="G242" s="225" t="s">
        <v>640</v>
      </c>
      <c r="H242" s="153">
        <v>8298</v>
      </c>
    </row>
    <row r="243" spans="1:8" x14ac:dyDescent="0.2">
      <c r="A243" s="225" t="s">
        <v>16284</v>
      </c>
      <c r="B243" s="225" t="s">
        <v>16305</v>
      </c>
      <c r="C243" s="225" t="s">
        <v>16304</v>
      </c>
      <c r="D243" s="225" t="s">
        <v>1066</v>
      </c>
      <c r="E243" s="226">
        <v>3.19</v>
      </c>
      <c r="F243" s="225" t="s">
        <v>1065</v>
      </c>
      <c r="G243" s="225" t="s">
        <v>640</v>
      </c>
      <c r="H243" s="153">
        <v>8299</v>
      </c>
    </row>
    <row r="244" spans="1:8" x14ac:dyDescent="0.2">
      <c r="A244" s="225" t="s">
        <v>16284</v>
      </c>
      <c r="B244" s="225" t="s">
        <v>16303</v>
      </c>
      <c r="C244" s="225" t="s">
        <v>16302</v>
      </c>
      <c r="D244" s="225" t="s">
        <v>5541</v>
      </c>
      <c r="E244" s="226">
        <v>5.07</v>
      </c>
      <c r="F244" s="225" t="s">
        <v>5542</v>
      </c>
      <c r="G244" s="225" t="s">
        <v>640</v>
      </c>
      <c r="H244" s="153">
        <v>8300</v>
      </c>
    </row>
    <row r="245" spans="1:8" x14ac:dyDescent="0.2">
      <c r="A245" s="225" t="s">
        <v>16284</v>
      </c>
      <c r="B245" s="225" t="s">
        <v>16301</v>
      </c>
      <c r="C245" s="225" t="s">
        <v>16300</v>
      </c>
      <c r="D245" s="225" t="s">
        <v>5098</v>
      </c>
      <c r="E245" s="226">
        <v>7.86</v>
      </c>
      <c r="F245" s="225" t="s">
        <v>5099</v>
      </c>
      <c r="G245" s="225" t="s">
        <v>640</v>
      </c>
      <c r="H245" s="153">
        <v>8301</v>
      </c>
    </row>
    <row r="246" spans="1:8" x14ac:dyDescent="0.2">
      <c r="A246" s="225" t="s">
        <v>16284</v>
      </c>
      <c r="B246" s="225" t="s">
        <v>16299</v>
      </c>
      <c r="C246" s="225" t="s">
        <v>16298</v>
      </c>
      <c r="D246" s="225" t="s">
        <v>4109</v>
      </c>
      <c r="E246" s="226">
        <v>1.94</v>
      </c>
      <c r="F246" s="225" t="s">
        <v>16297</v>
      </c>
      <c r="G246" s="225" t="s">
        <v>640</v>
      </c>
      <c r="H246" s="153">
        <v>8302</v>
      </c>
    </row>
    <row r="247" spans="1:8" x14ac:dyDescent="0.2">
      <c r="A247" s="225" t="s">
        <v>16284</v>
      </c>
      <c r="B247" s="225" t="s">
        <v>16296</v>
      </c>
      <c r="C247" s="225" t="s">
        <v>16295</v>
      </c>
      <c r="D247" s="225" t="s">
        <v>836</v>
      </c>
      <c r="E247" s="226">
        <v>12.71</v>
      </c>
      <c r="F247" s="225" t="s">
        <v>835</v>
      </c>
      <c r="G247" s="225" t="s">
        <v>640</v>
      </c>
      <c r="H247" s="153">
        <v>8303</v>
      </c>
    </row>
    <row r="248" spans="1:8" x14ac:dyDescent="0.2">
      <c r="A248" s="225" t="s">
        <v>16284</v>
      </c>
      <c r="B248" s="225" t="s">
        <v>16294</v>
      </c>
      <c r="C248" s="225" t="s">
        <v>16293</v>
      </c>
      <c r="D248" s="225" t="s">
        <v>16292</v>
      </c>
      <c r="E248" s="226">
        <v>6.38</v>
      </c>
      <c r="F248" s="225" t="s">
        <v>16291</v>
      </c>
      <c r="G248" s="225" t="s">
        <v>640</v>
      </c>
      <c r="H248" s="153">
        <v>8304</v>
      </c>
    </row>
    <row r="249" spans="1:8" x14ac:dyDescent="0.2">
      <c r="A249" s="225" t="s">
        <v>16284</v>
      </c>
      <c r="B249" s="225" t="s">
        <v>16290</v>
      </c>
      <c r="C249" s="225" t="s">
        <v>16289</v>
      </c>
      <c r="D249" s="225" t="s">
        <v>11170</v>
      </c>
      <c r="E249" s="226">
        <v>9.2799999999999994</v>
      </c>
      <c r="F249" s="225" t="s">
        <v>11169</v>
      </c>
      <c r="G249" s="225" t="s">
        <v>640</v>
      </c>
      <c r="H249" s="153">
        <v>8305</v>
      </c>
    </row>
    <row r="250" spans="1:8" x14ac:dyDescent="0.2">
      <c r="A250" s="225" t="s">
        <v>16284</v>
      </c>
      <c r="B250" s="225" t="s">
        <v>16288</v>
      </c>
      <c r="C250" s="225" t="s">
        <v>16287</v>
      </c>
      <c r="D250" s="225" t="s">
        <v>761</v>
      </c>
      <c r="E250" s="226">
        <v>2.0499999999999998</v>
      </c>
      <c r="F250" s="225" t="s">
        <v>760</v>
      </c>
      <c r="G250" s="225" t="s">
        <v>640</v>
      </c>
      <c r="H250" s="153">
        <v>8306</v>
      </c>
    </row>
    <row r="251" spans="1:8" x14ac:dyDescent="0.2">
      <c r="A251" s="225" t="s">
        <v>16284</v>
      </c>
      <c r="B251" s="225" t="s">
        <v>16286</v>
      </c>
      <c r="C251" s="225" t="s">
        <v>16285</v>
      </c>
      <c r="D251" s="225" t="s">
        <v>3629</v>
      </c>
      <c r="E251" s="226">
        <v>7</v>
      </c>
      <c r="F251" s="225" t="s">
        <v>3630</v>
      </c>
      <c r="G251" s="225" t="s">
        <v>640</v>
      </c>
      <c r="H251" s="153">
        <v>8307</v>
      </c>
    </row>
    <row r="252" spans="1:8" x14ac:dyDescent="0.2">
      <c r="A252" s="225" t="s">
        <v>16284</v>
      </c>
      <c r="B252" s="225" t="s">
        <v>16283</v>
      </c>
      <c r="C252" s="225" t="s">
        <v>16282</v>
      </c>
      <c r="D252" s="225" t="s">
        <v>974</v>
      </c>
      <c r="E252" s="226">
        <v>8.1</v>
      </c>
      <c r="F252" s="225" t="s">
        <v>973</v>
      </c>
      <c r="G252" s="225" t="s">
        <v>640</v>
      </c>
      <c r="H252" s="153">
        <v>8308</v>
      </c>
    </row>
    <row r="253" spans="1:8" x14ac:dyDescent="0.2">
      <c r="A253" s="225"/>
      <c r="B253" s="225"/>
      <c r="C253" s="227" t="s">
        <v>3578</v>
      </c>
      <c r="D253" s="225"/>
      <c r="E253" s="278">
        <f>SUM(E226:E252)</f>
        <v>185.32000000000002</v>
      </c>
      <c r="F253" s="225"/>
      <c r="G253" s="225"/>
      <c r="H253" s="153"/>
    </row>
    <row r="254" spans="1:8" x14ac:dyDescent="0.2">
      <c r="A254" s="225" t="s">
        <v>16233</v>
      </c>
      <c r="B254" s="225" t="s">
        <v>16281</v>
      </c>
      <c r="C254" s="225" t="s">
        <v>16280</v>
      </c>
      <c r="D254" s="225" t="s">
        <v>4062</v>
      </c>
      <c r="E254" s="226">
        <v>2.2400000000000002</v>
      </c>
      <c r="F254" s="225" t="s">
        <v>4063</v>
      </c>
      <c r="G254" s="225" t="s">
        <v>640</v>
      </c>
      <c r="H254" s="153">
        <v>8367</v>
      </c>
    </row>
    <row r="255" spans="1:8" x14ac:dyDescent="0.2">
      <c r="A255" s="225" t="s">
        <v>16233</v>
      </c>
      <c r="B255" s="225" t="s">
        <v>16279</v>
      </c>
      <c r="C255" s="225" t="s">
        <v>16278</v>
      </c>
      <c r="D255" s="225" t="s">
        <v>1295</v>
      </c>
      <c r="E255" s="226">
        <v>3.36</v>
      </c>
      <c r="F255" s="225" t="s">
        <v>1294</v>
      </c>
      <c r="G255" s="225" t="s">
        <v>640</v>
      </c>
      <c r="H255" s="153">
        <v>8368</v>
      </c>
    </row>
    <row r="256" spans="1:8" x14ac:dyDescent="0.2">
      <c r="A256" s="225" t="s">
        <v>16233</v>
      </c>
      <c r="B256" s="225" t="s">
        <v>16277</v>
      </c>
      <c r="C256" s="225" t="s">
        <v>16276</v>
      </c>
      <c r="D256" s="225" t="s">
        <v>10604</v>
      </c>
      <c r="E256" s="226">
        <v>1.23</v>
      </c>
      <c r="F256" s="225" t="s">
        <v>10603</v>
      </c>
      <c r="G256" s="225" t="s">
        <v>640</v>
      </c>
      <c r="H256" s="153">
        <v>8369</v>
      </c>
    </row>
    <row r="257" spans="1:8" x14ac:dyDescent="0.2">
      <c r="A257" s="225" t="s">
        <v>16233</v>
      </c>
      <c r="B257" s="225" t="s">
        <v>16275</v>
      </c>
      <c r="C257" s="225" t="s">
        <v>16274</v>
      </c>
      <c r="D257" s="225" t="s">
        <v>4586</v>
      </c>
      <c r="E257" s="226">
        <v>3.59</v>
      </c>
      <c r="F257" s="225" t="s">
        <v>4587</v>
      </c>
      <c r="G257" s="225" t="s">
        <v>640</v>
      </c>
      <c r="H257" s="153">
        <v>8370</v>
      </c>
    </row>
    <row r="258" spans="1:8" x14ac:dyDescent="0.2">
      <c r="A258" s="225" t="s">
        <v>16233</v>
      </c>
      <c r="B258" s="225" t="s">
        <v>16273</v>
      </c>
      <c r="C258" s="225" t="s">
        <v>16272</v>
      </c>
      <c r="D258" s="225" t="s">
        <v>1304</v>
      </c>
      <c r="E258" s="226">
        <v>2.61</v>
      </c>
      <c r="F258" s="225" t="s">
        <v>1303</v>
      </c>
      <c r="G258" s="225" t="s">
        <v>640</v>
      </c>
      <c r="H258" s="153">
        <v>8371</v>
      </c>
    </row>
    <row r="259" spans="1:8" x14ac:dyDescent="0.2">
      <c r="A259" s="225" t="s">
        <v>16233</v>
      </c>
      <c r="B259" s="225" t="s">
        <v>16271</v>
      </c>
      <c r="C259" s="225" t="s">
        <v>16270</v>
      </c>
      <c r="D259" s="225" t="s">
        <v>782</v>
      </c>
      <c r="E259" s="226">
        <v>45.1</v>
      </c>
      <c r="F259" s="225" t="s">
        <v>781</v>
      </c>
      <c r="G259" s="225" t="s">
        <v>640</v>
      </c>
      <c r="H259" s="153">
        <v>8372</v>
      </c>
    </row>
    <row r="260" spans="1:8" x14ac:dyDescent="0.2">
      <c r="A260" s="225" t="s">
        <v>16233</v>
      </c>
      <c r="B260" s="225" t="s">
        <v>16269</v>
      </c>
      <c r="C260" s="225" t="s">
        <v>16268</v>
      </c>
      <c r="D260" s="225" t="s">
        <v>913</v>
      </c>
      <c r="E260" s="226">
        <v>14.39</v>
      </c>
      <c r="F260" s="225" t="s">
        <v>912</v>
      </c>
      <c r="G260" s="225" t="s">
        <v>640</v>
      </c>
      <c r="H260" s="153">
        <v>8373</v>
      </c>
    </row>
    <row r="261" spans="1:8" x14ac:dyDescent="0.2">
      <c r="A261" s="225" t="s">
        <v>16233</v>
      </c>
      <c r="B261" s="225" t="s">
        <v>16267</v>
      </c>
      <c r="C261" s="225" t="s">
        <v>16266</v>
      </c>
      <c r="D261" s="225" t="s">
        <v>11434</v>
      </c>
      <c r="E261" s="226">
        <v>3.36</v>
      </c>
      <c r="F261" s="225" t="s">
        <v>11433</v>
      </c>
      <c r="G261" s="225" t="s">
        <v>640</v>
      </c>
      <c r="H261" s="153">
        <v>8374</v>
      </c>
    </row>
    <row r="262" spans="1:8" x14ac:dyDescent="0.2">
      <c r="A262" s="225" t="s">
        <v>16233</v>
      </c>
      <c r="B262" s="225" t="s">
        <v>16265</v>
      </c>
      <c r="C262" s="225" t="s">
        <v>16264</v>
      </c>
      <c r="D262" s="225" t="s">
        <v>13980</v>
      </c>
      <c r="E262" s="226">
        <v>1.68</v>
      </c>
      <c r="F262" s="225" t="s">
        <v>13979</v>
      </c>
      <c r="G262" s="225" t="s">
        <v>640</v>
      </c>
      <c r="H262" s="153">
        <v>8375</v>
      </c>
    </row>
    <row r="263" spans="1:8" x14ac:dyDescent="0.2">
      <c r="A263" s="225" t="s">
        <v>16233</v>
      </c>
      <c r="B263" s="225" t="s">
        <v>16263</v>
      </c>
      <c r="C263" s="225" t="s">
        <v>16262</v>
      </c>
      <c r="D263" s="225" t="s">
        <v>4554</v>
      </c>
      <c r="E263" s="226">
        <v>5.05</v>
      </c>
      <c r="F263" s="225" t="s">
        <v>4555</v>
      </c>
      <c r="G263" s="225" t="s">
        <v>640</v>
      </c>
      <c r="H263" s="153">
        <v>8376</v>
      </c>
    </row>
    <row r="264" spans="1:8" x14ac:dyDescent="0.2">
      <c r="A264" s="225" t="s">
        <v>16233</v>
      </c>
      <c r="B264" s="225" t="s">
        <v>16261</v>
      </c>
      <c r="C264" s="225" t="s">
        <v>16260</v>
      </c>
      <c r="D264" s="225" t="s">
        <v>3966</v>
      </c>
      <c r="E264" s="226">
        <v>12.87</v>
      </c>
      <c r="F264" s="225" t="s">
        <v>3967</v>
      </c>
      <c r="G264" s="225" t="s">
        <v>640</v>
      </c>
      <c r="H264" s="153">
        <v>8377</v>
      </c>
    </row>
    <row r="265" spans="1:8" x14ac:dyDescent="0.2">
      <c r="A265" s="225" t="s">
        <v>16233</v>
      </c>
      <c r="B265" s="225" t="s">
        <v>16259</v>
      </c>
      <c r="C265" s="225" t="s">
        <v>16258</v>
      </c>
      <c r="D265" s="225" t="s">
        <v>3941</v>
      </c>
      <c r="E265" s="226">
        <v>5.79</v>
      </c>
      <c r="F265" s="225" t="s">
        <v>3942</v>
      </c>
      <c r="G265" s="225" t="s">
        <v>640</v>
      </c>
      <c r="H265" s="153">
        <v>8378</v>
      </c>
    </row>
    <row r="266" spans="1:8" x14ac:dyDescent="0.2">
      <c r="A266" s="225" t="s">
        <v>16233</v>
      </c>
      <c r="B266" s="225" t="s">
        <v>16257</v>
      </c>
      <c r="C266" s="225" t="s">
        <v>16256</v>
      </c>
      <c r="D266" s="225" t="s">
        <v>16255</v>
      </c>
      <c r="E266" s="226">
        <v>2.14</v>
      </c>
      <c r="F266" s="225" t="s">
        <v>16254</v>
      </c>
      <c r="G266" s="225" t="s">
        <v>640</v>
      </c>
      <c r="H266" s="153">
        <v>8379</v>
      </c>
    </row>
    <row r="267" spans="1:8" x14ac:dyDescent="0.2">
      <c r="A267" s="225" t="s">
        <v>16233</v>
      </c>
      <c r="B267" s="225" t="s">
        <v>16253</v>
      </c>
      <c r="C267" s="225" t="s">
        <v>16252</v>
      </c>
      <c r="D267" s="225" t="s">
        <v>4763</v>
      </c>
      <c r="E267" s="226">
        <v>5.94</v>
      </c>
      <c r="F267" s="225" t="s">
        <v>4764</v>
      </c>
      <c r="G267" s="225" t="s">
        <v>640</v>
      </c>
      <c r="H267" s="153">
        <v>8380</v>
      </c>
    </row>
    <row r="268" spans="1:8" x14ac:dyDescent="0.2">
      <c r="A268" s="225" t="s">
        <v>16233</v>
      </c>
      <c r="B268" s="225" t="s">
        <v>16251</v>
      </c>
      <c r="C268" s="225" t="s">
        <v>16250</v>
      </c>
      <c r="D268" s="225" t="s">
        <v>3433</v>
      </c>
      <c r="E268" s="226">
        <v>7.72</v>
      </c>
      <c r="F268" s="225" t="s">
        <v>3434</v>
      </c>
      <c r="G268" s="225" t="s">
        <v>640</v>
      </c>
      <c r="H268" s="153">
        <v>8381</v>
      </c>
    </row>
    <row r="269" spans="1:8" x14ac:dyDescent="0.2">
      <c r="A269" s="225" t="s">
        <v>16233</v>
      </c>
      <c r="B269" s="225" t="s">
        <v>16249</v>
      </c>
      <c r="C269" s="225" t="s">
        <v>16248</v>
      </c>
      <c r="D269" s="225" t="s">
        <v>16247</v>
      </c>
      <c r="E269" s="226">
        <v>3.36</v>
      </c>
      <c r="F269" s="225" t="s">
        <v>16246</v>
      </c>
      <c r="G269" s="225" t="s">
        <v>640</v>
      </c>
      <c r="H269" s="153">
        <v>8382</v>
      </c>
    </row>
    <row r="270" spans="1:8" x14ac:dyDescent="0.2">
      <c r="A270" s="225" t="s">
        <v>16233</v>
      </c>
      <c r="B270" s="225" t="s">
        <v>16245</v>
      </c>
      <c r="C270" s="225" t="s">
        <v>16244</v>
      </c>
      <c r="D270" s="225" t="s">
        <v>672</v>
      </c>
      <c r="E270" s="226">
        <v>6.09</v>
      </c>
      <c r="F270" s="225" t="s">
        <v>671</v>
      </c>
      <c r="G270" s="225" t="s">
        <v>640</v>
      </c>
      <c r="H270" s="153">
        <v>8383</v>
      </c>
    </row>
    <row r="271" spans="1:8" x14ac:dyDescent="0.2">
      <c r="A271" s="225" t="s">
        <v>16233</v>
      </c>
      <c r="B271" s="225" t="s">
        <v>16243</v>
      </c>
      <c r="C271" s="225" t="s">
        <v>16242</v>
      </c>
      <c r="D271" s="225" t="s">
        <v>16241</v>
      </c>
      <c r="E271" s="226">
        <v>36.85</v>
      </c>
      <c r="F271" s="225" t="s">
        <v>16240</v>
      </c>
      <c r="G271" s="225" t="s">
        <v>640</v>
      </c>
      <c r="H271" s="153">
        <v>8384</v>
      </c>
    </row>
    <row r="272" spans="1:8" x14ac:dyDescent="0.2">
      <c r="A272" s="225" t="s">
        <v>16233</v>
      </c>
      <c r="B272" s="225" t="s">
        <v>16239</v>
      </c>
      <c r="C272" s="225" t="s">
        <v>16238</v>
      </c>
      <c r="D272" s="225" t="s">
        <v>4892</v>
      </c>
      <c r="E272" s="226">
        <v>8.3000000000000007</v>
      </c>
      <c r="F272" s="225" t="s">
        <v>4893</v>
      </c>
      <c r="G272" s="225" t="s">
        <v>640</v>
      </c>
      <c r="H272" s="153">
        <v>8385</v>
      </c>
    </row>
    <row r="273" spans="1:8" x14ac:dyDescent="0.2">
      <c r="A273" s="225" t="s">
        <v>16233</v>
      </c>
      <c r="B273" s="225" t="s">
        <v>16237</v>
      </c>
      <c r="C273" s="225" t="s">
        <v>16236</v>
      </c>
      <c r="D273" s="225" t="s">
        <v>1439</v>
      </c>
      <c r="E273" s="226">
        <v>7.24</v>
      </c>
      <c r="F273" s="225" t="s">
        <v>1438</v>
      </c>
      <c r="G273" s="225" t="s">
        <v>640</v>
      </c>
      <c r="H273" s="153">
        <v>8386</v>
      </c>
    </row>
    <row r="274" spans="1:8" x14ac:dyDescent="0.2">
      <c r="A274" s="225" t="s">
        <v>16233</v>
      </c>
      <c r="B274" s="225" t="s">
        <v>16235</v>
      </c>
      <c r="C274" s="225" t="s">
        <v>16234</v>
      </c>
      <c r="D274" s="225" t="s">
        <v>4117</v>
      </c>
      <c r="E274" s="226">
        <v>17.37</v>
      </c>
      <c r="F274" s="225" t="s">
        <v>4118</v>
      </c>
      <c r="G274" s="225" t="s">
        <v>640</v>
      </c>
      <c r="H274" s="153">
        <v>8387</v>
      </c>
    </row>
    <row r="275" spans="1:8" x14ac:dyDescent="0.2">
      <c r="A275" s="225" t="s">
        <v>16233</v>
      </c>
      <c r="B275" s="225" t="s">
        <v>16232</v>
      </c>
      <c r="C275" s="225" t="s">
        <v>16231</v>
      </c>
      <c r="D275" s="225" t="s">
        <v>3211</v>
      </c>
      <c r="E275" s="226">
        <v>14.37</v>
      </c>
      <c r="F275" s="225" t="s">
        <v>3212</v>
      </c>
      <c r="G275" s="225" t="s">
        <v>640</v>
      </c>
      <c r="H275" s="153">
        <v>8388</v>
      </c>
    </row>
    <row r="276" spans="1:8" x14ac:dyDescent="0.2">
      <c r="A276" s="225"/>
      <c r="B276" s="225"/>
      <c r="C276" s="227" t="s">
        <v>3578</v>
      </c>
      <c r="D276" s="225"/>
      <c r="E276" s="278">
        <f>SUM(E254:E275)</f>
        <v>210.65000000000006</v>
      </c>
      <c r="F276" s="225"/>
      <c r="G276" s="225"/>
      <c r="H276" s="153"/>
    </row>
    <row r="277" spans="1:8" x14ac:dyDescent="0.2">
      <c r="A277" s="225" t="s">
        <v>16193</v>
      </c>
      <c r="B277" s="225" t="s">
        <v>16230</v>
      </c>
      <c r="C277" s="225" t="s">
        <v>16229</v>
      </c>
      <c r="D277" s="225" t="s">
        <v>966</v>
      </c>
      <c r="E277" s="226">
        <v>9.0399999999999991</v>
      </c>
      <c r="F277" s="225" t="s">
        <v>965</v>
      </c>
      <c r="G277" s="225" t="s">
        <v>640</v>
      </c>
      <c r="H277" s="153">
        <v>8423</v>
      </c>
    </row>
    <row r="278" spans="1:8" x14ac:dyDescent="0.2">
      <c r="A278" s="225" t="s">
        <v>16193</v>
      </c>
      <c r="B278" s="225" t="s">
        <v>16228</v>
      </c>
      <c r="C278" s="225" t="s">
        <v>16227</v>
      </c>
      <c r="D278" s="225" t="s">
        <v>1392</v>
      </c>
      <c r="E278" s="226">
        <v>3.53</v>
      </c>
      <c r="F278" s="225" t="s">
        <v>1391</v>
      </c>
      <c r="G278" s="225" t="s">
        <v>640</v>
      </c>
      <c r="H278" s="153">
        <v>8424</v>
      </c>
    </row>
    <row r="279" spans="1:8" x14ac:dyDescent="0.2">
      <c r="A279" s="225" t="s">
        <v>16193</v>
      </c>
      <c r="B279" s="225" t="s">
        <v>16226</v>
      </c>
      <c r="C279" s="225" t="s">
        <v>16225</v>
      </c>
      <c r="D279" s="225" t="s">
        <v>3484</v>
      </c>
      <c r="E279" s="226">
        <v>10.61</v>
      </c>
      <c r="F279" s="225" t="s">
        <v>3485</v>
      </c>
      <c r="G279" s="225" t="s">
        <v>640</v>
      </c>
      <c r="H279" s="153">
        <v>8425</v>
      </c>
    </row>
    <row r="280" spans="1:8" x14ac:dyDescent="0.2">
      <c r="A280" s="225" t="s">
        <v>16193</v>
      </c>
      <c r="B280" s="225" t="s">
        <v>16224</v>
      </c>
      <c r="C280" s="225" t="s">
        <v>16223</v>
      </c>
      <c r="D280" s="225" t="s">
        <v>812</v>
      </c>
      <c r="E280" s="226">
        <v>7.06</v>
      </c>
      <c r="F280" s="225" t="s">
        <v>811</v>
      </c>
      <c r="G280" s="225" t="s">
        <v>640</v>
      </c>
      <c r="H280" s="153">
        <v>8426</v>
      </c>
    </row>
    <row r="281" spans="1:8" x14ac:dyDescent="0.2">
      <c r="A281" s="225" t="s">
        <v>16193</v>
      </c>
      <c r="B281" s="225" t="s">
        <v>16222</v>
      </c>
      <c r="C281" s="225" t="s">
        <v>16221</v>
      </c>
      <c r="D281" s="225" t="s">
        <v>11050</v>
      </c>
      <c r="E281" s="226">
        <v>11.82</v>
      </c>
      <c r="F281" s="225" t="s">
        <v>11049</v>
      </c>
      <c r="G281" s="225" t="s">
        <v>640</v>
      </c>
      <c r="H281" s="153">
        <v>8427</v>
      </c>
    </row>
    <row r="282" spans="1:8" x14ac:dyDescent="0.2">
      <c r="A282" s="225" t="s">
        <v>16193</v>
      </c>
      <c r="B282" s="225" t="s">
        <v>16220</v>
      </c>
      <c r="C282" s="225" t="s">
        <v>16219</v>
      </c>
      <c r="D282" s="225" t="s">
        <v>1277</v>
      </c>
      <c r="E282" s="226">
        <v>1.57</v>
      </c>
      <c r="F282" s="225" t="s">
        <v>1276</v>
      </c>
      <c r="G282" s="225" t="s">
        <v>640</v>
      </c>
      <c r="H282" s="153">
        <v>8428</v>
      </c>
    </row>
    <row r="283" spans="1:8" x14ac:dyDescent="0.2">
      <c r="A283" s="225" t="s">
        <v>16193</v>
      </c>
      <c r="B283" s="225" t="s">
        <v>16218</v>
      </c>
      <c r="C283" s="225" t="s">
        <v>16217</v>
      </c>
      <c r="D283" s="225" t="s">
        <v>987</v>
      </c>
      <c r="E283" s="226">
        <v>7.21</v>
      </c>
      <c r="F283" s="225" t="s">
        <v>986</v>
      </c>
      <c r="G283" s="225" t="s">
        <v>640</v>
      </c>
      <c r="H283" s="153">
        <v>8429</v>
      </c>
    </row>
    <row r="284" spans="1:8" x14ac:dyDescent="0.2">
      <c r="A284" s="225" t="s">
        <v>16193</v>
      </c>
      <c r="B284" s="225" t="s">
        <v>10638</v>
      </c>
      <c r="C284" s="225" t="s">
        <v>16216</v>
      </c>
      <c r="D284" s="225" t="s">
        <v>5569</v>
      </c>
      <c r="E284" s="226">
        <v>7.3</v>
      </c>
      <c r="F284" s="225" t="s">
        <v>5566</v>
      </c>
      <c r="G284" s="225" t="s">
        <v>640</v>
      </c>
      <c r="H284" s="153">
        <v>8430</v>
      </c>
    </row>
    <row r="285" spans="1:8" x14ac:dyDescent="0.2">
      <c r="A285" s="225" t="s">
        <v>16193</v>
      </c>
      <c r="B285" s="225" t="s">
        <v>16215</v>
      </c>
      <c r="C285" s="225" t="s">
        <v>16214</v>
      </c>
      <c r="D285" s="225" t="s">
        <v>5565</v>
      </c>
      <c r="E285" s="226">
        <v>1.94</v>
      </c>
      <c r="F285" s="225" t="s">
        <v>5566</v>
      </c>
      <c r="G285" s="225" t="s">
        <v>640</v>
      </c>
      <c r="H285" s="153">
        <v>8431</v>
      </c>
    </row>
    <row r="286" spans="1:8" x14ac:dyDescent="0.2">
      <c r="A286" s="225" t="s">
        <v>16193</v>
      </c>
      <c r="B286" s="225" t="s">
        <v>16213</v>
      </c>
      <c r="C286" s="225" t="s">
        <v>16212</v>
      </c>
      <c r="D286" s="225" t="s">
        <v>4419</v>
      </c>
      <c r="E286" s="226">
        <v>7.28</v>
      </c>
      <c r="F286" s="225" t="s">
        <v>4420</v>
      </c>
      <c r="G286" s="225" t="s">
        <v>640</v>
      </c>
      <c r="H286" s="153">
        <v>8432</v>
      </c>
    </row>
    <row r="287" spans="1:8" x14ac:dyDescent="0.2">
      <c r="A287" s="225" t="s">
        <v>16193</v>
      </c>
      <c r="B287" s="225" t="s">
        <v>16211</v>
      </c>
      <c r="C287" s="225" t="s">
        <v>16210</v>
      </c>
      <c r="D287" s="225" t="s">
        <v>16209</v>
      </c>
      <c r="E287" s="226">
        <v>0.75</v>
      </c>
      <c r="F287" s="225" t="s">
        <v>16208</v>
      </c>
      <c r="G287" s="225" t="s">
        <v>640</v>
      </c>
      <c r="H287" s="153">
        <v>8433</v>
      </c>
    </row>
    <row r="288" spans="1:8" x14ac:dyDescent="0.2">
      <c r="A288" s="225" t="s">
        <v>16193</v>
      </c>
      <c r="B288" s="225" t="s">
        <v>16207</v>
      </c>
      <c r="C288" s="225" t="s">
        <v>16206</v>
      </c>
      <c r="D288" s="225" t="s">
        <v>3663</v>
      </c>
      <c r="E288" s="226">
        <v>7.42</v>
      </c>
      <c r="F288" s="225" t="s">
        <v>3664</v>
      </c>
      <c r="G288" s="225" t="s">
        <v>640</v>
      </c>
      <c r="H288" s="153">
        <v>8434</v>
      </c>
    </row>
    <row r="289" spans="1:8" x14ac:dyDescent="0.2">
      <c r="A289" s="225" t="s">
        <v>16193</v>
      </c>
      <c r="B289" s="225" t="s">
        <v>16205</v>
      </c>
      <c r="C289" s="225" t="s">
        <v>16204</v>
      </c>
      <c r="D289" s="225" t="s">
        <v>16203</v>
      </c>
      <c r="E289" s="226">
        <v>5.0599999999999996</v>
      </c>
      <c r="F289" s="225" t="s">
        <v>16202</v>
      </c>
      <c r="G289" s="225" t="s">
        <v>640</v>
      </c>
      <c r="H289" s="153">
        <v>8435</v>
      </c>
    </row>
    <row r="290" spans="1:8" x14ac:dyDescent="0.2">
      <c r="A290" s="225" t="s">
        <v>16193</v>
      </c>
      <c r="B290" s="225" t="s">
        <v>16201</v>
      </c>
      <c r="C290" s="225" t="s">
        <v>16200</v>
      </c>
      <c r="D290" s="225" t="s">
        <v>4991</v>
      </c>
      <c r="E290" s="226">
        <v>9.77</v>
      </c>
      <c r="F290" s="225" t="s">
        <v>4992</v>
      </c>
      <c r="G290" s="225" t="s">
        <v>640</v>
      </c>
      <c r="H290" s="153">
        <v>8436</v>
      </c>
    </row>
    <row r="291" spans="1:8" x14ac:dyDescent="0.2">
      <c r="A291" s="225" t="s">
        <v>16193</v>
      </c>
      <c r="B291" s="225" t="s">
        <v>16199</v>
      </c>
      <c r="C291" s="225" t="s">
        <v>16198</v>
      </c>
      <c r="D291" s="225" t="s">
        <v>4026</v>
      </c>
      <c r="E291" s="226">
        <v>13</v>
      </c>
      <c r="F291" s="225" t="s">
        <v>4027</v>
      </c>
      <c r="G291" s="225" t="s">
        <v>640</v>
      </c>
      <c r="H291" s="153">
        <v>8437</v>
      </c>
    </row>
    <row r="292" spans="1:8" x14ac:dyDescent="0.2">
      <c r="A292" s="225" t="s">
        <v>16193</v>
      </c>
      <c r="B292" s="225" t="s">
        <v>16197</v>
      </c>
      <c r="C292" s="225" t="s">
        <v>16196</v>
      </c>
      <c r="D292" s="225" t="s">
        <v>4150</v>
      </c>
      <c r="E292" s="226">
        <v>5.41</v>
      </c>
      <c r="F292" s="225" t="s">
        <v>4151</v>
      </c>
      <c r="G292" s="225" t="s">
        <v>640</v>
      </c>
      <c r="H292" s="153">
        <v>8438</v>
      </c>
    </row>
    <row r="293" spans="1:8" x14ac:dyDescent="0.2">
      <c r="A293" s="225" t="s">
        <v>16193</v>
      </c>
      <c r="B293" s="225" t="s">
        <v>16195</v>
      </c>
      <c r="C293" s="225" t="s">
        <v>16194</v>
      </c>
      <c r="D293" s="225" t="s">
        <v>4154</v>
      </c>
      <c r="E293" s="226">
        <v>4.3600000000000003</v>
      </c>
      <c r="F293" s="225" t="s">
        <v>4151</v>
      </c>
      <c r="G293" s="225" t="s">
        <v>640</v>
      </c>
      <c r="H293" s="153">
        <v>8439</v>
      </c>
    </row>
    <row r="294" spans="1:8" x14ac:dyDescent="0.2">
      <c r="A294" s="225" t="s">
        <v>16193</v>
      </c>
      <c r="B294" s="225" t="s">
        <v>16192</v>
      </c>
      <c r="C294" s="225" t="s">
        <v>16191</v>
      </c>
      <c r="D294" s="225" t="s">
        <v>1460</v>
      </c>
      <c r="E294" s="226">
        <v>15.34</v>
      </c>
      <c r="F294" s="225" t="s">
        <v>1459</v>
      </c>
      <c r="G294" s="225" t="s">
        <v>640</v>
      </c>
      <c r="H294" s="153">
        <v>8440</v>
      </c>
    </row>
    <row r="295" spans="1:8" x14ac:dyDescent="0.2">
      <c r="A295" s="225"/>
      <c r="B295" s="225"/>
      <c r="C295" s="227" t="s">
        <v>3578</v>
      </c>
      <c r="D295" s="225"/>
      <c r="E295" s="278">
        <f>SUM(E277:E294)</f>
        <v>128.47</v>
      </c>
      <c r="F295" s="225"/>
      <c r="G295" s="225"/>
      <c r="H295" s="153"/>
    </row>
    <row r="296" spans="1:8" x14ac:dyDescent="0.2">
      <c r="A296" s="225" t="s">
        <v>16164</v>
      </c>
      <c r="B296" s="225" t="s">
        <v>16190</v>
      </c>
      <c r="C296" s="225" t="s">
        <v>16189</v>
      </c>
      <c r="D296" s="225" t="s">
        <v>11219</v>
      </c>
      <c r="E296" s="226">
        <v>6.05</v>
      </c>
      <c r="F296" s="225" t="s">
        <v>11218</v>
      </c>
      <c r="G296" s="225" t="s">
        <v>640</v>
      </c>
      <c r="H296" s="153">
        <v>8473</v>
      </c>
    </row>
    <row r="297" spans="1:8" x14ac:dyDescent="0.2">
      <c r="A297" s="225" t="s">
        <v>16164</v>
      </c>
      <c r="B297" s="225" t="s">
        <v>16188</v>
      </c>
      <c r="C297" s="225" t="s">
        <v>16187</v>
      </c>
      <c r="D297" s="225" t="s">
        <v>16186</v>
      </c>
      <c r="E297" s="226">
        <v>29.07</v>
      </c>
      <c r="F297" s="225" t="s">
        <v>16185</v>
      </c>
      <c r="G297" s="225" t="s">
        <v>640</v>
      </c>
      <c r="H297" s="153">
        <v>8474</v>
      </c>
    </row>
    <row r="298" spans="1:8" x14ac:dyDescent="0.2">
      <c r="A298" s="225" t="s">
        <v>16164</v>
      </c>
      <c r="B298" s="225" t="s">
        <v>16184</v>
      </c>
      <c r="C298" s="225" t="s">
        <v>16183</v>
      </c>
      <c r="D298" s="225" t="s">
        <v>1036</v>
      </c>
      <c r="E298" s="226">
        <v>2.2400000000000002</v>
      </c>
      <c r="F298" s="225" t="s">
        <v>1035</v>
      </c>
      <c r="G298" s="225" t="s">
        <v>640</v>
      </c>
      <c r="H298" s="153">
        <v>8475</v>
      </c>
    </row>
    <row r="299" spans="1:8" x14ac:dyDescent="0.2">
      <c r="A299" s="225" t="s">
        <v>16164</v>
      </c>
      <c r="B299" s="225" t="s">
        <v>16182</v>
      </c>
      <c r="C299" s="225" t="s">
        <v>16181</v>
      </c>
      <c r="D299" s="225" t="s">
        <v>5752</v>
      </c>
      <c r="E299" s="226">
        <v>13.96</v>
      </c>
      <c r="F299" s="225" t="s">
        <v>5753</v>
      </c>
      <c r="G299" s="225" t="s">
        <v>640</v>
      </c>
      <c r="H299" s="153">
        <v>8476</v>
      </c>
    </row>
    <row r="300" spans="1:8" x14ac:dyDescent="0.2">
      <c r="A300" s="225" t="s">
        <v>16164</v>
      </c>
      <c r="B300" s="225" t="s">
        <v>16180</v>
      </c>
      <c r="C300" s="225" t="s">
        <v>16179</v>
      </c>
      <c r="D300" s="225" t="s">
        <v>930</v>
      </c>
      <c r="E300" s="226">
        <v>6.78</v>
      </c>
      <c r="F300" s="225" t="s">
        <v>929</v>
      </c>
      <c r="G300" s="225" t="s">
        <v>640</v>
      </c>
      <c r="H300" s="153">
        <v>8477</v>
      </c>
    </row>
    <row r="301" spans="1:8" x14ac:dyDescent="0.2">
      <c r="A301" s="225" t="s">
        <v>16164</v>
      </c>
      <c r="B301" s="225" t="s">
        <v>16178</v>
      </c>
      <c r="C301" s="225" t="s">
        <v>16177</v>
      </c>
      <c r="D301" s="225" t="s">
        <v>16176</v>
      </c>
      <c r="E301" s="226">
        <v>4.22</v>
      </c>
      <c r="F301" s="225" t="s">
        <v>16175</v>
      </c>
      <c r="G301" s="225" t="s">
        <v>640</v>
      </c>
      <c r="H301" s="153">
        <v>8478</v>
      </c>
    </row>
    <row r="302" spans="1:8" x14ac:dyDescent="0.2">
      <c r="A302" s="225" t="s">
        <v>16164</v>
      </c>
      <c r="B302" s="225" t="s">
        <v>16174</v>
      </c>
      <c r="C302" s="225" t="s">
        <v>16173</v>
      </c>
      <c r="D302" s="225" t="s">
        <v>16172</v>
      </c>
      <c r="E302" s="226">
        <v>1.18</v>
      </c>
      <c r="F302" s="225" t="s">
        <v>16171</v>
      </c>
      <c r="G302" s="225" t="s">
        <v>640</v>
      </c>
      <c r="H302" s="153">
        <v>8479</v>
      </c>
    </row>
    <row r="303" spans="1:8" x14ac:dyDescent="0.2">
      <c r="A303" s="225" t="s">
        <v>16164</v>
      </c>
      <c r="B303" s="225" t="s">
        <v>16170</v>
      </c>
      <c r="C303" s="225" t="s">
        <v>16169</v>
      </c>
      <c r="D303" s="225" t="s">
        <v>3056</v>
      </c>
      <c r="E303" s="226">
        <v>3.51</v>
      </c>
      <c r="F303" s="225" t="s">
        <v>3057</v>
      </c>
      <c r="G303" s="225" t="s">
        <v>640</v>
      </c>
      <c r="H303" s="153">
        <v>8480</v>
      </c>
    </row>
    <row r="304" spans="1:8" x14ac:dyDescent="0.2">
      <c r="A304" s="225" t="s">
        <v>16164</v>
      </c>
      <c r="B304" s="225" t="s">
        <v>16168</v>
      </c>
      <c r="C304" s="225" t="s">
        <v>16167</v>
      </c>
      <c r="D304" s="225" t="s">
        <v>814</v>
      </c>
      <c r="E304" s="226">
        <v>1.85</v>
      </c>
      <c r="F304" s="225" t="s">
        <v>813</v>
      </c>
      <c r="G304" s="225" t="s">
        <v>640</v>
      </c>
      <c r="H304" s="153">
        <v>8481</v>
      </c>
    </row>
    <row r="305" spans="1:8" x14ac:dyDescent="0.2">
      <c r="A305" s="225" t="s">
        <v>16164</v>
      </c>
      <c r="B305" s="225" t="s">
        <v>16166</v>
      </c>
      <c r="C305" s="225" t="s">
        <v>16165</v>
      </c>
      <c r="D305" s="225" t="s">
        <v>10658</v>
      </c>
      <c r="E305" s="226">
        <v>1.68</v>
      </c>
      <c r="F305" s="225" t="s">
        <v>10657</v>
      </c>
      <c r="G305" s="225" t="s">
        <v>640</v>
      </c>
      <c r="H305" s="153">
        <v>8482</v>
      </c>
    </row>
    <row r="306" spans="1:8" x14ac:dyDescent="0.2">
      <c r="A306" s="225" t="s">
        <v>16164</v>
      </c>
      <c r="B306" s="225" t="s">
        <v>16163</v>
      </c>
      <c r="C306" s="225" t="s">
        <v>16162</v>
      </c>
      <c r="D306" s="225" t="s">
        <v>849</v>
      </c>
      <c r="E306" s="226">
        <v>3.64</v>
      </c>
      <c r="F306" s="225" t="s">
        <v>848</v>
      </c>
      <c r="G306" s="225" t="s">
        <v>640</v>
      </c>
      <c r="H306" s="153">
        <v>8483</v>
      </c>
    </row>
    <row r="307" spans="1:8" x14ac:dyDescent="0.2">
      <c r="A307" s="225"/>
      <c r="B307" s="225"/>
      <c r="C307" s="227" t="s">
        <v>3579</v>
      </c>
      <c r="D307" s="225"/>
      <c r="E307" s="278">
        <f>SUM(E296:E306)</f>
        <v>74.180000000000007</v>
      </c>
      <c r="F307" s="225"/>
      <c r="G307" s="225"/>
      <c r="H307" s="153"/>
    </row>
    <row r="308" spans="1:8" x14ac:dyDescent="0.2">
      <c r="A308" s="225" t="s">
        <v>16145</v>
      </c>
      <c r="B308" s="225" t="s">
        <v>16161</v>
      </c>
      <c r="C308" s="225" t="s">
        <v>16160</v>
      </c>
      <c r="D308" s="225" t="s">
        <v>1275</v>
      </c>
      <c r="E308" s="226">
        <v>2.74</v>
      </c>
      <c r="F308" s="225" t="s">
        <v>1274</v>
      </c>
      <c r="G308" s="225" t="s">
        <v>640</v>
      </c>
      <c r="H308" s="153">
        <v>8485</v>
      </c>
    </row>
    <row r="309" spans="1:8" x14ac:dyDescent="0.2">
      <c r="A309" s="225" t="s">
        <v>16145</v>
      </c>
      <c r="B309" s="225" t="s">
        <v>16159</v>
      </c>
      <c r="C309" s="225" t="s">
        <v>16158</v>
      </c>
      <c r="D309" s="225" t="s">
        <v>16157</v>
      </c>
      <c r="E309" s="226">
        <v>28.7</v>
      </c>
      <c r="F309" s="225" t="s">
        <v>16156</v>
      </c>
      <c r="G309" s="225" t="s">
        <v>640</v>
      </c>
      <c r="H309" s="153">
        <v>8486</v>
      </c>
    </row>
    <row r="310" spans="1:8" x14ac:dyDescent="0.2">
      <c r="A310" s="225" t="s">
        <v>16145</v>
      </c>
      <c r="B310" s="225" t="s">
        <v>16155</v>
      </c>
      <c r="C310" s="225" t="s">
        <v>16154</v>
      </c>
      <c r="D310" s="225" t="s">
        <v>1231</v>
      </c>
      <c r="E310" s="226">
        <v>11.76</v>
      </c>
      <c r="F310" s="225" t="s">
        <v>1230</v>
      </c>
      <c r="G310" s="225" t="s">
        <v>640</v>
      </c>
      <c r="H310" s="153">
        <v>8487</v>
      </c>
    </row>
    <row r="311" spans="1:8" x14ac:dyDescent="0.2">
      <c r="A311" s="225" t="s">
        <v>16145</v>
      </c>
      <c r="B311" s="225" t="s">
        <v>16153</v>
      </c>
      <c r="C311" s="225" t="s">
        <v>16152</v>
      </c>
      <c r="D311" s="225" t="s">
        <v>2919</v>
      </c>
      <c r="E311" s="226">
        <v>6.55</v>
      </c>
      <c r="F311" s="225" t="s">
        <v>2920</v>
      </c>
      <c r="G311" s="225" t="s">
        <v>640</v>
      </c>
      <c r="H311" s="153">
        <v>8488</v>
      </c>
    </row>
    <row r="312" spans="1:8" x14ac:dyDescent="0.2">
      <c r="A312" s="225" t="s">
        <v>16145</v>
      </c>
      <c r="B312" s="225" t="s">
        <v>16151</v>
      </c>
      <c r="C312" s="225" t="s">
        <v>16150</v>
      </c>
      <c r="D312" s="225" t="s">
        <v>4550</v>
      </c>
      <c r="E312" s="226">
        <v>1.68</v>
      </c>
      <c r="F312" s="225" t="s">
        <v>4551</v>
      </c>
      <c r="G312" s="225" t="s">
        <v>640</v>
      </c>
      <c r="H312" s="153">
        <v>8489</v>
      </c>
    </row>
    <row r="313" spans="1:8" x14ac:dyDescent="0.2">
      <c r="A313" s="225" t="s">
        <v>16145</v>
      </c>
      <c r="B313" s="225" t="s">
        <v>16149</v>
      </c>
      <c r="C313" s="225" t="s">
        <v>16148</v>
      </c>
      <c r="D313" s="225" t="s">
        <v>16147</v>
      </c>
      <c r="E313" s="226">
        <v>2.0299999999999998</v>
      </c>
      <c r="F313" s="225" t="s">
        <v>16146</v>
      </c>
      <c r="G313" s="225" t="s">
        <v>640</v>
      </c>
      <c r="H313" s="153">
        <v>8490</v>
      </c>
    </row>
    <row r="314" spans="1:8" x14ac:dyDescent="0.2">
      <c r="A314" s="225" t="s">
        <v>16145</v>
      </c>
      <c r="B314" s="225" t="s">
        <v>16144</v>
      </c>
      <c r="C314" s="225" t="s">
        <v>16143</v>
      </c>
      <c r="D314" s="225" t="s">
        <v>10736</v>
      </c>
      <c r="E314" s="226">
        <v>6.48</v>
      </c>
      <c r="F314" s="225" t="s">
        <v>10735</v>
      </c>
      <c r="G314" s="225" t="s">
        <v>640</v>
      </c>
      <c r="H314" s="153">
        <v>8491</v>
      </c>
    </row>
    <row r="315" spans="1:8" x14ac:dyDescent="0.2">
      <c r="A315" s="225"/>
      <c r="B315" s="225"/>
      <c r="C315" s="227" t="s">
        <v>3579</v>
      </c>
      <c r="D315" s="225"/>
      <c r="E315" s="278">
        <f>SUM(E308:E314)</f>
        <v>59.94</v>
      </c>
      <c r="F315" s="225"/>
      <c r="G315" s="225"/>
      <c r="H315" s="153"/>
    </row>
    <row r="316" spans="1:8" x14ac:dyDescent="0.2">
      <c r="A316" s="225" t="s">
        <v>16136</v>
      </c>
      <c r="B316" s="225" t="s">
        <v>16142</v>
      </c>
      <c r="C316" s="225" t="s">
        <v>16141</v>
      </c>
      <c r="D316" s="225" t="s">
        <v>712</v>
      </c>
      <c r="E316" s="226">
        <v>1.85</v>
      </c>
      <c r="F316" s="225" t="s">
        <v>711</v>
      </c>
      <c r="G316" s="225" t="s">
        <v>640</v>
      </c>
      <c r="H316" s="153">
        <v>8492</v>
      </c>
    </row>
    <row r="317" spans="1:8" x14ac:dyDescent="0.2">
      <c r="A317" s="225" t="s">
        <v>16136</v>
      </c>
      <c r="B317" s="225" t="s">
        <v>16140</v>
      </c>
      <c r="C317" s="225" t="s">
        <v>16139</v>
      </c>
      <c r="D317" s="225" t="s">
        <v>6052</v>
      </c>
      <c r="E317" s="226">
        <v>3.36</v>
      </c>
      <c r="F317" s="225" t="s">
        <v>6053</v>
      </c>
      <c r="G317" s="225" t="s">
        <v>640</v>
      </c>
      <c r="H317" s="153">
        <v>8493</v>
      </c>
    </row>
    <row r="318" spans="1:8" x14ac:dyDescent="0.2">
      <c r="A318" s="225" t="s">
        <v>16136</v>
      </c>
      <c r="B318" s="225" t="s">
        <v>16138</v>
      </c>
      <c r="C318" s="225" t="s">
        <v>16137</v>
      </c>
      <c r="D318" s="225" t="s">
        <v>3671</v>
      </c>
      <c r="E318" s="226">
        <v>6.67</v>
      </c>
      <c r="F318" s="225" t="s">
        <v>3672</v>
      </c>
      <c r="G318" s="225" t="s">
        <v>640</v>
      </c>
      <c r="H318" s="153">
        <v>8494</v>
      </c>
    </row>
    <row r="319" spans="1:8" x14ac:dyDescent="0.2">
      <c r="A319" s="225" t="s">
        <v>16136</v>
      </c>
      <c r="B319" s="225" t="s">
        <v>16135</v>
      </c>
      <c r="C319" s="225" t="s">
        <v>16134</v>
      </c>
      <c r="D319" s="225" t="s">
        <v>5658</v>
      </c>
      <c r="E319" s="226">
        <v>15.65</v>
      </c>
      <c r="F319" s="225" t="s">
        <v>5659</v>
      </c>
      <c r="G319" s="225" t="s">
        <v>640</v>
      </c>
      <c r="H319" s="153">
        <v>8495</v>
      </c>
    </row>
    <row r="320" spans="1:8" x14ac:dyDescent="0.2">
      <c r="A320" s="225"/>
      <c r="B320" s="225"/>
      <c r="C320" s="227" t="s">
        <v>3579</v>
      </c>
      <c r="D320" s="225"/>
      <c r="E320" s="278">
        <f>SUM(E316:E319)</f>
        <v>27.53</v>
      </c>
      <c r="F320" s="225"/>
      <c r="G320" s="225"/>
      <c r="H320" s="153"/>
    </row>
    <row r="321" spans="1:8" x14ac:dyDescent="0.2">
      <c r="A321" s="225" t="s">
        <v>16090</v>
      </c>
      <c r="B321" s="225" t="s">
        <v>16133</v>
      </c>
      <c r="C321" s="225" t="s">
        <v>16132</v>
      </c>
      <c r="D321" s="225" t="s">
        <v>4129</v>
      </c>
      <c r="E321" s="226">
        <v>2.44</v>
      </c>
      <c r="F321" s="225" t="s">
        <v>4130</v>
      </c>
      <c r="G321" s="225" t="s">
        <v>640</v>
      </c>
      <c r="H321" s="153">
        <v>8526</v>
      </c>
    </row>
    <row r="322" spans="1:8" x14ac:dyDescent="0.2">
      <c r="A322" s="225" t="s">
        <v>16090</v>
      </c>
      <c r="B322" s="225" t="s">
        <v>11310</v>
      </c>
      <c r="C322" s="225" t="s">
        <v>16131</v>
      </c>
      <c r="D322" s="225" t="s">
        <v>656</v>
      </c>
      <c r="E322" s="226">
        <v>3.44</v>
      </c>
      <c r="F322" s="225" t="s">
        <v>655</v>
      </c>
      <c r="G322" s="225" t="s">
        <v>640</v>
      </c>
      <c r="H322" s="153">
        <v>8527</v>
      </c>
    </row>
    <row r="323" spans="1:8" x14ac:dyDescent="0.2">
      <c r="A323" s="225" t="s">
        <v>16090</v>
      </c>
      <c r="B323" s="225" t="s">
        <v>16130</v>
      </c>
      <c r="C323" s="225" t="s">
        <v>16129</v>
      </c>
      <c r="D323" s="225" t="s">
        <v>800</v>
      </c>
      <c r="E323" s="226">
        <v>5.04</v>
      </c>
      <c r="F323" s="225" t="s">
        <v>799</v>
      </c>
      <c r="G323" s="225" t="s">
        <v>640</v>
      </c>
      <c r="H323" s="153">
        <v>8528</v>
      </c>
    </row>
    <row r="324" spans="1:8" x14ac:dyDescent="0.2">
      <c r="A324" s="225" t="s">
        <v>16090</v>
      </c>
      <c r="B324" s="225" t="s">
        <v>16128</v>
      </c>
      <c r="C324" s="225" t="s">
        <v>16127</v>
      </c>
      <c r="D324" s="225" t="s">
        <v>3609</v>
      </c>
      <c r="E324" s="226">
        <v>7.76</v>
      </c>
      <c r="F324" s="225" t="s">
        <v>3610</v>
      </c>
      <c r="G324" s="225" t="s">
        <v>640</v>
      </c>
      <c r="H324" s="153">
        <v>8529</v>
      </c>
    </row>
    <row r="325" spans="1:8" x14ac:dyDescent="0.2">
      <c r="A325" s="225" t="s">
        <v>16090</v>
      </c>
      <c r="B325" s="225" t="s">
        <v>16126</v>
      </c>
      <c r="C325" s="225" t="s">
        <v>16125</v>
      </c>
      <c r="D325" s="225" t="s">
        <v>1195</v>
      </c>
      <c r="E325" s="226">
        <v>4.3</v>
      </c>
      <c r="F325" s="225" t="s">
        <v>1194</v>
      </c>
      <c r="G325" s="225" t="s">
        <v>640</v>
      </c>
      <c r="H325" s="153">
        <v>8530</v>
      </c>
    </row>
    <row r="326" spans="1:8" x14ac:dyDescent="0.2">
      <c r="A326" s="225" t="s">
        <v>16090</v>
      </c>
      <c r="B326" s="225" t="s">
        <v>4970</v>
      </c>
      <c r="C326" s="225" t="s">
        <v>16124</v>
      </c>
      <c r="D326" s="225" t="s">
        <v>787</v>
      </c>
      <c r="E326" s="226">
        <v>6.97</v>
      </c>
      <c r="F326" s="225" t="s">
        <v>785</v>
      </c>
      <c r="G326" s="225" t="s">
        <v>640</v>
      </c>
      <c r="H326" s="153">
        <v>8531</v>
      </c>
    </row>
    <row r="327" spans="1:8" x14ac:dyDescent="0.2">
      <c r="A327" s="225" t="s">
        <v>16090</v>
      </c>
      <c r="B327" s="225" t="s">
        <v>15967</v>
      </c>
      <c r="C327" s="225" t="s">
        <v>16123</v>
      </c>
      <c r="D327" s="225" t="s">
        <v>786</v>
      </c>
      <c r="E327" s="226">
        <v>2.87</v>
      </c>
      <c r="F327" s="225" t="s">
        <v>785</v>
      </c>
      <c r="G327" s="225" t="s">
        <v>640</v>
      </c>
      <c r="H327" s="153">
        <v>8532</v>
      </c>
    </row>
    <row r="328" spans="1:8" x14ac:dyDescent="0.2">
      <c r="A328" s="225" t="s">
        <v>16090</v>
      </c>
      <c r="B328" s="225" t="s">
        <v>16122</v>
      </c>
      <c r="C328" s="225" t="s">
        <v>16121</v>
      </c>
      <c r="D328" s="225" t="s">
        <v>842</v>
      </c>
      <c r="E328" s="226">
        <v>4.58</v>
      </c>
      <c r="F328" s="225" t="s">
        <v>841</v>
      </c>
      <c r="G328" s="225" t="s">
        <v>640</v>
      </c>
      <c r="H328" s="153">
        <v>8533</v>
      </c>
    </row>
    <row r="329" spans="1:8" x14ac:dyDescent="0.2">
      <c r="A329" s="225" t="s">
        <v>16090</v>
      </c>
      <c r="B329" s="225" t="s">
        <v>16120</v>
      </c>
      <c r="C329" s="225" t="s">
        <v>16119</v>
      </c>
      <c r="D329" s="225" t="s">
        <v>857</v>
      </c>
      <c r="E329" s="226">
        <v>1.68</v>
      </c>
      <c r="F329" s="225" t="s">
        <v>856</v>
      </c>
      <c r="G329" s="225" t="s">
        <v>640</v>
      </c>
      <c r="H329" s="153">
        <v>8534</v>
      </c>
    </row>
    <row r="330" spans="1:8" x14ac:dyDescent="0.2">
      <c r="A330" s="225" t="s">
        <v>16090</v>
      </c>
      <c r="B330" s="225" t="s">
        <v>16118</v>
      </c>
      <c r="C330" s="225" t="s">
        <v>16117</v>
      </c>
      <c r="D330" s="225" t="s">
        <v>3704</v>
      </c>
      <c r="E330" s="226">
        <v>2.92</v>
      </c>
      <c r="F330" s="225" t="s">
        <v>3705</v>
      </c>
      <c r="G330" s="225" t="s">
        <v>640</v>
      </c>
      <c r="H330" s="153">
        <v>8535</v>
      </c>
    </row>
    <row r="331" spans="1:8" x14ac:dyDescent="0.2">
      <c r="A331" s="225" t="s">
        <v>16090</v>
      </c>
      <c r="B331" s="225" t="s">
        <v>16116</v>
      </c>
      <c r="C331" s="225" t="s">
        <v>16115</v>
      </c>
      <c r="D331" s="225" t="s">
        <v>4349</v>
      </c>
      <c r="E331" s="226">
        <v>4.2300000000000004</v>
      </c>
      <c r="F331" s="225" t="s">
        <v>4350</v>
      </c>
      <c r="G331" s="225" t="s">
        <v>640</v>
      </c>
      <c r="H331" s="153">
        <v>8536</v>
      </c>
    </row>
    <row r="332" spans="1:8" x14ac:dyDescent="0.2">
      <c r="A332" s="225" t="s">
        <v>16090</v>
      </c>
      <c r="B332" s="225" t="s">
        <v>2783</v>
      </c>
      <c r="C332" s="225" t="s">
        <v>16114</v>
      </c>
      <c r="D332" s="225" t="s">
        <v>4169</v>
      </c>
      <c r="E332" s="226">
        <v>1.84</v>
      </c>
      <c r="F332" s="225" t="s">
        <v>4170</v>
      </c>
      <c r="G332" s="225" t="s">
        <v>640</v>
      </c>
      <c r="H332" s="153">
        <v>8537</v>
      </c>
    </row>
    <row r="333" spans="1:8" x14ac:dyDescent="0.2">
      <c r="A333" s="225" t="s">
        <v>16090</v>
      </c>
      <c r="B333" s="225" t="s">
        <v>16113</v>
      </c>
      <c r="C333" s="225" t="s">
        <v>16112</v>
      </c>
      <c r="D333" s="225" t="s">
        <v>4173</v>
      </c>
      <c r="E333" s="226">
        <v>2.35</v>
      </c>
      <c r="F333" s="225" t="s">
        <v>4174</v>
      </c>
      <c r="G333" s="225" t="s">
        <v>640</v>
      </c>
      <c r="H333" s="153">
        <v>8538</v>
      </c>
    </row>
    <row r="334" spans="1:8" x14ac:dyDescent="0.2">
      <c r="A334" s="225" t="s">
        <v>16090</v>
      </c>
      <c r="B334" s="225" t="s">
        <v>16111</v>
      </c>
      <c r="C334" s="225" t="s">
        <v>16110</v>
      </c>
      <c r="D334" s="225" t="s">
        <v>16109</v>
      </c>
      <c r="E334" s="226">
        <v>5.14</v>
      </c>
      <c r="F334" s="225" t="s">
        <v>16108</v>
      </c>
      <c r="G334" s="225" t="s">
        <v>640</v>
      </c>
      <c r="H334" s="153">
        <v>8539</v>
      </c>
    </row>
    <row r="335" spans="1:8" x14ac:dyDescent="0.2">
      <c r="A335" s="225" t="s">
        <v>16090</v>
      </c>
      <c r="B335" s="225" t="s">
        <v>16107</v>
      </c>
      <c r="C335" s="225" t="s">
        <v>16106</v>
      </c>
      <c r="D335" s="225" t="s">
        <v>1491</v>
      </c>
      <c r="E335" s="226">
        <v>6.3</v>
      </c>
      <c r="F335" s="225" t="s">
        <v>1490</v>
      </c>
      <c r="G335" s="225" t="s">
        <v>640</v>
      </c>
      <c r="H335" s="153">
        <v>8540</v>
      </c>
    </row>
    <row r="336" spans="1:8" x14ac:dyDescent="0.2">
      <c r="A336" s="225" t="s">
        <v>16090</v>
      </c>
      <c r="B336" s="225" t="s">
        <v>16105</v>
      </c>
      <c r="C336" s="225" t="s">
        <v>16104</v>
      </c>
      <c r="D336" s="225" t="s">
        <v>761</v>
      </c>
      <c r="E336" s="226">
        <v>2.0499999999999998</v>
      </c>
      <c r="F336" s="225" t="s">
        <v>760</v>
      </c>
      <c r="G336" s="225" t="s">
        <v>640</v>
      </c>
      <c r="H336" s="153" t="s">
        <v>16103</v>
      </c>
    </row>
    <row r="337" spans="1:8" x14ac:dyDescent="0.2">
      <c r="A337" s="225" t="s">
        <v>16090</v>
      </c>
      <c r="B337" s="225" t="s">
        <v>16102</v>
      </c>
      <c r="C337" s="225" t="s">
        <v>16101</v>
      </c>
      <c r="D337" s="225" t="s">
        <v>4785</v>
      </c>
      <c r="E337" s="226">
        <v>2.56</v>
      </c>
      <c r="F337" s="225" t="s">
        <v>4786</v>
      </c>
      <c r="G337" s="225" t="s">
        <v>640</v>
      </c>
      <c r="H337" s="153">
        <v>8541</v>
      </c>
    </row>
    <row r="338" spans="1:8" x14ac:dyDescent="0.2">
      <c r="A338" s="225" t="s">
        <v>16090</v>
      </c>
      <c r="B338" s="225" t="s">
        <v>16100</v>
      </c>
      <c r="C338" s="225" t="s">
        <v>16099</v>
      </c>
      <c r="D338" s="225" t="s">
        <v>4125</v>
      </c>
      <c r="E338" s="226">
        <v>21.81</v>
      </c>
      <c r="F338" s="225" t="s">
        <v>4126</v>
      </c>
      <c r="G338" s="225" t="s">
        <v>640</v>
      </c>
      <c r="H338" s="153">
        <v>8542</v>
      </c>
    </row>
    <row r="339" spans="1:8" x14ac:dyDescent="0.2">
      <c r="A339" s="225" t="s">
        <v>16090</v>
      </c>
      <c r="B339" s="225" t="s">
        <v>16098</v>
      </c>
      <c r="C339" s="225" t="s">
        <v>16097</v>
      </c>
      <c r="D339" s="225" t="s">
        <v>5285</v>
      </c>
      <c r="E339" s="226">
        <v>2</v>
      </c>
      <c r="F339" s="225" t="s">
        <v>5286</v>
      </c>
      <c r="G339" s="225" t="s">
        <v>640</v>
      </c>
      <c r="H339" s="153">
        <v>8543</v>
      </c>
    </row>
    <row r="340" spans="1:8" x14ac:dyDescent="0.2">
      <c r="A340" s="225" t="s">
        <v>16090</v>
      </c>
      <c r="B340" s="225" t="s">
        <v>16096</v>
      </c>
      <c r="C340" s="225" t="s">
        <v>16095</v>
      </c>
      <c r="D340" s="225" t="s">
        <v>1052</v>
      </c>
      <c r="E340" s="226">
        <v>3.36</v>
      </c>
      <c r="F340" s="225" t="s">
        <v>1051</v>
      </c>
      <c r="G340" s="225" t="s">
        <v>640</v>
      </c>
      <c r="H340" s="153">
        <v>8544</v>
      </c>
    </row>
    <row r="341" spans="1:8" x14ac:dyDescent="0.2">
      <c r="A341" s="225" t="s">
        <v>16090</v>
      </c>
      <c r="B341" s="225" t="s">
        <v>16094</v>
      </c>
      <c r="C341" s="225" t="s">
        <v>16093</v>
      </c>
      <c r="D341" s="225" t="s">
        <v>4367</v>
      </c>
      <c r="E341" s="226">
        <v>2.46</v>
      </c>
      <c r="F341" s="225" t="s">
        <v>4368</v>
      </c>
      <c r="G341" s="225" t="s">
        <v>640</v>
      </c>
      <c r="H341" s="153">
        <v>8545</v>
      </c>
    </row>
    <row r="342" spans="1:8" x14ac:dyDescent="0.2">
      <c r="A342" s="225" t="s">
        <v>16090</v>
      </c>
      <c r="B342" s="225" t="s">
        <v>16092</v>
      </c>
      <c r="C342" s="225" t="s">
        <v>16091</v>
      </c>
      <c r="D342" s="225" t="s">
        <v>980</v>
      </c>
      <c r="E342" s="226">
        <v>12.06</v>
      </c>
      <c r="F342" s="225" t="s">
        <v>979</v>
      </c>
      <c r="G342" s="225" t="s">
        <v>640</v>
      </c>
      <c r="H342" s="153">
        <v>8546</v>
      </c>
    </row>
    <row r="343" spans="1:8" x14ac:dyDescent="0.2">
      <c r="A343" s="225" t="s">
        <v>16090</v>
      </c>
      <c r="B343" s="225" t="s">
        <v>16089</v>
      </c>
      <c r="C343" s="225" t="s">
        <v>16088</v>
      </c>
      <c r="D343" s="225" t="s">
        <v>4735</v>
      </c>
      <c r="E343" s="226">
        <v>1.72</v>
      </c>
      <c r="F343" s="225" t="s">
        <v>4736</v>
      </c>
      <c r="G343" s="225" t="s">
        <v>640</v>
      </c>
      <c r="H343" s="153">
        <v>8547</v>
      </c>
    </row>
    <row r="344" spans="1:8" x14ac:dyDescent="0.2">
      <c r="A344" s="225"/>
      <c r="B344" s="225"/>
      <c r="C344" s="227" t="s">
        <v>3579</v>
      </c>
      <c r="D344" s="225"/>
      <c r="E344" s="278">
        <f>SUM(E321:E343)</f>
        <v>109.88</v>
      </c>
      <c r="F344" s="225"/>
      <c r="G344" s="225"/>
      <c r="H344" s="153"/>
    </row>
    <row r="345" spans="1:8" x14ac:dyDescent="0.2">
      <c r="A345" s="225" t="s">
        <v>16053</v>
      </c>
      <c r="B345" s="225" t="s">
        <v>16087</v>
      </c>
      <c r="C345" s="225" t="s">
        <v>16086</v>
      </c>
      <c r="D345" s="225" t="s">
        <v>13640</v>
      </c>
      <c r="E345" s="226">
        <v>17.350000000000001</v>
      </c>
      <c r="F345" s="225" t="s">
        <v>13639</v>
      </c>
      <c r="G345" s="225" t="s">
        <v>640</v>
      </c>
      <c r="H345" s="153">
        <v>8580</v>
      </c>
    </row>
    <row r="346" spans="1:8" x14ac:dyDescent="0.2">
      <c r="A346" s="225" t="s">
        <v>16053</v>
      </c>
      <c r="B346" s="225" t="s">
        <v>16085</v>
      </c>
      <c r="C346" s="225" t="s">
        <v>16084</v>
      </c>
      <c r="D346" s="225" t="s">
        <v>15956</v>
      </c>
      <c r="E346" s="226">
        <v>6.48</v>
      </c>
      <c r="F346" s="225" t="s">
        <v>15955</v>
      </c>
      <c r="G346" s="225" t="s">
        <v>640</v>
      </c>
      <c r="H346" s="153">
        <v>8581</v>
      </c>
    </row>
    <row r="347" spans="1:8" x14ac:dyDescent="0.2">
      <c r="A347" s="225" t="s">
        <v>16053</v>
      </c>
      <c r="B347" s="225" t="s">
        <v>16083</v>
      </c>
      <c r="C347" s="225" t="s">
        <v>16082</v>
      </c>
      <c r="D347" s="225" t="s">
        <v>4392</v>
      </c>
      <c r="E347" s="226">
        <v>8.5399999999999991</v>
      </c>
      <c r="F347" s="225" t="s">
        <v>4393</v>
      </c>
      <c r="G347" s="225" t="s">
        <v>640</v>
      </c>
      <c r="H347" s="153">
        <v>8583</v>
      </c>
    </row>
    <row r="348" spans="1:8" x14ac:dyDescent="0.2">
      <c r="A348" s="225" t="s">
        <v>16053</v>
      </c>
      <c r="B348" s="225" t="s">
        <v>16081</v>
      </c>
      <c r="C348" s="225" t="s">
        <v>16080</v>
      </c>
      <c r="D348" s="225" t="s">
        <v>1009</v>
      </c>
      <c r="E348" s="226">
        <v>1.96</v>
      </c>
      <c r="F348" s="225" t="s">
        <v>1008</v>
      </c>
      <c r="G348" s="225" t="s">
        <v>640</v>
      </c>
      <c r="H348" s="153">
        <v>8584</v>
      </c>
    </row>
    <row r="349" spans="1:8" x14ac:dyDescent="0.2">
      <c r="A349" s="225" t="s">
        <v>16053</v>
      </c>
      <c r="B349" s="225" t="s">
        <v>16079</v>
      </c>
      <c r="C349" s="225" t="s">
        <v>16078</v>
      </c>
      <c r="D349" s="225" t="s">
        <v>4874</v>
      </c>
      <c r="E349" s="226">
        <v>8.3800000000000008</v>
      </c>
      <c r="F349" s="225" t="s">
        <v>4875</v>
      </c>
      <c r="G349" s="225" t="s">
        <v>640</v>
      </c>
      <c r="H349" s="153">
        <v>8585</v>
      </c>
    </row>
    <row r="350" spans="1:8" x14ac:dyDescent="0.2">
      <c r="A350" s="225" t="s">
        <v>16053</v>
      </c>
      <c r="B350" s="225" t="s">
        <v>16077</v>
      </c>
      <c r="C350" s="225" t="s">
        <v>16076</v>
      </c>
      <c r="D350" s="225" t="s">
        <v>4011</v>
      </c>
      <c r="E350" s="226">
        <v>6.2</v>
      </c>
      <c r="F350" s="225" t="s">
        <v>4012</v>
      </c>
      <c r="G350" s="225" t="s">
        <v>640</v>
      </c>
      <c r="H350" s="153">
        <v>8586</v>
      </c>
    </row>
    <row r="351" spans="1:8" x14ac:dyDescent="0.2">
      <c r="A351" s="225" t="s">
        <v>16053</v>
      </c>
      <c r="B351" s="225" t="s">
        <v>16075</v>
      </c>
      <c r="C351" s="225" t="s">
        <v>16074</v>
      </c>
      <c r="D351" s="225" t="s">
        <v>804</v>
      </c>
      <c r="E351" s="226">
        <v>5.79</v>
      </c>
      <c r="F351" s="225" t="s">
        <v>803</v>
      </c>
      <c r="G351" s="225" t="s">
        <v>640</v>
      </c>
      <c r="H351" s="153">
        <v>8587</v>
      </c>
    </row>
    <row r="352" spans="1:8" x14ac:dyDescent="0.2">
      <c r="A352" s="225" t="s">
        <v>16053</v>
      </c>
      <c r="B352" s="225" t="s">
        <v>16073</v>
      </c>
      <c r="C352" s="225" t="s">
        <v>16072</v>
      </c>
      <c r="D352" s="225" t="s">
        <v>1375</v>
      </c>
      <c r="E352" s="226">
        <v>1.9</v>
      </c>
      <c r="F352" s="225" t="s">
        <v>1374</v>
      </c>
      <c r="G352" s="225" t="s">
        <v>640</v>
      </c>
      <c r="H352" s="153">
        <v>8588</v>
      </c>
    </row>
    <row r="353" spans="1:8" x14ac:dyDescent="0.2">
      <c r="A353" s="225" t="s">
        <v>16053</v>
      </c>
      <c r="B353" s="225" t="s">
        <v>16071</v>
      </c>
      <c r="C353" s="225" t="s">
        <v>16070</v>
      </c>
      <c r="D353" s="225" t="s">
        <v>772</v>
      </c>
      <c r="E353" s="226">
        <v>1.9</v>
      </c>
      <c r="F353" s="225" t="s">
        <v>771</v>
      </c>
      <c r="G353" s="225" t="s">
        <v>640</v>
      </c>
      <c r="H353" s="153">
        <v>8589</v>
      </c>
    </row>
    <row r="354" spans="1:8" x14ac:dyDescent="0.2">
      <c r="A354" s="225" t="s">
        <v>16053</v>
      </c>
      <c r="B354" s="225" t="s">
        <v>16069</v>
      </c>
      <c r="C354" s="225" t="s">
        <v>16068</v>
      </c>
      <c r="D354" s="225" t="s">
        <v>922</v>
      </c>
      <c r="E354" s="226">
        <v>8.3800000000000008</v>
      </c>
      <c r="F354" s="225" t="s">
        <v>921</v>
      </c>
      <c r="G354" s="225" t="s">
        <v>640</v>
      </c>
      <c r="H354" s="153">
        <v>8590</v>
      </c>
    </row>
    <row r="355" spans="1:8" x14ac:dyDescent="0.2">
      <c r="A355" s="225" t="s">
        <v>16053</v>
      </c>
      <c r="B355" s="225" t="s">
        <v>16067</v>
      </c>
      <c r="C355" s="225" t="s">
        <v>16066</v>
      </c>
      <c r="D355" s="225" t="s">
        <v>1387</v>
      </c>
      <c r="E355" s="226">
        <v>4.66</v>
      </c>
      <c r="F355" s="225" t="s">
        <v>1386</v>
      </c>
      <c r="G355" s="225" t="s">
        <v>640</v>
      </c>
      <c r="H355" s="153">
        <v>8591</v>
      </c>
    </row>
    <row r="356" spans="1:8" x14ac:dyDescent="0.2">
      <c r="A356" s="225" t="s">
        <v>16053</v>
      </c>
      <c r="B356" s="225" t="s">
        <v>16065</v>
      </c>
      <c r="C356" s="225" t="s">
        <v>16064</v>
      </c>
      <c r="D356" s="225" t="s">
        <v>1361</v>
      </c>
      <c r="E356" s="226">
        <v>12.3</v>
      </c>
      <c r="F356" s="225" t="s">
        <v>1360</v>
      </c>
      <c r="G356" s="225" t="s">
        <v>640</v>
      </c>
      <c r="H356" s="153">
        <v>8592</v>
      </c>
    </row>
    <row r="357" spans="1:8" x14ac:dyDescent="0.2">
      <c r="A357" s="225" t="s">
        <v>16053</v>
      </c>
      <c r="B357" s="225" t="s">
        <v>16063</v>
      </c>
      <c r="C357" s="225" t="s">
        <v>16062</v>
      </c>
      <c r="D357" s="225" t="s">
        <v>16061</v>
      </c>
      <c r="E357" s="226">
        <v>7.3</v>
      </c>
      <c r="F357" s="225" t="s">
        <v>16060</v>
      </c>
      <c r="G357" s="225" t="s">
        <v>640</v>
      </c>
      <c r="H357" s="153">
        <v>8593</v>
      </c>
    </row>
    <row r="358" spans="1:8" x14ac:dyDescent="0.2">
      <c r="A358" s="225" t="s">
        <v>16053</v>
      </c>
      <c r="B358" s="225" t="s">
        <v>16059</v>
      </c>
      <c r="C358" s="225" t="s">
        <v>16058</v>
      </c>
      <c r="D358" s="225" t="s">
        <v>16057</v>
      </c>
      <c r="E358" s="226">
        <v>6.33</v>
      </c>
      <c r="F358" s="225" t="s">
        <v>16056</v>
      </c>
      <c r="G358" s="225" t="s">
        <v>640</v>
      </c>
      <c r="H358" s="153">
        <v>8594</v>
      </c>
    </row>
    <row r="359" spans="1:8" x14ac:dyDescent="0.2">
      <c r="A359" s="225" t="s">
        <v>16053</v>
      </c>
      <c r="B359" s="225" t="s">
        <v>16055</v>
      </c>
      <c r="C359" s="225" t="s">
        <v>16054</v>
      </c>
      <c r="D359" s="225" t="s">
        <v>834</v>
      </c>
      <c r="E359" s="226">
        <v>8.8000000000000007</v>
      </c>
      <c r="F359" s="225" t="s">
        <v>833</v>
      </c>
      <c r="G359" s="225" t="s">
        <v>640</v>
      </c>
      <c r="H359" s="153">
        <v>8595</v>
      </c>
    </row>
    <row r="360" spans="1:8" x14ac:dyDescent="0.2">
      <c r="A360" s="225" t="s">
        <v>16053</v>
      </c>
      <c r="B360" s="225" t="s">
        <v>16052</v>
      </c>
      <c r="C360" s="225" t="s">
        <v>16051</v>
      </c>
      <c r="D360" s="225" t="s">
        <v>1320</v>
      </c>
      <c r="E360" s="226">
        <v>8.08</v>
      </c>
      <c r="F360" s="225" t="s">
        <v>1319</v>
      </c>
      <c r="G360" s="225" t="s">
        <v>640</v>
      </c>
      <c r="H360" s="153">
        <v>8607</v>
      </c>
    </row>
    <row r="361" spans="1:8" x14ac:dyDescent="0.2">
      <c r="A361" s="225"/>
      <c r="B361" s="225"/>
      <c r="C361" s="227" t="s">
        <v>3579</v>
      </c>
      <c r="D361" s="225"/>
      <c r="E361" s="278">
        <f>SUM(E345:E360)</f>
        <v>114.35</v>
      </c>
      <c r="F361" s="225"/>
      <c r="G361" s="225"/>
      <c r="H361" s="153"/>
    </row>
    <row r="362" spans="1:8" x14ac:dyDescent="0.2">
      <c r="A362" s="225" t="s">
        <v>16006</v>
      </c>
      <c r="B362" s="225" t="s">
        <v>16050</v>
      </c>
      <c r="C362" s="225" t="s">
        <v>16049</v>
      </c>
      <c r="D362" s="225" t="s">
        <v>4632</v>
      </c>
      <c r="E362" s="226">
        <v>12.42</v>
      </c>
      <c r="F362" s="225" t="s">
        <v>4633</v>
      </c>
      <c r="G362" s="225" t="s">
        <v>640</v>
      </c>
      <c r="H362" s="153">
        <v>8636</v>
      </c>
    </row>
    <row r="363" spans="1:8" x14ac:dyDescent="0.2">
      <c r="A363" s="225" t="s">
        <v>16006</v>
      </c>
      <c r="B363" s="225" t="s">
        <v>16048</v>
      </c>
      <c r="C363" s="225" t="s">
        <v>16047</v>
      </c>
      <c r="D363" s="225" t="s">
        <v>1580</v>
      </c>
      <c r="E363" s="226">
        <v>13.71</v>
      </c>
      <c r="F363" s="225" t="s">
        <v>1581</v>
      </c>
      <c r="G363" s="225" t="s">
        <v>640</v>
      </c>
      <c r="H363" s="153">
        <v>8637</v>
      </c>
    </row>
    <row r="364" spans="1:8" x14ac:dyDescent="0.2">
      <c r="A364" s="225" t="s">
        <v>16006</v>
      </c>
      <c r="B364" s="225" t="s">
        <v>16046</v>
      </c>
      <c r="C364" s="225" t="s">
        <v>16045</v>
      </c>
      <c r="D364" s="225" t="s">
        <v>11577</v>
      </c>
      <c r="E364" s="226">
        <v>5.62</v>
      </c>
      <c r="F364" s="225" t="s">
        <v>11576</v>
      </c>
      <c r="G364" s="225" t="s">
        <v>640</v>
      </c>
      <c r="H364" s="153">
        <v>8638</v>
      </c>
    </row>
    <row r="365" spans="1:8" x14ac:dyDescent="0.2">
      <c r="A365" s="225" t="s">
        <v>16006</v>
      </c>
      <c r="B365" s="225" t="s">
        <v>16044</v>
      </c>
      <c r="C365" s="225" t="s">
        <v>16043</v>
      </c>
      <c r="D365" s="225" t="s">
        <v>16042</v>
      </c>
      <c r="E365" s="226">
        <v>3.92</v>
      </c>
      <c r="F365" s="225" t="s">
        <v>16041</v>
      </c>
      <c r="G365" s="225" t="s">
        <v>640</v>
      </c>
      <c r="H365" s="153">
        <v>8639</v>
      </c>
    </row>
    <row r="366" spans="1:8" x14ac:dyDescent="0.2">
      <c r="A366" s="225" t="s">
        <v>16006</v>
      </c>
      <c r="B366" s="225" t="s">
        <v>16040</v>
      </c>
      <c r="C366" s="225" t="s">
        <v>16039</v>
      </c>
      <c r="D366" s="225" t="s">
        <v>2739</v>
      </c>
      <c r="E366" s="226">
        <v>25.14</v>
      </c>
      <c r="F366" s="225" t="s">
        <v>2740</v>
      </c>
      <c r="G366" s="225" t="s">
        <v>640</v>
      </c>
      <c r="H366" s="153">
        <v>8640</v>
      </c>
    </row>
    <row r="367" spans="1:8" x14ac:dyDescent="0.2">
      <c r="A367" s="225" t="s">
        <v>16006</v>
      </c>
      <c r="B367" s="225" t="s">
        <v>16038</v>
      </c>
      <c r="C367" s="225" t="s">
        <v>16037</v>
      </c>
      <c r="D367" s="225" t="s">
        <v>13623</v>
      </c>
      <c r="E367" s="226">
        <v>2.68</v>
      </c>
      <c r="F367" s="225" t="s">
        <v>13622</v>
      </c>
      <c r="G367" s="225" t="s">
        <v>640</v>
      </c>
      <c r="H367" s="153">
        <v>8641</v>
      </c>
    </row>
    <row r="368" spans="1:8" x14ac:dyDescent="0.2">
      <c r="A368" s="225" t="s">
        <v>16006</v>
      </c>
      <c r="B368" s="225" t="s">
        <v>16036</v>
      </c>
      <c r="C368" s="225" t="s">
        <v>16035</v>
      </c>
      <c r="D368" s="225" t="s">
        <v>794</v>
      </c>
      <c r="E368" s="226">
        <v>8.3800000000000008</v>
      </c>
      <c r="F368" s="225" t="s">
        <v>793</v>
      </c>
      <c r="G368" s="225" t="s">
        <v>640</v>
      </c>
      <c r="H368" s="153">
        <v>8642</v>
      </c>
    </row>
    <row r="369" spans="1:8" x14ac:dyDescent="0.2">
      <c r="A369" s="225" t="s">
        <v>16006</v>
      </c>
      <c r="B369" s="225" t="s">
        <v>16034</v>
      </c>
      <c r="C369" s="225" t="s">
        <v>16033</v>
      </c>
      <c r="D369" s="225" t="s">
        <v>993</v>
      </c>
      <c r="E369" s="226">
        <v>1.92</v>
      </c>
      <c r="F369" s="225" t="s">
        <v>992</v>
      </c>
      <c r="G369" s="225" t="s">
        <v>640</v>
      </c>
      <c r="H369" s="153">
        <v>8643</v>
      </c>
    </row>
    <row r="370" spans="1:8" x14ac:dyDescent="0.2">
      <c r="A370" s="225" t="s">
        <v>16006</v>
      </c>
      <c r="B370" s="225" t="s">
        <v>16032</v>
      </c>
      <c r="C370" s="225" t="s">
        <v>16031</v>
      </c>
      <c r="D370" s="225" t="s">
        <v>4262</v>
      </c>
      <c r="E370" s="226">
        <v>2.61</v>
      </c>
      <c r="F370" s="225" t="s">
        <v>4263</v>
      </c>
      <c r="G370" s="225" t="s">
        <v>640</v>
      </c>
      <c r="H370" s="153">
        <v>8644</v>
      </c>
    </row>
    <row r="371" spans="1:8" x14ac:dyDescent="0.2">
      <c r="A371" s="225" t="s">
        <v>16006</v>
      </c>
      <c r="B371" s="225" t="s">
        <v>16030</v>
      </c>
      <c r="C371" s="225" t="s">
        <v>16029</v>
      </c>
      <c r="D371" s="225" t="s">
        <v>4665</v>
      </c>
      <c r="E371" s="226">
        <v>4.37</v>
      </c>
      <c r="F371" s="225" t="s">
        <v>4666</v>
      </c>
      <c r="G371" s="225" t="s">
        <v>640</v>
      </c>
      <c r="H371" s="153">
        <v>8645</v>
      </c>
    </row>
    <row r="372" spans="1:8" x14ac:dyDescent="0.2">
      <c r="A372" s="225" t="s">
        <v>16006</v>
      </c>
      <c r="B372" s="225" t="s">
        <v>16028</v>
      </c>
      <c r="C372" s="225" t="s">
        <v>16027</v>
      </c>
      <c r="D372" s="225" t="s">
        <v>1062</v>
      </c>
      <c r="E372" s="226">
        <v>8.3800000000000008</v>
      </c>
      <c r="F372" s="225" t="s">
        <v>1061</v>
      </c>
      <c r="G372" s="225" t="s">
        <v>640</v>
      </c>
      <c r="H372" s="153">
        <v>8646</v>
      </c>
    </row>
    <row r="373" spans="1:8" x14ac:dyDescent="0.2">
      <c r="A373" s="225" t="s">
        <v>16006</v>
      </c>
      <c r="B373" s="225" t="s">
        <v>16026</v>
      </c>
      <c r="C373" s="225" t="s">
        <v>16025</v>
      </c>
      <c r="D373" s="225" t="s">
        <v>16024</v>
      </c>
      <c r="E373" s="226">
        <v>57.1</v>
      </c>
      <c r="F373" s="225" t="s">
        <v>16023</v>
      </c>
      <c r="G373" s="225" t="s">
        <v>640</v>
      </c>
      <c r="H373" s="153">
        <v>8647</v>
      </c>
    </row>
    <row r="374" spans="1:8" x14ac:dyDescent="0.2">
      <c r="A374" s="225" t="s">
        <v>16006</v>
      </c>
      <c r="B374" s="225" t="s">
        <v>16022</v>
      </c>
      <c r="C374" s="225" t="s">
        <v>16021</v>
      </c>
      <c r="D374" s="225" t="s">
        <v>1154</v>
      </c>
      <c r="E374" s="226">
        <v>40.01</v>
      </c>
      <c r="F374" s="225" t="s">
        <v>1153</v>
      </c>
      <c r="G374" s="225" t="s">
        <v>640</v>
      </c>
      <c r="H374" s="153">
        <v>8648</v>
      </c>
    </row>
    <row r="375" spans="1:8" x14ac:dyDescent="0.2">
      <c r="A375" s="225" t="s">
        <v>16006</v>
      </c>
      <c r="B375" s="225" t="s">
        <v>16020</v>
      </c>
      <c r="C375" s="225" t="s">
        <v>16019</v>
      </c>
      <c r="D375" s="225" t="s">
        <v>4184</v>
      </c>
      <c r="E375" s="226">
        <v>11.84</v>
      </c>
      <c r="F375" s="225" t="s">
        <v>4185</v>
      </c>
      <c r="G375" s="225" t="s">
        <v>640</v>
      </c>
      <c r="H375" s="153">
        <v>8649</v>
      </c>
    </row>
    <row r="376" spans="1:8" x14ac:dyDescent="0.2">
      <c r="A376" s="225" t="s">
        <v>16006</v>
      </c>
      <c r="B376" s="225" t="s">
        <v>16018</v>
      </c>
      <c r="C376" s="225" t="s">
        <v>16017</v>
      </c>
      <c r="D376" s="225" t="s">
        <v>10787</v>
      </c>
      <c r="E376" s="226">
        <v>3.44</v>
      </c>
      <c r="F376" s="225" t="s">
        <v>4503</v>
      </c>
      <c r="G376" s="225" t="s">
        <v>640</v>
      </c>
      <c r="H376" s="153">
        <v>8651</v>
      </c>
    </row>
    <row r="377" spans="1:8" x14ac:dyDescent="0.2">
      <c r="A377" s="225" t="s">
        <v>16006</v>
      </c>
      <c r="B377" s="225" t="s">
        <v>16016</v>
      </c>
      <c r="C377" s="225" t="s">
        <v>16015</v>
      </c>
      <c r="D377" s="225" t="s">
        <v>4502</v>
      </c>
      <c r="E377" s="226">
        <v>3.36</v>
      </c>
      <c r="F377" s="225" t="s">
        <v>4503</v>
      </c>
      <c r="G377" s="225" t="s">
        <v>640</v>
      </c>
      <c r="H377" s="153">
        <v>8650</v>
      </c>
    </row>
    <row r="378" spans="1:8" x14ac:dyDescent="0.2">
      <c r="A378" s="225" t="s">
        <v>16006</v>
      </c>
      <c r="B378" s="225" t="s">
        <v>16014</v>
      </c>
      <c r="C378" s="225" t="s">
        <v>16013</v>
      </c>
      <c r="D378" s="225" t="s">
        <v>5363</v>
      </c>
      <c r="E378" s="226">
        <v>3.36</v>
      </c>
      <c r="F378" s="225" t="s">
        <v>5364</v>
      </c>
      <c r="G378" s="225" t="s">
        <v>640</v>
      </c>
      <c r="H378" s="153">
        <v>8652</v>
      </c>
    </row>
    <row r="379" spans="1:8" x14ac:dyDescent="0.2">
      <c r="A379" s="225" t="s">
        <v>16006</v>
      </c>
      <c r="B379" s="225" t="s">
        <v>16012</v>
      </c>
      <c r="C379" s="225" t="s">
        <v>16011</v>
      </c>
      <c r="D379" s="225" t="s">
        <v>729</v>
      </c>
      <c r="E379" s="226">
        <v>1.68</v>
      </c>
      <c r="F379" s="225" t="s">
        <v>728</v>
      </c>
      <c r="G379" s="225" t="s">
        <v>640</v>
      </c>
      <c r="H379" s="153">
        <v>8653</v>
      </c>
    </row>
    <row r="380" spans="1:8" x14ac:dyDescent="0.2">
      <c r="A380" s="225" t="s">
        <v>16006</v>
      </c>
      <c r="B380" s="225" t="s">
        <v>16010</v>
      </c>
      <c r="C380" s="225" t="s">
        <v>16009</v>
      </c>
      <c r="D380" s="225" t="s">
        <v>1141</v>
      </c>
      <c r="E380" s="226">
        <v>1.81</v>
      </c>
      <c r="F380" s="225" t="s">
        <v>1140</v>
      </c>
      <c r="G380" s="225" t="s">
        <v>640</v>
      </c>
      <c r="H380" s="153">
        <v>8654</v>
      </c>
    </row>
    <row r="381" spans="1:8" x14ac:dyDescent="0.2">
      <c r="A381" s="225" t="s">
        <v>16006</v>
      </c>
      <c r="B381" s="225" t="s">
        <v>16008</v>
      </c>
      <c r="C381" s="225" t="s">
        <v>16007</v>
      </c>
      <c r="D381" s="225" t="s">
        <v>776</v>
      </c>
      <c r="E381" s="226">
        <v>2.91</v>
      </c>
      <c r="F381" s="225" t="s">
        <v>775</v>
      </c>
      <c r="G381" s="225" t="s">
        <v>640</v>
      </c>
      <c r="H381" s="153">
        <v>8655</v>
      </c>
    </row>
    <row r="382" spans="1:8" x14ac:dyDescent="0.2">
      <c r="A382" s="225" t="s">
        <v>16006</v>
      </c>
      <c r="B382" s="225" t="s">
        <v>16005</v>
      </c>
      <c r="C382" s="225" t="s">
        <v>16004</v>
      </c>
      <c r="D382" s="225" t="s">
        <v>3659</v>
      </c>
      <c r="E382" s="226">
        <v>3.01</v>
      </c>
      <c r="F382" s="225" t="s">
        <v>3660</v>
      </c>
      <c r="G382" s="225" t="s">
        <v>640</v>
      </c>
      <c r="H382" s="153">
        <v>8656</v>
      </c>
    </row>
    <row r="383" spans="1:8" x14ac:dyDescent="0.2">
      <c r="A383" s="225"/>
      <c r="B383" s="225"/>
      <c r="C383" s="227" t="s">
        <v>3579</v>
      </c>
      <c r="D383" s="225"/>
      <c r="E383" s="278">
        <f>SUM(E362:E382)</f>
        <v>217.67000000000002</v>
      </c>
      <c r="F383" s="225"/>
      <c r="G383" s="225"/>
      <c r="H383" s="153"/>
    </row>
    <row r="384" spans="1:8" x14ac:dyDescent="0.2">
      <c r="A384" s="225" t="s">
        <v>15975</v>
      </c>
      <c r="B384" s="225" t="s">
        <v>16003</v>
      </c>
      <c r="C384" s="225" t="s">
        <v>16002</v>
      </c>
      <c r="D384" s="225" t="s">
        <v>5479</v>
      </c>
      <c r="E384" s="226">
        <v>5.23</v>
      </c>
      <c r="F384" s="225" t="s">
        <v>5480</v>
      </c>
      <c r="G384" s="225" t="s">
        <v>640</v>
      </c>
      <c r="H384" s="153">
        <v>8686</v>
      </c>
    </row>
    <row r="385" spans="1:8" x14ac:dyDescent="0.2">
      <c r="A385" s="225" t="s">
        <v>15975</v>
      </c>
      <c r="B385" s="225" t="s">
        <v>16001</v>
      </c>
      <c r="C385" s="225" t="s">
        <v>16000</v>
      </c>
      <c r="D385" s="225" t="s">
        <v>3696</v>
      </c>
      <c r="E385" s="226">
        <v>8.3800000000000008</v>
      </c>
      <c r="F385" s="225" t="s">
        <v>3697</v>
      </c>
      <c r="G385" s="225" t="s">
        <v>640</v>
      </c>
      <c r="H385" s="153">
        <v>8687</v>
      </c>
    </row>
    <row r="386" spans="1:8" x14ac:dyDescent="0.2">
      <c r="A386" s="225" t="s">
        <v>15975</v>
      </c>
      <c r="B386" s="225" t="s">
        <v>15999</v>
      </c>
      <c r="C386" s="225" t="s">
        <v>15998</v>
      </c>
      <c r="D386" s="225" t="s">
        <v>855</v>
      </c>
      <c r="E386" s="226">
        <v>41.5</v>
      </c>
      <c r="F386" s="225" t="s">
        <v>854</v>
      </c>
      <c r="G386" s="225" t="s">
        <v>640</v>
      </c>
      <c r="H386" s="153">
        <v>8688</v>
      </c>
    </row>
    <row r="387" spans="1:8" x14ac:dyDescent="0.2">
      <c r="A387" s="225" t="s">
        <v>15975</v>
      </c>
      <c r="B387" s="225" t="s">
        <v>15997</v>
      </c>
      <c r="C387" s="225" t="s">
        <v>15996</v>
      </c>
      <c r="D387" s="225" t="s">
        <v>687</v>
      </c>
      <c r="E387" s="226">
        <v>3.36</v>
      </c>
      <c r="F387" s="225" t="s">
        <v>686</v>
      </c>
      <c r="G387" s="225" t="s">
        <v>640</v>
      </c>
      <c r="H387" s="153">
        <v>8689</v>
      </c>
    </row>
    <row r="388" spans="1:8" x14ac:dyDescent="0.2">
      <c r="A388" s="225" t="s">
        <v>15975</v>
      </c>
      <c r="B388" s="225" t="s">
        <v>15995</v>
      </c>
      <c r="C388" s="225" t="s">
        <v>15994</v>
      </c>
      <c r="D388" s="225" t="s">
        <v>13678</v>
      </c>
      <c r="E388" s="226">
        <v>5.45</v>
      </c>
      <c r="F388" s="225" t="s">
        <v>13677</v>
      </c>
      <c r="G388" s="225" t="s">
        <v>640</v>
      </c>
      <c r="H388" s="153">
        <v>8690</v>
      </c>
    </row>
    <row r="389" spans="1:8" x14ac:dyDescent="0.2">
      <c r="A389" s="225" t="s">
        <v>15975</v>
      </c>
      <c r="B389" s="225" t="s">
        <v>15993</v>
      </c>
      <c r="C389" s="225" t="s">
        <v>15992</v>
      </c>
      <c r="D389" s="225" t="s">
        <v>4626</v>
      </c>
      <c r="E389" s="226">
        <v>3.36</v>
      </c>
      <c r="F389" s="225" t="s">
        <v>4627</v>
      </c>
      <c r="G389" s="225" t="s">
        <v>640</v>
      </c>
      <c r="H389" s="153" t="s">
        <v>14922</v>
      </c>
    </row>
    <row r="390" spans="1:8" x14ac:dyDescent="0.2">
      <c r="A390" s="225" t="s">
        <v>15975</v>
      </c>
      <c r="B390" s="225" t="s">
        <v>15991</v>
      </c>
      <c r="C390" s="225" t="s">
        <v>15990</v>
      </c>
      <c r="D390" s="225" t="s">
        <v>13613</v>
      </c>
      <c r="E390" s="226">
        <v>0.02</v>
      </c>
      <c r="F390" s="225" t="s">
        <v>13612</v>
      </c>
      <c r="G390" s="225" t="s">
        <v>640</v>
      </c>
      <c r="H390" s="153">
        <v>8691</v>
      </c>
    </row>
    <row r="391" spans="1:8" x14ac:dyDescent="0.2">
      <c r="A391" s="225" t="s">
        <v>15975</v>
      </c>
      <c r="B391" s="225" t="s">
        <v>15989</v>
      </c>
      <c r="C391" s="225" t="s">
        <v>15988</v>
      </c>
      <c r="D391" s="225" t="s">
        <v>4332</v>
      </c>
      <c r="E391" s="226">
        <v>1.94</v>
      </c>
      <c r="F391" s="225" t="s">
        <v>4329</v>
      </c>
      <c r="G391" s="225" t="s">
        <v>640</v>
      </c>
      <c r="H391" s="153">
        <v>8692</v>
      </c>
    </row>
    <row r="392" spans="1:8" x14ac:dyDescent="0.2">
      <c r="A392" s="225" t="s">
        <v>15975</v>
      </c>
      <c r="B392" s="225" t="s">
        <v>1214</v>
      </c>
      <c r="C392" s="225" t="s">
        <v>15987</v>
      </c>
      <c r="D392" s="225" t="s">
        <v>4328</v>
      </c>
      <c r="E392" s="226">
        <v>2.6</v>
      </c>
      <c r="F392" s="225" t="s">
        <v>4329</v>
      </c>
      <c r="G392" s="225" t="s">
        <v>640</v>
      </c>
      <c r="H392" s="153">
        <v>8693</v>
      </c>
    </row>
    <row r="393" spans="1:8" x14ac:dyDescent="0.2">
      <c r="A393" s="225" t="s">
        <v>15975</v>
      </c>
      <c r="B393" s="225" t="s">
        <v>15986</v>
      </c>
      <c r="C393" s="225" t="s">
        <v>15985</v>
      </c>
      <c r="D393" s="225" t="s">
        <v>816</v>
      </c>
      <c r="E393" s="226">
        <v>2.12</v>
      </c>
      <c r="F393" s="225" t="s">
        <v>815</v>
      </c>
      <c r="G393" s="225" t="s">
        <v>640</v>
      </c>
      <c r="H393" s="153">
        <v>8694</v>
      </c>
    </row>
    <row r="394" spans="1:8" x14ac:dyDescent="0.2">
      <c r="A394" s="225" t="s">
        <v>15975</v>
      </c>
      <c r="B394" s="225" t="s">
        <v>15984</v>
      </c>
      <c r="C394" s="225" t="s">
        <v>15983</v>
      </c>
      <c r="D394" s="225" t="s">
        <v>4375</v>
      </c>
      <c r="E394" s="226">
        <v>4.1100000000000003</v>
      </c>
      <c r="F394" s="225" t="s">
        <v>4376</v>
      </c>
      <c r="G394" s="225" t="s">
        <v>640</v>
      </c>
      <c r="H394" s="153">
        <v>8695</v>
      </c>
    </row>
    <row r="395" spans="1:8" x14ac:dyDescent="0.2">
      <c r="A395" s="225" t="s">
        <v>15975</v>
      </c>
      <c r="B395" s="225" t="s">
        <v>13414</v>
      </c>
      <c r="C395" s="225" t="s">
        <v>15982</v>
      </c>
      <c r="D395" s="225" t="s">
        <v>1377</v>
      </c>
      <c r="E395" s="226">
        <v>1.68</v>
      </c>
      <c r="F395" s="225" t="s">
        <v>1376</v>
      </c>
      <c r="G395" s="225" t="s">
        <v>640</v>
      </c>
      <c r="H395" s="153">
        <v>8696</v>
      </c>
    </row>
    <row r="396" spans="1:8" x14ac:dyDescent="0.2">
      <c r="A396" s="225" t="s">
        <v>15975</v>
      </c>
      <c r="B396" s="225" t="s">
        <v>15981</v>
      </c>
      <c r="C396" s="225" t="s">
        <v>15980</v>
      </c>
      <c r="D396" s="225" t="s">
        <v>3736</v>
      </c>
      <c r="E396" s="226">
        <v>10.46</v>
      </c>
      <c r="F396" s="225" t="s">
        <v>3737</v>
      </c>
      <c r="G396" s="225" t="s">
        <v>640</v>
      </c>
      <c r="H396" s="153">
        <v>8697</v>
      </c>
    </row>
    <row r="397" spans="1:8" x14ac:dyDescent="0.2">
      <c r="A397" s="225" t="s">
        <v>15975</v>
      </c>
      <c r="B397" s="225" t="s">
        <v>15979</v>
      </c>
      <c r="C397" s="225" t="s">
        <v>15978</v>
      </c>
      <c r="D397" s="225" t="s">
        <v>5636</v>
      </c>
      <c r="E397" s="226">
        <v>4.2</v>
      </c>
      <c r="F397" s="225" t="s">
        <v>5637</v>
      </c>
      <c r="G397" s="225" t="s">
        <v>640</v>
      </c>
      <c r="H397" s="153">
        <v>8698</v>
      </c>
    </row>
    <row r="398" spans="1:8" x14ac:dyDescent="0.2">
      <c r="A398" s="225" t="s">
        <v>15975</v>
      </c>
      <c r="B398" s="225" t="s">
        <v>15977</v>
      </c>
      <c r="C398" s="225" t="s">
        <v>15976</v>
      </c>
      <c r="D398" s="225" t="s">
        <v>1241</v>
      </c>
      <c r="E398" s="226">
        <v>2.14</v>
      </c>
      <c r="F398" s="225" t="s">
        <v>1240</v>
      </c>
      <c r="G398" s="225" t="s">
        <v>640</v>
      </c>
      <c r="H398" s="153">
        <v>8699</v>
      </c>
    </row>
    <row r="399" spans="1:8" x14ac:dyDescent="0.2">
      <c r="A399" s="225" t="s">
        <v>15975</v>
      </c>
      <c r="B399" s="225" t="s">
        <v>15974</v>
      </c>
      <c r="C399" s="225" t="s">
        <v>15973</v>
      </c>
      <c r="D399" s="225" t="s">
        <v>5204</v>
      </c>
      <c r="E399" s="226">
        <v>6.2</v>
      </c>
      <c r="F399" s="225" t="s">
        <v>5205</v>
      </c>
      <c r="G399" s="225" t="s">
        <v>640</v>
      </c>
      <c r="H399" s="153">
        <v>8700</v>
      </c>
    </row>
    <row r="400" spans="1:8" x14ac:dyDescent="0.2">
      <c r="A400" s="225"/>
      <c r="B400" s="225"/>
      <c r="C400" s="227" t="s">
        <v>3579</v>
      </c>
      <c r="D400" s="225"/>
      <c r="E400" s="278">
        <f>SUM(E384:E399)</f>
        <v>102.75000000000001</v>
      </c>
      <c r="F400" s="225"/>
      <c r="G400" s="225"/>
      <c r="H400" s="153"/>
    </row>
    <row r="401" spans="1:8" x14ac:dyDescent="0.2">
      <c r="A401" s="225"/>
      <c r="B401" s="225"/>
      <c r="C401" s="225"/>
      <c r="D401" s="225"/>
      <c r="E401" s="226"/>
      <c r="F401" s="225"/>
      <c r="G401" s="225"/>
      <c r="H401" s="153"/>
    </row>
    <row r="402" spans="1:8" x14ac:dyDescent="0.2">
      <c r="A402" s="225"/>
      <c r="B402" s="225"/>
      <c r="C402" s="225"/>
      <c r="D402" s="225"/>
      <c r="E402" s="226"/>
      <c r="F402" s="225"/>
      <c r="G402" s="225"/>
      <c r="H402" s="153"/>
    </row>
    <row r="403" spans="1:8" x14ac:dyDescent="0.2">
      <c r="A403" s="225"/>
      <c r="B403" s="225"/>
      <c r="C403" s="225"/>
      <c r="D403" s="225"/>
      <c r="E403" s="226"/>
      <c r="F403" s="225"/>
      <c r="G403" s="225"/>
      <c r="H403" s="153"/>
    </row>
    <row r="404" spans="1:8" x14ac:dyDescent="0.2">
      <c r="A404" s="225"/>
      <c r="B404" s="225"/>
      <c r="C404" s="225"/>
      <c r="D404" s="225"/>
      <c r="E404" s="226"/>
      <c r="F404" s="225"/>
      <c r="G404" s="225"/>
      <c r="H404" s="153"/>
    </row>
    <row r="405" spans="1:8" x14ac:dyDescent="0.2">
      <c r="A405" s="225"/>
      <c r="B405" s="225"/>
      <c r="C405" s="225"/>
      <c r="D405" s="225"/>
      <c r="E405" s="226"/>
      <c r="F405" s="225"/>
      <c r="G405" s="225"/>
      <c r="H405" s="153"/>
    </row>
    <row r="406" spans="1:8" x14ac:dyDescent="0.2">
      <c r="A406" s="225"/>
      <c r="B406" s="225"/>
      <c r="C406" s="225"/>
      <c r="D406" s="225"/>
      <c r="E406" s="226"/>
      <c r="F406" s="225"/>
      <c r="G406" s="225"/>
      <c r="H406" s="153"/>
    </row>
    <row r="407" spans="1:8" x14ac:dyDescent="0.2">
      <c r="A407" s="225"/>
      <c r="B407" s="225"/>
      <c r="C407" s="225"/>
      <c r="D407" s="225"/>
      <c r="E407" s="226"/>
      <c r="F407" s="225"/>
      <c r="G407" s="225"/>
      <c r="H407" s="153"/>
    </row>
    <row r="408" spans="1:8" x14ac:dyDescent="0.2">
      <c r="A408" s="225"/>
      <c r="B408" s="225"/>
      <c r="C408" s="225"/>
      <c r="D408" s="225"/>
      <c r="E408" s="226"/>
      <c r="F408" s="225"/>
      <c r="G408" s="225"/>
      <c r="H408" s="153"/>
    </row>
    <row r="409" spans="1:8" x14ac:dyDescent="0.2">
      <c r="A409" s="225"/>
      <c r="B409" s="225"/>
      <c r="C409" s="225"/>
      <c r="D409" s="225"/>
      <c r="E409" s="226"/>
      <c r="F409" s="225"/>
      <c r="G409" s="225"/>
      <c r="H409" s="153"/>
    </row>
    <row r="410" spans="1:8" x14ac:dyDescent="0.2">
      <c r="A410" s="225"/>
      <c r="B410" s="225"/>
      <c r="C410" s="225"/>
      <c r="D410" s="225"/>
      <c r="E410" s="226"/>
      <c r="F410" s="225"/>
      <c r="G410" s="225"/>
      <c r="H410" s="153"/>
    </row>
    <row r="411" spans="1:8" x14ac:dyDescent="0.2">
      <c r="A411" s="225"/>
      <c r="B411" s="225"/>
      <c r="C411" s="225"/>
      <c r="D411" s="225"/>
      <c r="E411" s="226"/>
      <c r="F411" s="225"/>
      <c r="G411" s="225"/>
      <c r="H411" s="153"/>
    </row>
    <row r="412" spans="1:8" x14ac:dyDescent="0.2">
      <c r="A412" s="225"/>
      <c r="B412" s="225"/>
      <c r="C412" s="225"/>
      <c r="D412" s="225"/>
      <c r="E412" s="226"/>
      <c r="F412" s="225"/>
      <c r="G412" s="225"/>
      <c r="H412" s="153"/>
    </row>
    <row r="413" spans="1:8" x14ac:dyDescent="0.2">
      <c r="A413" s="225"/>
      <c r="B413" s="225"/>
      <c r="C413" s="225"/>
      <c r="D413" s="225"/>
      <c r="E413" s="226"/>
      <c r="F413" s="225"/>
      <c r="G413" s="225"/>
      <c r="H413" s="153"/>
    </row>
    <row r="414" spans="1:8" x14ac:dyDescent="0.2">
      <c r="A414" s="225"/>
      <c r="B414" s="225"/>
      <c r="C414" s="225"/>
      <c r="D414" s="225"/>
      <c r="E414" s="224"/>
      <c r="F414" s="225"/>
      <c r="G414" s="225"/>
      <c r="H414" s="153"/>
    </row>
    <row r="415" spans="1:8" x14ac:dyDescent="0.2">
      <c r="A415" s="225"/>
      <c r="B415" s="225"/>
      <c r="C415" s="225"/>
      <c r="D415" s="225"/>
      <c r="E415" s="226"/>
      <c r="F415" s="225"/>
      <c r="G415" s="225"/>
      <c r="H415" s="153"/>
    </row>
    <row r="416" spans="1:8" x14ac:dyDescent="0.2">
      <c r="A416" s="225"/>
      <c r="B416" s="225"/>
      <c r="C416" s="225"/>
      <c r="D416" s="225"/>
      <c r="E416" s="226"/>
      <c r="F416" s="225"/>
      <c r="G416" s="225"/>
      <c r="H416" s="153"/>
    </row>
    <row r="417" spans="1:8" x14ac:dyDescent="0.2">
      <c r="A417" s="225"/>
      <c r="B417" s="225"/>
      <c r="C417" s="225"/>
      <c r="D417" s="225"/>
      <c r="E417" s="226"/>
      <c r="F417" s="225"/>
      <c r="G417" s="225"/>
      <c r="H417" s="153"/>
    </row>
    <row r="418" spans="1:8" x14ac:dyDescent="0.2">
      <c r="A418" s="225"/>
      <c r="B418" s="225"/>
      <c r="C418" s="225"/>
      <c r="D418" s="225"/>
      <c r="E418" s="226"/>
      <c r="F418" s="225"/>
      <c r="G418" s="225"/>
      <c r="H418" s="153"/>
    </row>
    <row r="419" spans="1:8" x14ac:dyDescent="0.2">
      <c r="A419" s="225"/>
      <c r="B419" s="225"/>
      <c r="C419" s="225"/>
      <c r="D419" s="225"/>
      <c r="E419" s="226"/>
      <c r="F419" s="225"/>
      <c r="G419" s="225"/>
      <c r="H419" s="153"/>
    </row>
    <row r="420" spans="1:8" x14ac:dyDescent="0.2">
      <c r="A420" s="225"/>
      <c r="B420" s="225"/>
      <c r="C420" s="225"/>
      <c r="D420" s="225"/>
      <c r="E420" s="226"/>
      <c r="F420" s="225"/>
      <c r="G420" s="225"/>
      <c r="H420" s="153"/>
    </row>
    <row r="421" spans="1:8" x14ac:dyDescent="0.2">
      <c r="A421" s="225"/>
      <c r="B421" s="225"/>
      <c r="C421" s="225"/>
      <c r="D421" s="225"/>
      <c r="E421" s="226"/>
      <c r="F421" s="225"/>
      <c r="G421" s="225"/>
      <c r="H421" s="153"/>
    </row>
    <row r="422" spans="1:8" x14ac:dyDescent="0.2">
      <c r="A422" s="225"/>
      <c r="B422" s="225"/>
      <c r="C422" s="225"/>
      <c r="D422" s="225"/>
      <c r="E422" s="226"/>
      <c r="F422" s="225"/>
      <c r="G422" s="225"/>
      <c r="H422" s="153"/>
    </row>
    <row r="423" spans="1:8" x14ac:dyDescent="0.2">
      <c r="A423" s="225"/>
      <c r="B423" s="225"/>
      <c r="C423" s="225"/>
      <c r="D423" s="225"/>
      <c r="E423" s="224"/>
      <c r="F423" s="225"/>
      <c r="G423" s="225"/>
      <c r="H423" s="153"/>
    </row>
    <row r="424" spans="1:8" x14ac:dyDescent="0.2">
      <c r="A424" s="225"/>
      <c r="B424" s="225"/>
      <c r="C424" s="225"/>
      <c r="D424" s="225"/>
      <c r="E424" s="226"/>
      <c r="F424" s="225"/>
      <c r="G424" s="225"/>
      <c r="H424" s="153"/>
    </row>
    <row r="425" spans="1:8" x14ac:dyDescent="0.2">
      <c r="A425" s="225"/>
      <c r="B425" s="225"/>
      <c r="C425" s="225"/>
      <c r="D425" s="225"/>
      <c r="E425" s="226"/>
      <c r="F425" s="225"/>
      <c r="G425" s="225"/>
      <c r="H425" s="153"/>
    </row>
    <row r="426" spans="1:8" x14ac:dyDescent="0.2">
      <c r="A426" s="225"/>
      <c r="B426" s="225"/>
      <c r="C426" s="225"/>
      <c r="D426" s="225"/>
      <c r="E426" s="226"/>
      <c r="F426" s="225"/>
      <c r="G426" s="225"/>
      <c r="H426" s="153"/>
    </row>
    <row r="427" spans="1:8" x14ac:dyDescent="0.2">
      <c r="A427" s="225"/>
      <c r="B427" s="225"/>
      <c r="C427" s="225"/>
      <c r="D427" s="225"/>
      <c r="E427" s="224"/>
      <c r="F427" s="225"/>
      <c r="G427" s="225"/>
      <c r="H427" s="153"/>
    </row>
    <row r="428" spans="1:8" x14ac:dyDescent="0.2">
      <c r="A428" s="225"/>
      <c r="B428" s="225"/>
      <c r="C428" s="225"/>
      <c r="D428" s="225"/>
      <c r="E428" s="226"/>
      <c r="F428" s="225"/>
      <c r="G428" s="225"/>
      <c r="H428" s="153"/>
    </row>
    <row r="429" spans="1:8" x14ac:dyDescent="0.2">
      <c r="A429" s="225"/>
      <c r="B429" s="225"/>
      <c r="C429" s="225"/>
      <c r="D429" s="225"/>
      <c r="E429" s="226"/>
      <c r="F429" s="225"/>
      <c r="G429" s="225"/>
      <c r="H429" s="153"/>
    </row>
    <row r="430" spans="1:8" x14ac:dyDescent="0.2">
      <c r="A430" s="225"/>
      <c r="B430" s="225"/>
      <c r="C430" s="225"/>
      <c r="D430" s="225"/>
      <c r="E430" s="226"/>
      <c r="F430" s="225"/>
      <c r="G430" s="225"/>
      <c r="H430" s="153"/>
    </row>
    <row r="431" spans="1:8" x14ac:dyDescent="0.2">
      <c r="A431" s="225"/>
      <c r="B431" s="225"/>
      <c r="C431" s="225"/>
      <c r="D431" s="225"/>
      <c r="E431" s="224"/>
      <c r="F431" s="225"/>
      <c r="G431" s="225"/>
      <c r="H431" s="153"/>
    </row>
    <row r="432" spans="1:8" x14ac:dyDescent="0.2">
      <c r="A432" s="225"/>
      <c r="B432" s="225"/>
      <c r="C432" s="225"/>
      <c r="D432" s="225"/>
      <c r="E432" s="226"/>
      <c r="F432" s="225"/>
      <c r="G432" s="225"/>
      <c r="H432" s="153"/>
    </row>
    <row r="433" spans="1:8" x14ac:dyDescent="0.2">
      <c r="A433" s="225"/>
      <c r="B433" s="225"/>
      <c r="C433" s="225"/>
      <c r="D433" s="225"/>
      <c r="E433" s="224"/>
      <c r="F433" s="225"/>
      <c r="G433" s="225"/>
      <c r="H433" s="153"/>
    </row>
    <row r="434" spans="1:8" x14ac:dyDescent="0.2">
      <c r="A434" s="225"/>
      <c r="B434" s="225"/>
      <c r="C434" s="225"/>
      <c r="D434" s="225"/>
      <c r="E434" s="226"/>
      <c r="F434" s="225"/>
      <c r="G434" s="225"/>
      <c r="H434" s="153"/>
    </row>
    <row r="435" spans="1:8" x14ac:dyDescent="0.2">
      <c r="A435" s="225"/>
      <c r="B435" s="225"/>
      <c r="C435" s="225"/>
      <c r="D435" s="225"/>
      <c r="E435" s="226"/>
      <c r="F435" s="225"/>
      <c r="G435" s="225"/>
      <c r="H435" s="153"/>
    </row>
    <row r="436" spans="1:8" x14ac:dyDescent="0.2">
      <c r="A436" s="225"/>
      <c r="B436" s="225"/>
      <c r="C436" s="225"/>
      <c r="D436" s="225"/>
      <c r="E436" s="226"/>
      <c r="F436" s="225"/>
      <c r="G436" s="225"/>
      <c r="H436" s="153"/>
    </row>
    <row r="437" spans="1:8" x14ac:dyDescent="0.2">
      <c r="A437" s="225"/>
      <c r="B437" s="225"/>
      <c r="C437" s="225"/>
      <c r="D437" s="225"/>
      <c r="E437" s="226"/>
      <c r="F437" s="225"/>
      <c r="G437" s="225"/>
      <c r="H437" s="153"/>
    </row>
    <row r="438" spans="1:8" x14ac:dyDescent="0.2">
      <c r="A438" s="225"/>
      <c r="B438" s="225"/>
      <c r="C438" s="225"/>
      <c r="D438" s="225"/>
      <c r="E438" s="226"/>
      <c r="F438" s="225"/>
      <c r="G438" s="225"/>
      <c r="H438" s="153"/>
    </row>
    <row r="439" spans="1:8" x14ac:dyDescent="0.2">
      <c r="A439" s="225"/>
      <c r="B439" s="225"/>
      <c r="C439" s="225"/>
      <c r="D439" s="225"/>
      <c r="E439" s="226"/>
      <c r="F439" s="225"/>
      <c r="G439" s="225"/>
      <c r="H439" s="153"/>
    </row>
    <row r="440" spans="1:8" x14ac:dyDescent="0.2">
      <c r="A440" s="225"/>
      <c r="B440" s="225"/>
      <c r="C440" s="225"/>
      <c r="D440" s="225"/>
      <c r="E440" s="226"/>
      <c r="F440" s="225"/>
      <c r="G440" s="225"/>
      <c r="H440" s="153"/>
    </row>
    <row r="441" spans="1:8" x14ac:dyDescent="0.2">
      <c r="A441" s="225"/>
      <c r="B441" s="225"/>
      <c r="C441" s="225"/>
      <c r="D441" s="225"/>
      <c r="E441" s="226"/>
      <c r="F441" s="225"/>
      <c r="G441" s="225"/>
      <c r="H441" s="153"/>
    </row>
    <row r="442" spans="1:8" x14ac:dyDescent="0.2">
      <c r="A442" s="225"/>
      <c r="B442" s="225"/>
      <c r="C442" s="225"/>
      <c r="D442" s="225"/>
      <c r="E442" s="226"/>
      <c r="F442" s="225"/>
      <c r="G442" s="225"/>
      <c r="H442" s="153"/>
    </row>
    <row r="443" spans="1:8" x14ac:dyDescent="0.2">
      <c r="A443" s="225"/>
      <c r="B443" s="225"/>
      <c r="C443" s="225"/>
      <c r="D443" s="225"/>
      <c r="E443" s="226"/>
      <c r="F443" s="225"/>
      <c r="G443" s="225"/>
      <c r="H443" s="153"/>
    </row>
    <row r="444" spans="1:8" x14ac:dyDescent="0.2">
      <c r="A444" s="225"/>
      <c r="B444" s="225"/>
      <c r="C444" s="225"/>
      <c r="D444" s="225"/>
      <c r="E444" s="226"/>
      <c r="F444" s="225"/>
      <c r="G444" s="225"/>
      <c r="H444" s="153"/>
    </row>
    <row r="445" spans="1:8" x14ac:dyDescent="0.2">
      <c r="A445" s="225"/>
      <c r="B445" s="225"/>
      <c r="C445" s="225"/>
      <c r="D445" s="225"/>
      <c r="E445" s="226"/>
      <c r="F445" s="225"/>
      <c r="G445" s="225"/>
      <c r="H445" s="153"/>
    </row>
    <row r="446" spans="1:8" x14ac:dyDescent="0.2">
      <c r="A446" s="225"/>
      <c r="B446" s="225"/>
      <c r="C446" s="225"/>
      <c r="D446" s="225"/>
      <c r="E446" s="226"/>
      <c r="F446" s="225"/>
      <c r="G446" s="225"/>
      <c r="H446" s="153"/>
    </row>
    <row r="447" spans="1:8" x14ac:dyDescent="0.2">
      <c r="A447" s="225"/>
      <c r="B447" s="225"/>
      <c r="C447" s="225"/>
      <c r="D447" s="225"/>
      <c r="E447" s="226"/>
      <c r="F447" s="225"/>
      <c r="G447" s="225"/>
      <c r="H447" s="153"/>
    </row>
    <row r="448" spans="1:8" x14ac:dyDescent="0.2">
      <c r="A448" s="225"/>
      <c r="B448" s="225"/>
      <c r="C448" s="225"/>
      <c r="D448" s="225"/>
      <c r="E448" s="226"/>
      <c r="F448" s="225"/>
      <c r="G448" s="225"/>
      <c r="H448" s="153"/>
    </row>
    <row r="449" spans="1:8" x14ac:dyDescent="0.2">
      <c r="A449" s="225"/>
      <c r="B449" s="225"/>
      <c r="C449" s="225"/>
      <c r="D449" s="225"/>
      <c r="E449" s="226"/>
      <c r="F449" s="225"/>
      <c r="G449" s="225"/>
      <c r="H449" s="153"/>
    </row>
    <row r="450" spans="1:8" x14ac:dyDescent="0.2">
      <c r="A450" s="225"/>
      <c r="B450" s="225"/>
      <c r="C450" s="225"/>
      <c r="D450" s="225"/>
      <c r="E450" s="226"/>
      <c r="F450" s="225"/>
      <c r="G450" s="225"/>
      <c r="H450" s="153"/>
    </row>
    <row r="451" spans="1:8" x14ac:dyDescent="0.2">
      <c r="A451" s="225"/>
      <c r="B451" s="225"/>
      <c r="C451" s="225"/>
      <c r="D451" s="225"/>
      <c r="E451" s="226"/>
      <c r="F451" s="225"/>
      <c r="G451" s="225"/>
      <c r="H451" s="153"/>
    </row>
    <row r="452" spans="1:8" x14ac:dyDescent="0.2">
      <c r="A452" s="225"/>
      <c r="B452" s="225"/>
      <c r="C452" s="225"/>
      <c r="D452" s="225"/>
      <c r="E452" s="226"/>
      <c r="F452" s="225"/>
      <c r="G452" s="225"/>
      <c r="H452" s="153"/>
    </row>
    <row r="453" spans="1:8" x14ac:dyDescent="0.2">
      <c r="A453" s="225"/>
      <c r="B453" s="225"/>
      <c r="C453" s="225"/>
      <c r="D453" s="225"/>
      <c r="E453" s="226"/>
      <c r="F453" s="225"/>
      <c r="G453" s="225"/>
      <c r="H453" s="153"/>
    </row>
    <row r="454" spans="1:8" x14ac:dyDescent="0.2">
      <c r="A454" s="225"/>
      <c r="B454" s="225"/>
      <c r="C454" s="225"/>
      <c r="D454" s="225"/>
      <c r="E454" s="226"/>
      <c r="F454" s="225"/>
      <c r="G454" s="225"/>
      <c r="H454" s="153"/>
    </row>
    <row r="455" spans="1:8" x14ac:dyDescent="0.2">
      <c r="A455" s="225"/>
      <c r="B455" s="225"/>
      <c r="C455" s="225"/>
      <c r="D455" s="225"/>
      <c r="E455" s="226"/>
      <c r="F455" s="225"/>
      <c r="G455" s="225"/>
      <c r="H455" s="153"/>
    </row>
    <row r="456" spans="1:8" x14ac:dyDescent="0.2">
      <c r="A456" s="225"/>
      <c r="B456" s="225"/>
      <c r="C456" s="225"/>
      <c r="D456" s="225"/>
      <c r="E456" s="226"/>
      <c r="F456" s="225"/>
      <c r="G456" s="225"/>
      <c r="H456" s="153"/>
    </row>
    <row r="457" spans="1:8" x14ac:dyDescent="0.2">
      <c r="A457" s="225"/>
      <c r="B457" s="225"/>
      <c r="C457" s="225"/>
      <c r="D457" s="225"/>
      <c r="E457" s="224"/>
      <c r="F457" s="225"/>
      <c r="G457" s="225"/>
      <c r="H457" s="153"/>
    </row>
    <row r="458" spans="1:8" x14ac:dyDescent="0.2">
      <c r="A458" s="225"/>
      <c r="B458" s="225"/>
      <c r="C458" s="225"/>
      <c r="D458" s="225"/>
      <c r="E458" s="226"/>
      <c r="F458" s="225"/>
      <c r="G458" s="225"/>
      <c r="H458" s="153"/>
    </row>
    <row r="459" spans="1:8" x14ac:dyDescent="0.2">
      <c r="A459" s="225"/>
      <c r="B459" s="225"/>
      <c r="C459" s="225"/>
      <c r="D459" s="225"/>
      <c r="E459" s="226"/>
      <c r="F459" s="225"/>
      <c r="G459" s="225"/>
      <c r="H459" s="153"/>
    </row>
    <row r="460" spans="1:8" x14ac:dyDescent="0.2">
      <c r="A460" s="225"/>
      <c r="B460" s="225"/>
      <c r="C460" s="225"/>
      <c r="D460" s="225"/>
      <c r="E460" s="226"/>
      <c r="F460" s="225"/>
      <c r="G460" s="225"/>
      <c r="H460" s="153"/>
    </row>
    <row r="461" spans="1:8" x14ac:dyDescent="0.2">
      <c r="A461" s="225"/>
      <c r="B461" s="225"/>
      <c r="C461" s="225"/>
      <c r="D461" s="225"/>
      <c r="E461" s="226"/>
      <c r="F461" s="225"/>
      <c r="G461" s="225"/>
      <c r="H461" s="153"/>
    </row>
    <row r="462" spans="1:8" x14ac:dyDescent="0.2">
      <c r="A462" s="225"/>
      <c r="B462" s="225"/>
      <c r="C462" s="225"/>
      <c r="D462" s="225"/>
      <c r="E462" s="226"/>
      <c r="F462" s="225"/>
      <c r="G462" s="225"/>
      <c r="H462" s="153"/>
    </row>
    <row r="463" spans="1:8" x14ac:dyDescent="0.2">
      <c r="A463" s="225"/>
      <c r="B463" s="225"/>
      <c r="C463" s="225"/>
      <c r="D463" s="225"/>
      <c r="E463" s="226"/>
      <c r="F463" s="225"/>
      <c r="G463" s="225"/>
      <c r="H463" s="153"/>
    </row>
    <row r="464" spans="1:8" x14ac:dyDescent="0.2">
      <c r="A464" s="225"/>
      <c r="B464" s="225"/>
      <c r="C464" s="225"/>
      <c r="D464" s="225"/>
      <c r="E464" s="226"/>
      <c r="F464" s="225"/>
      <c r="G464" s="225"/>
      <c r="H464" s="153"/>
    </row>
    <row r="465" spans="1:8" x14ac:dyDescent="0.2">
      <c r="A465" s="225"/>
      <c r="B465" s="225"/>
      <c r="C465" s="225"/>
      <c r="D465" s="225"/>
      <c r="E465" s="226"/>
      <c r="F465" s="225"/>
      <c r="G465" s="225"/>
      <c r="H465" s="153"/>
    </row>
    <row r="466" spans="1:8" x14ac:dyDescent="0.2">
      <c r="A466" s="225"/>
      <c r="B466" s="225"/>
      <c r="C466" s="225"/>
      <c r="D466" s="225"/>
      <c r="E466" s="226"/>
      <c r="F466" s="225"/>
      <c r="G466" s="225"/>
      <c r="H466" s="153"/>
    </row>
    <row r="467" spans="1:8" x14ac:dyDescent="0.2">
      <c r="A467" s="225"/>
      <c r="B467" s="225"/>
      <c r="C467" s="225"/>
      <c r="D467" s="225"/>
      <c r="E467" s="226"/>
      <c r="F467" s="225"/>
      <c r="G467" s="225"/>
      <c r="H467" s="153"/>
    </row>
    <row r="468" spans="1:8" x14ac:dyDescent="0.2">
      <c r="A468" s="225"/>
      <c r="B468" s="225"/>
      <c r="C468" s="225"/>
      <c r="D468" s="225"/>
      <c r="E468" s="226"/>
      <c r="F468" s="225"/>
      <c r="G468" s="225"/>
      <c r="H468" s="153"/>
    </row>
    <row r="469" spans="1:8" x14ac:dyDescent="0.2">
      <c r="A469" s="225"/>
      <c r="B469" s="225"/>
      <c r="C469" s="225"/>
      <c r="D469" s="225"/>
      <c r="E469" s="226"/>
      <c r="F469" s="225"/>
      <c r="G469" s="225"/>
      <c r="H469" s="153"/>
    </row>
    <row r="470" spans="1:8" x14ac:dyDescent="0.2">
      <c r="A470" s="225"/>
      <c r="B470" s="225"/>
      <c r="C470" s="225"/>
      <c r="D470" s="225"/>
      <c r="E470" s="226"/>
      <c r="F470" s="225"/>
      <c r="G470" s="225"/>
      <c r="H470" s="153"/>
    </row>
    <row r="471" spans="1:8" x14ac:dyDescent="0.2">
      <c r="A471" s="225"/>
      <c r="B471" s="225"/>
      <c r="C471" s="225"/>
      <c r="D471" s="225"/>
      <c r="E471" s="226"/>
      <c r="F471" s="225"/>
      <c r="G471" s="225"/>
      <c r="H471" s="153"/>
    </row>
    <row r="472" spans="1:8" x14ac:dyDescent="0.2">
      <c r="A472" s="225"/>
      <c r="B472" s="225"/>
      <c r="C472" s="225"/>
      <c r="D472" s="225"/>
      <c r="E472" s="226"/>
      <c r="F472" s="225"/>
      <c r="G472" s="225"/>
      <c r="H472" s="153"/>
    </row>
    <row r="473" spans="1:8" x14ac:dyDescent="0.2">
      <c r="A473" s="225"/>
      <c r="B473" s="225"/>
      <c r="C473" s="225"/>
      <c r="D473" s="225"/>
      <c r="E473" s="226"/>
      <c r="F473" s="225"/>
      <c r="G473" s="225"/>
      <c r="H473" s="153"/>
    </row>
    <row r="474" spans="1:8" x14ac:dyDescent="0.2">
      <c r="A474" s="225"/>
      <c r="B474" s="225"/>
      <c r="C474" s="225"/>
      <c r="D474" s="225"/>
      <c r="E474" s="226"/>
      <c r="F474" s="225"/>
      <c r="G474" s="225"/>
      <c r="H474" s="153"/>
    </row>
    <row r="475" spans="1:8" x14ac:dyDescent="0.2">
      <c r="A475" s="225"/>
      <c r="B475" s="225"/>
      <c r="C475" s="225"/>
      <c r="D475" s="225"/>
      <c r="E475" s="226"/>
      <c r="F475" s="225"/>
      <c r="G475" s="225"/>
      <c r="H475" s="153"/>
    </row>
    <row r="476" spans="1:8" x14ac:dyDescent="0.2">
      <c r="A476" s="225"/>
      <c r="B476" s="225"/>
      <c r="C476" s="225"/>
      <c r="D476" s="225"/>
      <c r="E476" s="226"/>
      <c r="F476" s="225"/>
      <c r="G476" s="225"/>
      <c r="H476" s="153"/>
    </row>
    <row r="477" spans="1:8" x14ac:dyDescent="0.2">
      <c r="A477" s="225"/>
      <c r="B477" s="225"/>
      <c r="C477" s="225"/>
      <c r="D477" s="225"/>
      <c r="E477" s="226"/>
      <c r="F477" s="225"/>
      <c r="G477" s="225"/>
      <c r="H477" s="153"/>
    </row>
    <row r="478" spans="1:8" x14ac:dyDescent="0.2">
      <c r="A478" s="225"/>
      <c r="B478" s="225"/>
      <c r="C478" s="225"/>
      <c r="D478" s="225"/>
      <c r="E478" s="224"/>
      <c r="F478" s="225"/>
      <c r="G478" s="225"/>
      <c r="H478" s="153"/>
    </row>
    <row r="479" spans="1:8" x14ac:dyDescent="0.2">
      <c r="A479" s="225"/>
      <c r="B479" s="225"/>
      <c r="C479" s="225"/>
      <c r="D479" s="225"/>
      <c r="E479" s="226"/>
      <c r="F479" s="225"/>
      <c r="G479" s="225"/>
      <c r="H479" s="153"/>
    </row>
    <row r="480" spans="1:8" x14ac:dyDescent="0.2">
      <c r="A480" s="225"/>
      <c r="B480" s="225"/>
      <c r="C480" s="225"/>
      <c r="D480" s="225"/>
      <c r="E480" s="226"/>
      <c r="F480" s="225"/>
      <c r="G480" s="225"/>
      <c r="H480" s="153"/>
    </row>
    <row r="481" spans="1:8" x14ac:dyDescent="0.2">
      <c r="A481" s="225"/>
      <c r="B481" s="225"/>
      <c r="C481" s="225"/>
      <c r="D481" s="225"/>
      <c r="E481" s="226"/>
      <c r="F481" s="225"/>
      <c r="G481" s="225"/>
      <c r="H481" s="153"/>
    </row>
    <row r="482" spans="1:8" x14ac:dyDescent="0.2">
      <c r="A482" s="225"/>
      <c r="B482" s="225"/>
      <c r="C482" s="225"/>
      <c r="D482" s="225"/>
      <c r="E482" s="226"/>
      <c r="F482" s="225"/>
      <c r="G482" s="225"/>
      <c r="H482" s="153"/>
    </row>
    <row r="483" spans="1:8" x14ac:dyDescent="0.2">
      <c r="A483" s="225"/>
      <c r="B483" s="225"/>
      <c r="C483" s="225"/>
      <c r="D483" s="225"/>
      <c r="E483" s="226"/>
      <c r="F483" s="225"/>
      <c r="G483" s="225"/>
      <c r="H483" s="153"/>
    </row>
    <row r="484" spans="1:8" x14ac:dyDescent="0.2">
      <c r="A484" s="225"/>
      <c r="B484" s="225"/>
      <c r="C484" s="225"/>
      <c r="D484" s="225"/>
      <c r="E484" s="224"/>
      <c r="F484" s="225"/>
      <c r="G484" s="225"/>
      <c r="H484" s="153"/>
    </row>
    <row r="485" spans="1:8" x14ac:dyDescent="0.2">
      <c r="A485" s="225"/>
      <c r="B485" s="225"/>
      <c r="C485" s="225"/>
      <c r="D485" s="225"/>
      <c r="E485" s="226"/>
      <c r="F485" s="225"/>
      <c r="G485" s="225"/>
      <c r="H485" s="153"/>
    </row>
    <row r="486" spans="1:8" x14ac:dyDescent="0.2">
      <c r="A486" s="225"/>
      <c r="B486" s="225"/>
      <c r="C486" s="225"/>
      <c r="D486" s="225"/>
      <c r="E486" s="226"/>
      <c r="F486" s="225"/>
      <c r="G486" s="225"/>
      <c r="H486" s="153"/>
    </row>
    <row r="487" spans="1:8" x14ac:dyDescent="0.2">
      <c r="A487" s="225"/>
      <c r="B487" s="225"/>
      <c r="C487" s="225"/>
      <c r="D487" s="225"/>
      <c r="E487" s="226"/>
      <c r="F487" s="225"/>
      <c r="G487" s="225"/>
      <c r="H487" s="153"/>
    </row>
    <row r="488" spans="1:8" x14ac:dyDescent="0.2">
      <c r="A488" s="225"/>
      <c r="B488" s="225"/>
      <c r="C488" s="225"/>
      <c r="D488" s="225"/>
      <c r="E488" s="226"/>
      <c r="F488" s="225"/>
      <c r="G488" s="225"/>
      <c r="H488" s="153"/>
    </row>
    <row r="489" spans="1:8" x14ac:dyDescent="0.2">
      <c r="A489" s="225"/>
      <c r="B489" s="225"/>
      <c r="C489" s="225"/>
      <c r="D489" s="225"/>
      <c r="E489" s="226"/>
      <c r="F489" s="225"/>
      <c r="G489" s="225"/>
      <c r="H489" s="153"/>
    </row>
    <row r="490" spans="1:8" x14ac:dyDescent="0.2">
      <c r="A490" s="225"/>
      <c r="B490" s="225"/>
      <c r="C490" s="225"/>
      <c r="D490" s="225"/>
      <c r="E490" s="226"/>
      <c r="F490" s="225"/>
      <c r="G490" s="225"/>
      <c r="H490" s="153"/>
    </row>
    <row r="491" spans="1:8" x14ac:dyDescent="0.2">
      <c r="A491" s="225"/>
      <c r="B491" s="225"/>
      <c r="C491" s="225"/>
      <c r="D491" s="225"/>
      <c r="E491" s="226"/>
      <c r="F491" s="225"/>
      <c r="G491" s="225"/>
      <c r="H491" s="153"/>
    </row>
    <row r="492" spans="1:8" x14ac:dyDescent="0.2">
      <c r="A492" s="225"/>
      <c r="B492" s="225"/>
      <c r="C492" s="225"/>
      <c r="D492" s="225"/>
      <c r="E492" s="226"/>
      <c r="F492" s="225"/>
      <c r="G492" s="225"/>
      <c r="H492" s="153"/>
    </row>
    <row r="493" spans="1:8" x14ac:dyDescent="0.2">
      <c r="A493" s="225"/>
      <c r="B493" s="225"/>
      <c r="C493" s="225"/>
      <c r="D493" s="225"/>
      <c r="E493" s="226"/>
      <c r="F493" s="225"/>
      <c r="G493" s="225"/>
      <c r="H493" s="153"/>
    </row>
    <row r="494" spans="1:8" x14ac:dyDescent="0.2">
      <c r="A494" s="225"/>
      <c r="B494" s="225"/>
      <c r="C494" s="225"/>
      <c r="D494" s="225"/>
      <c r="E494" s="226"/>
      <c r="F494" s="225"/>
      <c r="G494" s="225"/>
      <c r="H494" s="153"/>
    </row>
    <row r="495" spans="1:8" x14ac:dyDescent="0.2">
      <c r="A495" s="225"/>
      <c r="B495" s="225"/>
      <c r="C495" s="225"/>
      <c r="D495" s="225"/>
      <c r="E495" s="226"/>
      <c r="F495" s="225"/>
      <c r="G495" s="225"/>
      <c r="H495" s="153"/>
    </row>
    <row r="496" spans="1:8" x14ac:dyDescent="0.2">
      <c r="A496" s="225"/>
      <c r="B496" s="225"/>
      <c r="C496" s="225"/>
      <c r="D496" s="225"/>
      <c r="E496" s="226"/>
      <c r="F496" s="225"/>
      <c r="G496" s="225"/>
      <c r="H496" s="153"/>
    </row>
    <row r="497" spans="1:8" x14ac:dyDescent="0.2">
      <c r="A497" s="225"/>
      <c r="B497" s="225"/>
      <c r="C497" s="225"/>
      <c r="D497" s="225"/>
      <c r="E497" s="226"/>
      <c r="F497" s="225"/>
      <c r="G497" s="225"/>
      <c r="H497" s="153"/>
    </row>
    <row r="498" spans="1:8" x14ac:dyDescent="0.2">
      <c r="A498" s="225"/>
      <c r="B498" s="225"/>
      <c r="C498" s="225"/>
      <c r="D498" s="225"/>
      <c r="E498" s="226"/>
      <c r="F498" s="225"/>
      <c r="G498" s="225"/>
      <c r="H498" s="153"/>
    </row>
    <row r="499" spans="1:8" x14ac:dyDescent="0.2">
      <c r="A499" s="225"/>
      <c r="B499" s="225"/>
      <c r="C499" s="225"/>
      <c r="D499" s="225"/>
      <c r="E499" s="226"/>
      <c r="F499" s="225"/>
      <c r="G499" s="225"/>
      <c r="H499" s="153"/>
    </row>
    <row r="500" spans="1:8" x14ac:dyDescent="0.2">
      <c r="A500" s="225"/>
      <c r="B500" s="225"/>
      <c r="C500" s="225"/>
      <c r="D500" s="225"/>
      <c r="E500" s="226"/>
      <c r="F500" s="225"/>
      <c r="G500" s="225"/>
      <c r="H500" s="153"/>
    </row>
    <row r="501" spans="1:8" x14ac:dyDescent="0.2">
      <c r="A501" s="225"/>
      <c r="B501" s="225"/>
      <c r="C501" s="225"/>
      <c r="D501" s="225"/>
      <c r="E501" s="226"/>
      <c r="F501" s="225"/>
      <c r="G501" s="225"/>
      <c r="H501" s="153"/>
    </row>
    <row r="502" spans="1:8" x14ac:dyDescent="0.2">
      <c r="A502" s="225"/>
      <c r="B502" s="225"/>
      <c r="C502" s="225"/>
      <c r="D502" s="225"/>
      <c r="E502" s="226"/>
      <c r="F502" s="225"/>
      <c r="G502" s="225"/>
      <c r="H502" s="153"/>
    </row>
    <row r="503" spans="1:8" x14ac:dyDescent="0.2">
      <c r="A503" s="225"/>
      <c r="B503" s="225"/>
      <c r="C503" s="225"/>
      <c r="D503" s="225"/>
      <c r="E503" s="226"/>
      <c r="F503" s="225"/>
      <c r="G503" s="225"/>
      <c r="H503" s="153"/>
    </row>
    <row r="504" spans="1:8" x14ac:dyDescent="0.2">
      <c r="A504" s="225"/>
      <c r="B504" s="225"/>
      <c r="C504" s="225"/>
      <c r="D504" s="225"/>
      <c r="E504" s="226"/>
      <c r="F504" s="225"/>
      <c r="G504" s="225"/>
      <c r="H504" s="153"/>
    </row>
    <row r="505" spans="1:8" x14ac:dyDescent="0.2">
      <c r="A505" s="225"/>
      <c r="B505" s="225"/>
      <c r="C505" s="225"/>
      <c r="D505" s="225"/>
      <c r="E505" s="226"/>
      <c r="F505" s="225"/>
      <c r="G505" s="225"/>
      <c r="H505" s="153"/>
    </row>
    <row r="506" spans="1:8" x14ac:dyDescent="0.2">
      <c r="A506" s="225"/>
      <c r="B506" s="225"/>
      <c r="C506" s="225"/>
      <c r="D506" s="225"/>
      <c r="E506" s="224"/>
      <c r="F506" s="225"/>
      <c r="G506" s="225"/>
      <c r="H506" s="153"/>
    </row>
    <row r="507" spans="1:8" x14ac:dyDescent="0.2">
      <c r="A507" s="225"/>
      <c r="B507" s="225"/>
      <c r="C507" s="225"/>
      <c r="D507" s="225"/>
      <c r="E507" s="226"/>
      <c r="F507" s="225"/>
      <c r="G507" s="225"/>
      <c r="H507" s="153"/>
    </row>
    <row r="508" spans="1:8" x14ac:dyDescent="0.2">
      <c r="A508" s="225"/>
      <c r="B508" s="225"/>
      <c r="C508" s="225"/>
      <c r="D508" s="225"/>
      <c r="E508" s="226"/>
      <c r="F508" s="225"/>
      <c r="G508" s="225"/>
      <c r="H508" s="153"/>
    </row>
    <row r="509" spans="1:8" x14ac:dyDescent="0.2">
      <c r="A509" s="225"/>
      <c r="B509" s="225"/>
      <c r="C509" s="225"/>
      <c r="D509" s="225"/>
      <c r="E509" s="226"/>
      <c r="F509" s="225"/>
      <c r="G509" s="225"/>
      <c r="H509" s="153"/>
    </row>
    <row r="510" spans="1:8" x14ac:dyDescent="0.2">
      <c r="A510" s="225"/>
      <c r="B510" s="225"/>
      <c r="C510" s="225"/>
      <c r="D510" s="225"/>
      <c r="E510" s="226"/>
      <c r="F510" s="225"/>
      <c r="G510" s="225"/>
      <c r="H510" s="153"/>
    </row>
    <row r="511" spans="1:8" x14ac:dyDescent="0.2">
      <c r="A511" s="225"/>
      <c r="B511" s="225"/>
      <c r="C511" s="225"/>
      <c r="D511" s="225"/>
      <c r="E511" s="226"/>
      <c r="F511" s="225"/>
      <c r="G511" s="225"/>
      <c r="H511" s="153"/>
    </row>
    <row r="512" spans="1:8" x14ac:dyDescent="0.2">
      <c r="A512" s="225"/>
      <c r="B512" s="225"/>
      <c r="C512" s="225"/>
      <c r="D512" s="225"/>
      <c r="E512" s="226"/>
      <c r="F512" s="225"/>
      <c r="G512" s="225"/>
      <c r="H512" s="153"/>
    </row>
    <row r="513" spans="1:8" x14ac:dyDescent="0.2">
      <c r="A513" s="225"/>
      <c r="B513" s="225"/>
      <c r="C513" s="225"/>
      <c r="D513" s="225"/>
      <c r="E513" s="226"/>
      <c r="F513" s="225"/>
      <c r="G513" s="225"/>
      <c r="H513" s="153"/>
    </row>
    <row r="514" spans="1:8" x14ac:dyDescent="0.2">
      <c r="A514" s="225"/>
      <c r="B514" s="225"/>
      <c r="C514" s="225"/>
      <c r="D514" s="225"/>
      <c r="E514" s="226"/>
      <c r="F514" s="225"/>
      <c r="G514" s="225"/>
      <c r="H514" s="153"/>
    </row>
    <row r="515" spans="1:8" x14ac:dyDescent="0.2">
      <c r="A515" s="225"/>
      <c r="B515" s="225"/>
      <c r="C515" s="225"/>
      <c r="D515" s="225"/>
      <c r="E515" s="226"/>
      <c r="F515" s="225"/>
      <c r="G515" s="225"/>
      <c r="H515" s="153"/>
    </row>
    <row r="516" spans="1:8" x14ac:dyDescent="0.2">
      <c r="A516" s="225"/>
      <c r="B516" s="225"/>
      <c r="C516" s="225"/>
      <c r="D516" s="225"/>
      <c r="E516" s="226"/>
      <c r="F516" s="225"/>
      <c r="G516" s="225"/>
      <c r="H516" s="153"/>
    </row>
    <row r="517" spans="1:8" x14ac:dyDescent="0.2">
      <c r="A517" s="225"/>
      <c r="B517" s="225"/>
      <c r="C517" s="225"/>
      <c r="D517" s="225"/>
      <c r="E517" s="226"/>
      <c r="F517" s="225"/>
      <c r="G517" s="225"/>
      <c r="H517" s="153"/>
    </row>
    <row r="518" spans="1:8" x14ac:dyDescent="0.2">
      <c r="A518" s="225"/>
      <c r="B518" s="225"/>
      <c r="C518" s="225"/>
      <c r="D518" s="225"/>
      <c r="E518" s="226"/>
      <c r="F518" s="225"/>
      <c r="G518" s="225"/>
      <c r="H518" s="153"/>
    </row>
    <row r="519" spans="1:8" x14ac:dyDescent="0.2">
      <c r="A519" s="225"/>
      <c r="B519" s="225"/>
      <c r="C519" s="225"/>
      <c r="D519" s="225"/>
      <c r="E519" s="226"/>
      <c r="F519" s="225"/>
      <c r="G519" s="225"/>
      <c r="H519" s="153"/>
    </row>
    <row r="520" spans="1:8" x14ac:dyDescent="0.2">
      <c r="A520" s="225"/>
      <c r="B520" s="225"/>
      <c r="C520" s="225"/>
      <c r="D520" s="225"/>
      <c r="E520" s="226"/>
      <c r="F520" s="225"/>
      <c r="G520" s="225"/>
      <c r="H520" s="153"/>
    </row>
    <row r="521" spans="1:8" x14ac:dyDescent="0.2">
      <c r="A521" s="225"/>
      <c r="B521" s="225"/>
      <c r="C521" s="225"/>
      <c r="D521" s="225"/>
      <c r="E521" s="226"/>
      <c r="F521" s="225"/>
      <c r="G521" s="225"/>
      <c r="H521" s="153"/>
    </row>
    <row r="522" spans="1:8" x14ac:dyDescent="0.2">
      <c r="A522" s="225"/>
      <c r="B522" s="225"/>
      <c r="C522" s="225"/>
      <c r="D522" s="225"/>
      <c r="E522" s="226"/>
      <c r="F522" s="225"/>
      <c r="G522" s="225"/>
      <c r="H522" s="153"/>
    </row>
    <row r="523" spans="1:8" x14ac:dyDescent="0.2">
      <c r="A523" s="225"/>
      <c r="B523" s="225"/>
      <c r="C523" s="225"/>
      <c r="D523" s="225"/>
      <c r="E523" s="226"/>
      <c r="F523" s="225"/>
      <c r="G523" s="225"/>
      <c r="H523" s="153"/>
    </row>
    <row r="524" spans="1:8" x14ac:dyDescent="0.2">
      <c r="A524" s="225"/>
      <c r="B524" s="225"/>
      <c r="C524" s="225"/>
      <c r="D524" s="225"/>
      <c r="E524" s="226"/>
      <c r="F524" s="225"/>
      <c r="G524" s="225"/>
      <c r="H524" s="153"/>
    </row>
    <row r="525" spans="1:8" x14ac:dyDescent="0.2">
      <c r="A525" s="225"/>
      <c r="B525" s="225"/>
      <c r="C525" s="225"/>
      <c r="D525" s="225"/>
      <c r="E525" s="226"/>
      <c r="F525" s="225"/>
      <c r="G525" s="225"/>
      <c r="H525" s="153"/>
    </row>
    <row r="526" spans="1:8" x14ac:dyDescent="0.2">
      <c r="A526" s="225"/>
      <c r="B526" s="225"/>
      <c r="C526" s="225"/>
      <c r="D526" s="225"/>
      <c r="E526" s="226"/>
      <c r="F526" s="225"/>
      <c r="G526" s="225"/>
      <c r="H526" s="153"/>
    </row>
    <row r="527" spans="1:8" x14ac:dyDescent="0.2">
      <c r="A527" s="225"/>
      <c r="B527" s="225"/>
      <c r="C527" s="225"/>
      <c r="D527" s="225"/>
      <c r="E527" s="226"/>
      <c r="F527" s="225"/>
      <c r="G527" s="225"/>
      <c r="H527" s="153"/>
    </row>
    <row r="528" spans="1:8" x14ac:dyDescent="0.2">
      <c r="A528" s="225"/>
      <c r="B528" s="225"/>
      <c r="C528" s="225"/>
      <c r="D528" s="225"/>
      <c r="E528" s="226"/>
      <c r="F528" s="225"/>
      <c r="G528" s="225"/>
      <c r="H528" s="153"/>
    </row>
    <row r="529" spans="1:8" x14ac:dyDescent="0.2">
      <c r="A529" s="225"/>
      <c r="B529" s="225"/>
      <c r="C529" s="225"/>
      <c r="D529" s="225"/>
      <c r="E529" s="226"/>
      <c r="F529" s="225"/>
      <c r="G529" s="225"/>
      <c r="H529" s="153"/>
    </row>
    <row r="530" spans="1:8" x14ac:dyDescent="0.2">
      <c r="A530" s="225"/>
      <c r="B530" s="225"/>
      <c r="C530" s="225"/>
      <c r="D530" s="225"/>
      <c r="E530" s="226"/>
      <c r="F530" s="225"/>
      <c r="G530" s="225"/>
      <c r="H530" s="153"/>
    </row>
    <row r="531" spans="1:8" x14ac:dyDescent="0.2">
      <c r="A531" s="225"/>
      <c r="B531" s="225"/>
      <c r="C531" s="225"/>
      <c r="D531" s="225"/>
      <c r="E531" s="226"/>
      <c r="F531" s="225"/>
      <c r="G531" s="225"/>
      <c r="H531" s="153"/>
    </row>
    <row r="532" spans="1:8" x14ac:dyDescent="0.2">
      <c r="A532" s="225"/>
      <c r="B532" s="225"/>
      <c r="C532" s="225"/>
      <c r="D532" s="225"/>
      <c r="E532" s="226"/>
      <c r="F532" s="225"/>
      <c r="G532" s="225"/>
      <c r="H532" s="153"/>
    </row>
    <row r="533" spans="1:8" x14ac:dyDescent="0.2">
      <c r="A533" s="225"/>
      <c r="B533" s="225"/>
      <c r="C533" s="225"/>
      <c r="D533" s="225"/>
      <c r="E533" s="226"/>
      <c r="F533" s="225"/>
      <c r="G533" s="225"/>
      <c r="H533" s="153"/>
    </row>
    <row r="534" spans="1:8" x14ac:dyDescent="0.2">
      <c r="A534" s="225"/>
      <c r="B534" s="225"/>
      <c r="C534" s="225"/>
      <c r="D534" s="225"/>
      <c r="E534" s="226"/>
      <c r="F534" s="225"/>
      <c r="G534" s="225"/>
      <c r="H534" s="153"/>
    </row>
    <row r="535" spans="1:8" x14ac:dyDescent="0.2">
      <c r="A535" s="225"/>
      <c r="B535" s="225"/>
      <c r="C535" s="225"/>
      <c r="D535" s="225"/>
      <c r="E535" s="226"/>
      <c r="F535" s="225"/>
      <c r="G535" s="225"/>
      <c r="H535" s="153"/>
    </row>
    <row r="536" spans="1:8" x14ac:dyDescent="0.2">
      <c r="A536" s="225"/>
      <c r="B536" s="225"/>
      <c r="C536" s="225"/>
      <c r="D536" s="225"/>
      <c r="E536" s="226"/>
      <c r="F536" s="225"/>
      <c r="G536" s="225"/>
      <c r="H536" s="153"/>
    </row>
    <row r="537" spans="1:8" x14ac:dyDescent="0.2">
      <c r="A537" s="225"/>
      <c r="B537" s="225"/>
      <c r="C537" s="225"/>
      <c r="D537" s="225"/>
      <c r="E537" s="226"/>
      <c r="F537" s="225"/>
      <c r="G537" s="225"/>
      <c r="H537" s="153"/>
    </row>
    <row r="538" spans="1:8" x14ac:dyDescent="0.2">
      <c r="A538" s="225"/>
      <c r="B538" s="225"/>
      <c r="C538" s="225"/>
      <c r="D538" s="225"/>
      <c r="E538" s="226"/>
      <c r="F538" s="225"/>
      <c r="G538" s="225"/>
      <c r="H538" s="153"/>
    </row>
    <row r="539" spans="1:8" x14ac:dyDescent="0.2">
      <c r="A539" s="225"/>
      <c r="B539" s="225"/>
      <c r="C539" s="225"/>
      <c r="D539" s="225"/>
      <c r="E539" s="226"/>
      <c r="F539" s="225"/>
      <c r="G539" s="225"/>
      <c r="H539" s="153"/>
    </row>
    <row r="540" spans="1:8" x14ac:dyDescent="0.2">
      <c r="A540" s="225"/>
      <c r="B540" s="225"/>
      <c r="C540" s="225"/>
      <c r="D540" s="225"/>
      <c r="E540" s="224"/>
      <c r="F540" s="225"/>
      <c r="G540" s="225"/>
      <c r="H540" s="153"/>
    </row>
    <row r="541" spans="1:8" x14ac:dyDescent="0.2">
      <c r="A541" s="225"/>
      <c r="B541" s="225"/>
      <c r="C541" s="225"/>
      <c r="D541" s="225"/>
      <c r="E541" s="226"/>
      <c r="F541" s="225"/>
      <c r="G541" s="225"/>
      <c r="H541" s="153"/>
    </row>
    <row r="542" spans="1:8" x14ac:dyDescent="0.2">
      <c r="A542" s="225"/>
      <c r="B542" s="225"/>
      <c r="C542" s="225"/>
      <c r="D542" s="225"/>
      <c r="E542" s="226"/>
      <c r="F542" s="225"/>
      <c r="G542" s="225"/>
      <c r="H542" s="153"/>
    </row>
    <row r="543" spans="1:8" x14ac:dyDescent="0.2">
      <c r="A543" s="225"/>
      <c r="B543" s="225"/>
      <c r="C543" s="225"/>
      <c r="D543" s="225"/>
      <c r="E543" s="226"/>
      <c r="F543" s="225"/>
      <c r="G543" s="225"/>
      <c r="H543" s="153"/>
    </row>
    <row r="544" spans="1:8" x14ac:dyDescent="0.2">
      <c r="A544" s="225"/>
      <c r="B544" s="225"/>
      <c r="C544" s="225"/>
      <c r="D544" s="225"/>
      <c r="E544" s="226"/>
      <c r="F544" s="225"/>
      <c r="G544" s="225"/>
      <c r="H544" s="153"/>
    </row>
    <row r="545" spans="1:8" x14ac:dyDescent="0.2">
      <c r="A545" s="225"/>
      <c r="B545" s="225"/>
      <c r="C545" s="225"/>
      <c r="D545" s="225"/>
      <c r="E545" s="226"/>
      <c r="F545" s="225"/>
      <c r="G545" s="225"/>
      <c r="H545" s="153"/>
    </row>
    <row r="546" spans="1:8" x14ac:dyDescent="0.2">
      <c r="A546" s="225"/>
      <c r="B546" s="225"/>
      <c r="C546" s="225"/>
      <c r="D546" s="225"/>
      <c r="E546" s="226"/>
      <c r="F546" s="225"/>
      <c r="G546" s="225"/>
      <c r="H546" s="153"/>
    </row>
    <row r="547" spans="1:8" x14ac:dyDescent="0.2">
      <c r="A547" s="225"/>
      <c r="B547" s="225"/>
      <c r="C547" s="225"/>
      <c r="D547" s="225"/>
      <c r="E547" s="226"/>
      <c r="F547" s="225"/>
      <c r="G547" s="225"/>
      <c r="H547" s="153"/>
    </row>
    <row r="548" spans="1:8" x14ac:dyDescent="0.2">
      <c r="A548" s="225"/>
      <c r="B548" s="225"/>
      <c r="C548" s="225"/>
      <c r="D548" s="225"/>
      <c r="E548" s="226"/>
      <c r="F548" s="225"/>
      <c r="G548" s="225"/>
      <c r="H548" s="153"/>
    </row>
    <row r="549" spans="1:8" x14ac:dyDescent="0.2">
      <c r="A549" s="225"/>
      <c r="B549" s="225"/>
      <c r="C549" s="225"/>
      <c r="D549" s="225"/>
      <c r="E549" s="226"/>
      <c r="F549" s="225"/>
      <c r="G549" s="225"/>
      <c r="H549" s="153"/>
    </row>
    <row r="550" spans="1:8" x14ac:dyDescent="0.2">
      <c r="A550" s="225"/>
      <c r="B550" s="225"/>
      <c r="C550" s="225"/>
      <c r="D550" s="225"/>
      <c r="E550" s="226"/>
      <c r="F550" s="225"/>
      <c r="G550" s="225"/>
      <c r="H550" s="153"/>
    </row>
    <row r="551" spans="1:8" x14ac:dyDescent="0.2">
      <c r="A551" s="225"/>
      <c r="B551" s="225"/>
      <c r="C551" s="225"/>
      <c r="D551" s="225"/>
      <c r="E551" s="226"/>
      <c r="F551" s="225"/>
      <c r="G551" s="225"/>
      <c r="H551" s="153"/>
    </row>
    <row r="552" spans="1:8" x14ac:dyDescent="0.2">
      <c r="A552" s="225"/>
      <c r="B552" s="225"/>
      <c r="C552" s="225"/>
      <c r="D552" s="225"/>
      <c r="E552" s="226"/>
      <c r="F552" s="225"/>
      <c r="G552" s="225"/>
      <c r="H552" s="153"/>
    </row>
    <row r="553" spans="1:8" x14ac:dyDescent="0.2">
      <c r="A553" s="225"/>
      <c r="B553" s="225"/>
      <c r="C553" s="225"/>
      <c r="D553" s="225"/>
      <c r="E553" s="226"/>
      <c r="F553" s="225"/>
      <c r="G553" s="225"/>
      <c r="H553" s="153"/>
    </row>
    <row r="554" spans="1:8" x14ac:dyDescent="0.2">
      <c r="A554" s="225"/>
      <c r="B554" s="225"/>
      <c r="C554" s="225"/>
      <c r="D554" s="225"/>
      <c r="E554" s="226"/>
      <c r="F554" s="225"/>
      <c r="G554" s="225"/>
      <c r="H554" s="153"/>
    </row>
    <row r="555" spans="1:8" x14ac:dyDescent="0.2">
      <c r="A555" s="225"/>
      <c r="B555" s="225"/>
      <c r="C555" s="225"/>
      <c r="D555" s="225"/>
      <c r="E555" s="226"/>
      <c r="F555" s="225"/>
      <c r="G555" s="225"/>
      <c r="H555" s="153"/>
    </row>
    <row r="556" spans="1:8" x14ac:dyDescent="0.2">
      <c r="A556" s="225"/>
      <c r="B556" s="225"/>
      <c r="C556" s="225"/>
      <c r="D556" s="225"/>
      <c r="E556" s="226"/>
      <c r="F556" s="225"/>
      <c r="G556" s="225"/>
      <c r="H556" s="153"/>
    </row>
    <row r="557" spans="1:8" x14ac:dyDescent="0.2">
      <c r="A557" s="225"/>
      <c r="B557" s="225"/>
      <c r="C557" s="225"/>
      <c r="D557" s="225"/>
      <c r="E557" s="226"/>
      <c r="F557" s="225"/>
      <c r="G557" s="225"/>
      <c r="H557" s="153"/>
    </row>
    <row r="558" spans="1:8" x14ac:dyDescent="0.2">
      <c r="A558" s="225"/>
      <c r="B558" s="225"/>
      <c r="C558" s="225"/>
      <c r="D558" s="225"/>
      <c r="E558" s="226"/>
      <c r="F558" s="225"/>
      <c r="G558" s="225"/>
      <c r="H558" s="153"/>
    </row>
    <row r="559" spans="1:8" x14ac:dyDescent="0.2">
      <c r="A559" s="225"/>
      <c r="B559" s="225"/>
      <c r="C559" s="225"/>
      <c r="D559" s="225"/>
      <c r="E559" s="226"/>
      <c r="F559" s="225"/>
      <c r="G559" s="225"/>
      <c r="H559" s="153"/>
    </row>
    <row r="560" spans="1:8" x14ac:dyDescent="0.2">
      <c r="A560" s="225"/>
      <c r="B560" s="225"/>
      <c r="C560" s="225"/>
      <c r="D560" s="225"/>
      <c r="E560" s="226"/>
      <c r="F560" s="225"/>
      <c r="G560" s="225"/>
      <c r="H560" s="153"/>
    </row>
    <row r="561" spans="1:8" x14ac:dyDescent="0.2">
      <c r="A561" s="225"/>
      <c r="B561" s="225"/>
      <c r="C561" s="225"/>
      <c r="D561" s="225"/>
      <c r="E561" s="226"/>
      <c r="F561" s="225"/>
      <c r="G561" s="225"/>
      <c r="H561" s="153"/>
    </row>
    <row r="562" spans="1:8" x14ac:dyDescent="0.2">
      <c r="A562" s="225"/>
      <c r="B562" s="225"/>
      <c r="C562" s="225"/>
      <c r="D562" s="225"/>
      <c r="E562" s="226"/>
      <c r="F562" s="225"/>
      <c r="G562" s="225"/>
      <c r="H562" s="153"/>
    </row>
    <row r="563" spans="1:8" x14ac:dyDescent="0.2">
      <c r="A563" s="225"/>
      <c r="B563" s="225"/>
      <c r="C563" s="225"/>
      <c r="D563" s="225"/>
      <c r="E563" s="226"/>
      <c r="F563" s="225"/>
      <c r="G563" s="225"/>
      <c r="H563" s="153"/>
    </row>
    <row r="564" spans="1:8" x14ac:dyDescent="0.2">
      <c r="A564" s="225"/>
      <c r="B564" s="225"/>
      <c r="C564" s="225"/>
      <c r="D564" s="225"/>
      <c r="E564" s="226"/>
      <c r="F564" s="225"/>
      <c r="G564" s="225"/>
      <c r="H564" s="153"/>
    </row>
    <row r="565" spans="1:8" x14ac:dyDescent="0.2">
      <c r="A565" s="225"/>
      <c r="B565" s="225"/>
      <c r="C565" s="225"/>
      <c r="D565" s="225"/>
      <c r="E565" s="226"/>
      <c r="F565" s="225"/>
      <c r="G565" s="225"/>
      <c r="H565" s="153"/>
    </row>
    <row r="566" spans="1:8" x14ac:dyDescent="0.2">
      <c r="A566" s="225"/>
      <c r="B566" s="225"/>
      <c r="C566" s="225"/>
      <c r="D566" s="225"/>
      <c r="E566" s="226"/>
      <c r="F566" s="225"/>
      <c r="G566" s="225"/>
      <c r="H566" s="153"/>
    </row>
    <row r="567" spans="1:8" x14ac:dyDescent="0.2">
      <c r="A567" s="225"/>
      <c r="B567" s="225"/>
      <c r="C567" s="225"/>
      <c r="D567" s="225"/>
      <c r="E567" s="226"/>
      <c r="F567" s="225"/>
      <c r="G567" s="225"/>
      <c r="H567" s="153"/>
    </row>
    <row r="568" spans="1:8" x14ac:dyDescent="0.2">
      <c r="A568" s="225"/>
      <c r="B568" s="225"/>
      <c r="C568" s="225"/>
      <c r="D568" s="225"/>
      <c r="E568" s="226"/>
      <c r="F568" s="225"/>
      <c r="G568" s="225"/>
      <c r="H568" s="153"/>
    </row>
    <row r="569" spans="1:8" x14ac:dyDescent="0.2">
      <c r="A569" s="225"/>
      <c r="B569" s="225"/>
      <c r="C569" s="225"/>
      <c r="D569" s="225"/>
      <c r="E569" s="226"/>
      <c r="F569" s="225"/>
      <c r="G569" s="225"/>
      <c r="H569" s="153"/>
    </row>
    <row r="570" spans="1:8" x14ac:dyDescent="0.2">
      <c r="A570" s="225"/>
      <c r="B570" s="225"/>
      <c r="C570" s="225"/>
      <c r="D570" s="225"/>
      <c r="E570" s="226"/>
      <c r="F570" s="225"/>
      <c r="G570" s="225"/>
      <c r="H570" s="153"/>
    </row>
    <row r="571" spans="1:8" x14ac:dyDescent="0.2">
      <c r="A571" s="225"/>
      <c r="B571" s="225"/>
      <c r="C571" s="225"/>
      <c r="D571" s="225"/>
      <c r="E571" s="226"/>
      <c r="F571" s="225"/>
      <c r="G571" s="225"/>
      <c r="H571" s="153"/>
    </row>
    <row r="572" spans="1:8" x14ac:dyDescent="0.2">
      <c r="A572" s="225"/>
      <c r="B572" s="225"/>
      <c r="C572" s="225"/>
      <c r="D572" s="225"/>
      <c r="E572" s="226"/>
      <c r="F572" s="225"/>
      <c r="G572" s="225"/>
      <c r="H572" s="153"/>
    </row>
    <row r="573" spans="1:8" x14ac:dyDescent="0.2">
      <c r="A573" s="225"/>
      <c r="B573" s="225"/>
      <c r="C573" s="225"/>
      <c r="D573" s="225"/>
      <c r="E573" s="226"/>
      <c r="F573" s="225"/>
      <c r="G573" s="225"/>
      <c r="H573" s="153"/>
    </row>
    <row r="574" spans="1:8" x14ac:dyDescent="0.2">
      <c r="A574" s="225"/>
      <c r="B574" s="225"/>
      <c r="C574" s="225"/>
      <c r="D574" s="225"/>
      <c r="E574" s="226"/>
      <c r="F574" s="225"/>
      <c r="G574" s="225"/>
      <c r="H574" s="153"/>
    </row>
    <row r="575" spans="1:8" x14ac:dyDescent="0.2">
      <c r="A575" s="225"/>
      <c r="B575" s="225"/>
      <c r="C575" s="225"/>
      <c r="D575" s="225"/>
      <c r="E575" s="226"/>
      <c r="F575" s="225"/>
      <c r="G575" s="225"/>
      <c r="H575" s="153"/>
    </row>
    <row r="576" spans="1:8" x14ac:dyDescent="0.2">
      <c r="A576" s="225"/>
      <c r="B576" s="225"/>
      <c r="C576" s="225"/>
      <c r="D576" s="225"/>
      <c r="E576" s="226"/>
      <c r="F576" s="225"/>
      <c r="G576" s="225"/>
      <c r="H576" s="153"/>
    </row>
    <row r="577" spans="1:8" x14ac:dyDescent="0.2">
      <c r="A577" s="225"/>
      <c r="B577" s="225"/>
      <c r="C577" s="225"/>
      <c r="D577" s="225"/>
      <c r="E577" s="226"/>
      <c r="F577" s="225"/>
      <c r="G577" s="225"/>
      <c r="H577" s="153"/>
    </row>
    <row r="578" spans="1:8" x14ac:dyDescent="0.2">
      <c r="A578" s="225"/>
      <c r="B578" s="225"/>
      <c r="C578" s="225"/>
      <c r="D578" s="225"/>
      <c r="E578" s="226"/>
      <c r="F578" s="225"/>
      <c r="G578" s="225"/>
      <c r="H578" s="153"/>
    </row>
    <row r="579" spans="1:8" x14ac:dyDescent="0.2">
      <c r="E579" s="224"/>
    </row>
  </sheetData>
  <mergeCells count="1">
    <mergeCell ref="A2:H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197E6-3636-4430-BC0B-91D7C02C504C}">
  <dimension ref="A5:O264"/>
  <sheetViews>
    <sheetView topLeftCell="A34" workbookViewId="0">
      <selection activeCell="G231" sqref="G231"/>
    </sheetView>
  </sheetViews>
  <sheetFormatPr baseColWidth="10" defaultRowHeight="12.75" x14ac:dyDescent="0.2"/>
  <cols>
    <col min="1" max="1" width="11.42578125" style="22"/>
    <col min="2" max="2" width="28.7109375" style="22" customWidth="1"/>
    <col min="3" max="16384" width="11.42578125" style="22"/>
  </cols>
  <sheetData>
    <row r="5" spans="1:8" x14ac:dyDescent="0.2">
      <c r="A5" s="1" t="s">
        <v>0</v>
      </c>
      <c r="B5" s="2"/>
      <c r="C5" s="7"/>
      <c r="D5" s="160"/>
      <c r="E5" s="3"/>
      <c r="F5" s="3"/>
      <c r="G5" s="3"/>
      <c r="H5" s="4"/>
    </row>
    <row r="6" spans="1:8" x14ac:dyDescent="0.2">
      <c r="A6" s="1"/>
      <c r="B6" s="2"/>
      <c r="C6" s="7"/>
      <c r="D6" s="160"/>
      <c r="E6" s="3"/>
      <c r="F6" s="3"/>
      <c r="G6" s="3"/>
      <c r="H6" s="4"/>
    </row>
    <row r="7" spans="1:8" x14ac:dyDescent="0.2">
      <c r="A7" s="1"/>
      <c r="B7" s="2"/>
      <c r="C7" s="7"/>
      <c r="D7" s="160"/>
      <c r="E7" s="3"/>
      <c r="F7" s="3"/>
      <c r="G7" s="3"/>
      <c r="H7" s="4"/>
    </row>
    <row r="8" spans="1:8" x14ac:dyDescent="0.2">
      <c r="A8" s="1" t="s">
        <v>1</v>
      </c>
      <c r="B8" s="1"/>
      <c r="C8" s="73"/>
      <c r="D8" s="161"/>
      <c r="E8" s="5"/>
      <c r="F8" s="6"/>
      <c r="G8" s="5"/>
      <c r="H8" s="5"/>
    </row>
    <row r="9" spans="1:8" x14ac:dyDescent="0.2">
      <c r="A9" s="7"/>
      <c r="B9" s="2"/>
      <c r="C9" s="7"/>
      <c r="D9" s="160"/>
      <c r="E9" s="3"/>
      <c r="F9" s="3"/>
      <c r="G9" s="3"/>
      <c r="H9" s="4"/>
    </row>
    <row r="10" spans="1:8" x14ac:dyDescent="0.2">
      <c r="A10" s="7"/>
      <c r="B10" s="2"/>
      <c r="C10" s="7"/>
      <c r="D10" s="160"/>
      <c r="E10" s="3"/>
      <c r="F10" s="3"/>
      <c r="G10" s="3"/>
      <c r="H10" s="4"/>
    </row>
    <row r="11" spans="1:8" ht="16.5" customHeight="1" x14ac:dyDescent="0.2">
      <c r="A11" s="7"/>
      <c r="B11" s="299" t="s">
        <v>2</v>
      </c>
      <c r="C11" s="299"/>
      <c r="D11" s="299"/>
      <c r="E11" s="299"/>
      <c r="F11" s="3"/>
      <c r="G11" s="3"/>
      <c r="H11" s="4"/>
    </row>
    <row r="12" spans="1:8" x14ac:dyDescent="0.2">
      <c r="A12" s="7"/>
      <c r="B12" s="2"/>
      <c r="C12" s="7"/>
      <c r="D12" s="160"/>
      <c r="E12" s="3"/>
      <c r="F12" s="3"/>
      <c r="G12" s="3"/>
      <c r="H12" s="4"/>
    </row>
    <row r="13" spans="1:8" x14ac:dyDescent="0.2">
      <c r="A13" s="9" t="s">
        <v>16673</v>
      </c>
      <c r="B13" s="9"/>
      <c r="C13" s="74"/>
      <c r="D13" s="160"/>
      <c r="E13" s="3"/>
      <c r="F13" s="3"/>
      <c r="G13" s="10" t="s">
        <v>3</v>
      </c>
      <c r="H13" s="11">
        <v>81727.199999999997</v>
      </c>
    </row>
    <row r="14" spans="1:8" x14ac:dyDescent="0.2">
      <c r="A14" s="3"/>
      <c r="B14" s="8"/>
      <c r="C14" s="7"/>
      <c r="D14" s="160"/>
      <c r="E14" s="3"/>
      <c r="F14" s="3"/>
      <c r="G14" s="3"/>
      <c r="H14" s="4"/>
    </row>
    <row r="15" spans="1:8" x14ac:dyDescent="0.2">
      <c r="A15" s="12"/>
      <c r="B15" s="13" t="s">
        <v>4</v>
      </c>
      <c r="C15" s="7"/>
      <c r="D15" s="162"/>
      <c r="E15" s="14"/>
      <c r="F15" s="15"/>
      <c r="G15" s="3"/>
      <c r="H15" s="4"/>
    </row>
    <row r="16" spans="1:8" ht="17.25" customHeight="1" x14ac:dyDescent="0.2">
      <c r="A16" s="12"/>
      <c r="B16" s="300" t="s">
        <v>1553</v>
      </c>
      <c r="C16" s="300"/>
      <c r="D16" s="300"/>
      <c r="E16" s="300"/>
      <c r="F16" s="15"/>
      <c r="G16" s="3"/>
      <c r="H16" s="4"/>
    </row>
    <row r="17" spans="1:8" x14ac:dyDescent="0.2">
      <c r="A17" s="12"/>
      <c r="B17" s="8"/>
      <c r="C17" s="7"/>
      <c r="D17" s="162"/>
      <c r="E17" s="14"/>
      <c r="F17" s="15"/>
      <c r="G17" s="3"/>
      <c r="H17" s="4"/>
    </row>
    <row r="18" spans="1:8" x14ac:dyDescent="0.2">
      <c r="A18" s="38" t="s">
        <v>5</v>
      </c>
      <c r="B18" s="39" t="s">
        <v>6</v>
      </c>
      <c r="C18" s="75" t="s">
        <v>7</v>
      </c>
      <c r="D18" s="163" t="s">
        <v>8</v>
      </c>
      <c r="E18" s="41"/>
      <c r="F18" s="41" t="s">
        <v>9</v>
      </c>
      <c r="G18" s="42"/>
      <c r="H18" s="36"/>
    </row>
    <row r="19" spans="1:8" x14ac:dyDescent="0.2">
      <c r="A19" s="200">
        <v>44372</v>
      </c>
      <c r="B19" s="199" t="s">
        <v>14666</v>
      </c>
      <c r="C19" s="201" t="s">
        <v>14667</v>
      </c>
      <c r="D19" s="164"/>
      <c r="E19" s="41"/>
      <c r="F19" s="46">
        <v>83.73</v>
      </c>
      <c r="G19" s="42"/>
      <c r="H19" s="36"/>
    </row>
    <row r="20" spans="1:8" x14ac:dyDescent="0.2">
      <c r="A20" s="47"/>
      <c r="B20" s="48"/>
      <c r="C20" s="77"/>
      <c r="D20" s="149"/>
      <c r="E20" s="41"/>
      <c r="F20" s="68"/>
      <c r="G20" s="42"/>
      <c r="H20" s="49">
        <f>SUM(F19:F19)</f>
        <v>83.73</v>
      </c>
    </row>
    <row r="21" spans="1:8" x14ac:dyDescent="0.2">
      <c r="A21" s="38"/>
      <c r="B21" s="50"/>
      <c r="C21" s="78"/>
      <c r="D21" s="163"/>
      <c r="E21" s="41"/>
      <c r="F21" s="51"/>
      <c r="G21" s="52"/>
      <c r="H21" s="36"/>
    </row>
    <row r="22" spans="1:8" x14ac:dyDescent="0.2">
      <c r="A22" s="42"/>
      <c r="B22" s="53" t="s">
        <v>4</v>
      </c>
      <c r="C22" s="78"/>
      <c r="D22" s="165"/>
      <c r="E22" s="54"/>
      <c r="F22" s="41" t="s">
        <v>9</v>
      </c>
      <c r="G22" s="42"/>
      <c r="H22" s="36"/>
    </row>
    <row r="23" spans="1:8" ht="14.25" customHeight="1" x14ac:dyDescent="0.2">
      <c r="A23" s="40" t="s">
        <v>5</v>
      </c>
      <c r="B23" s="301" t="s">
        <v>10</v>
      </c>
      <c r="C23" s="301"/>
      <c r="D23" s="301"/>
      <c r="E23" s="54"/>
      <c r="F23" s="51"/>
      <c r="G23" s="42"/>
      <c r="H23" s="36"/>
    </row>
    <row r="24" spans="1:8" x14ac:dyDescent="0.2">
      <c r="A24" s="90">
        <v>44305</v>
      </c>
      <c r="B24" s="216" t="s">
        <v>11660</v>
      </c>
      <c r="C24" s="78"/>
      <c r="D24" s="165"/>
      <c r="E24" s="54"/>
      <c r="F24" s="214">
        <v>1.08</v>
      </c>
      <c r="G24" s="42"/>
      <c r="H24" s="36"/>
    </row>
    <row r="25" spans="1:8" x14ac:dyDescent="0.2">
      <c r="A25" s="90">
        <v>44313</v>
      </c>
      <c r="B25" s="216" t="s">
        <v>11661</v>
      </c>
      <c r="C25" s="78"/>
      <c r="D25" s="165"/>
      <c r="E25" s="54"/>
      <c r="F25" s="214">
        <v>16.760000000000002</v>
      </c>
      <c r="G25" s="42"/>
      <c r="H25" s="36"/>
    </row>
    <row r="26" spans="1:8" x14ac:dyDescent="0.2">
      <c r="A26" s="200">
        <v>44319</v>
      </c>
      <c r="B26" s="216" t="s">
        <v>13223</v>
      </c>
      <c r="C26" s="78"/>
      <c r="D26" s="165"/>
      <c r="E26" s="54"/>
      <c r="F26" s="214">
        <v>3.8</v>
      </c>
      <c r="G26" s="42"/>
      <c r="H26" s="36"/>
    </row>
    <row r="27" spans="1:8" x14ac:dyDescent="0.2">
      <c r="A27" s="200">
        <v>44319</v>
      </c>
      <c r="B27" s="216" t="s">
        <v>13224</v>
      </c>
      <c r="C27" s="78"/>
      <c r="D27" s="165"/>
      <c r="E27" s="54"/>
      <c r="F27" s="214">
        <v>12.3</v>
      </c>
      <c r="G27" s="42"/>
      <c r="H27" s="36"/>
    </row>
    <row r="28" spans="1:8" x14ac:dyDescent="0.2">
      <c r="A28" s="200">
        <v>44321</v>
      </c>
      <c r="B28" s="216" t="s">
        <v>13219</v>
      </c>
      <c r="C28" s="78"/>
      <c r="D28" s="165"/>
      <c r="E28" s="54"/>
      <c r="F28" s="214">
        <v>1.95</v>
      </c>
      <c r="G28" s="42"/>
      <c r="H28" s="36"/>
    </row>
    <row r="29" spans="1:8" x14ac:dyDescent="0.2">
      <c r="A29" s="200">
        <v>44321</v>
      </c>
      <c r="B29" s="216" t="s">
        <v>13220</v>
      </c>
      <c r="C29" s="78"/>
      <c r="D29" s="165"/>
      <c r="E29" s="54"/>
      <c r="F29" s="214">
        <v>1.65</v>
      </c>
      <c r="G29" s="42"/>
      <c r="H29" s="36"/>
    </row>
    <row r="30" spans="1:8" x14ac:dyDescent="0.2">
      <c r="A30" s="200">
        <v>44323</v>
      </c>
      <c r="B30" s="216" t="s">
        <v>13225</v>
      </c>
      <c r="C30" s="78"/>
      <c r="D30" s="165"/>
      <c r="E30" s="54"/>
      <c r="F30" s="214">
        <v>8.43</v>
      </c>
      <c r="G30" s="42"/>
      <c r="H30" s="36"/>
    </row>
    <row r="31" spans="1:8" x14ac:dyDescent="0.2">
      <c r="A31" s="200">
        <v>44341</v>
      </c>
      <c r="B31" s="216" t="s">
        <v>13226</v>
      </c>
      <c r="C31" s="78"/>
      <c r="D31" s="165"/>
      <c r="E31" s="54"/>
      <c r="F31" s="214">
        <v>4.32</v>
      </c>
      <c r="G31" s="42"/>
      <c r="H31" s="36"/>
    </row>
    <row r="32" spans="1:8" x14ac:dyDescent="0.2">
      <c r="A32" s="200">
        <v>44343</v>
      </c>
      <c r="B32" s="216" t="s">
        <v>13221</v>
      </c>
      <c r="C32" s="78"/>
      <c r="D32" s="165"/>
      <c r="E32" s="54"/>
      <c r="F32" s="214">
        <v>3.57</v>
      </c>
      <c r="G32" s="42"/>
      <c r="H32" s="36"/>
    </row>
    <row r="33" spans="1:14" x14ac:dyDescent="0.2">
      <c r="A33" s="200">
        <v>44343</v>
      </c>
      <c r="B33" s="216" t="s">
        <v>13222</v>
      </c>
      <c r="C33" s="78"/>
      <c r="D33" s="165"/>
      <c r="E33" s="54"/>
      <c r="F33" s="214">
        <v>12.8</v>
      </c>
      <c r="G33" s="42"/>
      <c r="H33" s="36"/>
    </row>
    <row r="34" spans="1:14" x14ac:dyDescent="0.2">
      <c r="A34" s="200">
        <v>44347</v>
      </c>
      <c r="B34" s="216" t="s">
        <v>13220</v>
      </c>
      <c r="C34" s="78"/>
      <c r="D34" s="165"/>
      <c r="E34" s="54"/>
      <c r="F34" s="214">
        <v>1.75</v>
      </c>
      <c r="G34" s="42"/>
      <c r="H34" s="36"/>
    </row>
    <row r="35" spans="1:14" x14ac:dyDescent="0.2">
      <c r="A35" s="200">
        <v>44350</v>
      </c>
      <c r="B35" s="216" t="s">
        <v>16672</v>
      </c>
      <c r="C35" s="78"/>
      <c r="D35" s="165"/>
      <c r="E35" s="54"/>
      <c r="F35" s="214">
        <v>1.68</v>
      </c>
      <c r="G35" s="42"/>
      <c r="H35" s="36"/>
    </row>
    <row r="36" spans="1:14" x14ac:dyDescent="0.2">
      <c r="A36" s="200">
        <v>44355</v>
      </c>
      <c r="B36" s="216" t="s">
        <v>13220</v>
      </c>
      <c r="C36" s="78"/>
      <c r="D36" s="165"/>
      <c r="E36" s="54"/>
      <c r="F36" s="214">
        <v>3</v>
      </c>
      <c r="G36" s="42"/>
      <c r="H36" s="36"/>
    </row>
    <row r="37" spans="1:14" x14ac:dyDescent="0.2">
      <c r="A37" s="200">
        <v>44372</v>
      </c>
      <c r="B37" s="216" t="s">
        <v>16671</v>
      </c>
      <c r="C37" s="78"/>
      <c r="D37" s="165"/>
      <c r="E37" s="54"/>
      <c r="F37" s="214">
        <v>117.15</v>
      </c>
      <c r="G37" s="42"/>
      <c r="H37" s="36"/>
    </row>
    <row r="38" spans="1:14" x14ac:dyDescent="0.2">
      <c r="A38" s="200">
        <v>44375</v>
      </c>
      <c r="B38" s="216" t="s">
        <v>16670</v>
      </c>
      <c r="C38" s="78"/>
      <c r="D38" s="165"/>
      <c r="E38" s="54"/>
      <c r="F38" s="69">
        <v>31.82</v>
      </c>
      <c r="G38" s="42"/>
      <c r="H38" s="36"/>
    </row>
    <row r="39" spans="1:14" x14ac:dyDescent="0.2">
      <c r="A39" s="200"/>
      <c r="B39" s="216"/>
      <c r="C39" s="78"/>
      <c r="D39" s="165"/>
      <c r="E39" s="54"/>
      <c r="F39" s="214"/>
      <c r="G39" s="42"/>
      <c r="H39" s="36"/>
    </row>
    <row r="40" spans="1:14" x14ac:dyDescent="0.2">
      <c r="A40" s="90"/>
      <c r="B40" s="89"/>
      <c r="C40" s="91"/>
      <c r="D40" s="148"/>
      <c r="F40" s="147"/>
      <c r="G40" s="42"/>
      <c r="H40" s="49">
        <f>SUM(F24:F39)</f>
        <v>222.06</v>
      </c>
    </row>
    <row r="41" spans="1:14" x14ac:dyDescent="0.2">
      <c r="A41" s="58"/>
      <c r="B41" s="59" t="s">
        <v>12</v>
      </c>
      <c r="C41" s="75"/>
      <c r="D41" s="166"/>
      <c r="E41" s="40"/>
      <c r="F41" s="42"/>
      <c r="G41" s="60"/>
      <c r="H41" s="37"/>
    </row>
    <row r="42" spans="1:14" x14ac:dyDescent="0.2">
      <c r="A42" s="40" t="s">
        <v>5</v>
      </c>
      <c r="B42" s="59" t="s">
        <v>13</v>
      </c>
      <c r="C42" s="75"/>
      <c r="D42" s="166"/>
      <c r="E42" s="40"/>
      <c r="F42" s="41" t="s">
        <v>9</v>
      </c>
      <c r="G42" s="60"/>
      <c r="H42" s="37"/>
    </row>
    <row r="43" spans="1:14" x14ac:dyDescent="0.2">
      <c r="A43" s="43"/>
      <c r="B43" s="44"/>
      <c r="C43" s="78"/>
      <c r="D43" s="165"/>
      <c r="E43" s="54"/>
      <c r="F43" s="69"/>
      <c r="G43" s="42"/>
      <c r="H43" s="36"/>
    </row>
    <row r="44" spans="1:14" x14ac:dyDescent="0.2">
      <c r="A44" s="61"/>
      <c r="B44" s="57"/>
      <c r="C44" s="78"/>
      <c r="D44" s="165"/>
      <c r="E44" s="54"/>
      <c r="F44" s="51"/>
      <c r="G44" s="42"/>
      <c r="H44" s="49">
        <f>SUM(F43:F43)</f>
        <v>0</v>
      </c>
    </row>
    <row r="45" spans="1:14" x14ac:dyDescent="0.2">
      <c r="A45" s="42"/>
      <c r="B45" s="57"/>
      <c r="C45" s="78"/>
      <c r="D45" s="165"/>
      <c r="E45" s="54"/>
      <c r="F45" s="51"/>
      <c r="G45" s="42"/>
      <c r="H45" s="36"/>
    </row>
    <row r="46" spans="1:14" x14ac:dyDescent="0.2">
      <c r="A46" s="42"/>
      <c r="B46" s="59" t="s">
        <v>12</v>
      </c>
      <c r="C46" s="78"/>
      <c r="D46" s="165"/>
      <c r="E46" s="54"/>
      <c r="F46" s="41" t="s">
        <v>9</v>
      </c>
      <c r="G46" s="42"/>
      <c r="H46" s="235"/>
      <c r="I46" s="233"/>
      <c r="J46" s="233"/>
      <c r="K46" s="233"/>
      <c r="L46" s="233"/>
      <c r="M46" s="233"/>
      <c r="N46" s="233"/>
    </row>
    <row r="47" spans="1:14" x14ac:dyDescent="0.2">
      <c r="A47" s="40" t="s">
        <v>5</v>
      </c>
      <c r="B47" s="55" t="s">
        <v>14</v>
      </c>
      <c r="C47" s="78"/>
      <c r="D47" s="165"/>
      <c r="E47" s="54"/>
      <c r="F47" s="52"/>
      <c r="G47" s="42"/>
      <c r="H47" s="235"/>
      <c r="I47" s="233"/>
      <c r="J47" s="233"/>
      <c r="K47" s="236"/>
      <c r="L47" s="236"/>
      <c r="M47" s="236"/>
      <c r="N47" s="233"/>
    </row>
    <row r="48" spans="1:14" x14ac:dyDescent="0.2">
      <c r="A48" s="200">
        <v>44324.679699074077</v>
      </c>
      <c r="B48" s="199" t="s">
        <v>12647</v>
      </c>
      <c r="C48" s="217" t="s">
        <v>12648</v>
      </c>
      <c r="D48" s="148"/>
      <c r="E48" s="35"/>
      <c r="F48" s="232">
        <v>1.95</v>
      </c>
      <c r="G48" s="185"/>
      <c r="H48" s="237"/>
      <c r="I48" s="233"/>
      <c r="J48" s="233"/>
      <c r="K48" s="233"/>
      <c r="L48" s="233"/>
      <c r="M48" s="233"/>
      <c r="N48" s="233"/>
    </row>
    <row r="49" spans="1:14" x14ac:dyDescent="0.2">
      <c r="A49" s="200">
        <v>44329.581377314818</v>
      </c>
      <c r="B49" s="199" t="s">
        <v>12404</v>
      </c>
      <c r="C49" s="217" t="s">
        <v>12405</v>
      </c>
      <c r="D49" s="148"/>
      <c r="E49" s="35"/>
      <c r="F49" s="232">
        <v>1.08</v>
      </c>
      <c r="G49" s="185"/>
      <c r="H49" s="237"/>
      <c r="I49" s="233"/>
      <c r="J49" s="233"/>
      <c r="K49" s="233"/>
      <c r="L49" s="233"/>
      <c r="M49" s="233"/>
      <c r="N49" s="233"/>
    </row>
    <row r="50" spans="1:14" x14ac:dyDescent="0.2">
      <c r="A50" s="200">
        <v>44341.698692129627</v>
      </c>
      <c r="B50" s="199" t="s">
        <v>12045</v>
      </c>
      <c r="C50" s="217" t="s">
        <v>12046</v>
      </c>
      <c r="D50" s="148"/>
      <c r="E50" s="35"/>
      <c r="F50" s="198">
        <v>8.43</v>
      </c>
      <c r="G50" s="42"/>
      <c r="H50" s="238"/>
      <c r="I50" s="233"/>
      <c r="J50" s="233"/>
      <c r="K50" s="233"/>
      <c r="L50" s="233"/>
      <c r="M50" s="233"/>
      <c r="N50" s="233"/>
    </row>
    <row r="51" spans="1:14" x14ac:dyDescent="0.2">
      <c r="A51" s="200">
        <v>44345.534768518519</v>
      </c>
      <c r="B51" s="199" t="s">
        <v>11739</v>
      </c>
      <c r="C51" s="217" t="s">
        <v>11740</v>
      </c>
      <c r="D51" s="148"/>
      <c r="E51" s="35"/>
      <c r="F51" s="198">
        <v>12.8</v>
      </c>
      <c r="G51" s="6"/>
      <c r="H51" s="239"/>
      <c r="I51" s="233"/>
      <c r="J51" s="233"/>
      <c r="K51" s="233"/>
      <c r="L51" s="233"/>
      <c r="M51" s="233"/>
      <c r="N51" s="233"/>
    </row>
    <row r="52" spans="1:14" x14ac:dyDescent="0.2">
      <c r="A52" s="200">
        <v>44357</v>
      </c>
      <c r="B52" s="199" t="s">
        <v>15240</v>
      </c>
      <c r="C52" s="201" t="s">
        <v>15241</v>
      </c>
      <c r="D52" s="148"/>
      <c r="E52" s="35"/>
      <c r="F52" s="198">
        <v>4.32</v>
      </c>
      <c r="G52" s="6"/>
      <c r="H52" s="239"/>
      <c r="I52" s="233"/>
      <c r="J52" s="233"/>
      <c r="K52" s="233"/>
      <c r="L52" s="233"/>
      <c r="M52" s="233"/>
      <c r="N52" s="233"/>
    </row>
    <row r="53" spans="1:14" x14ac:dyDescent="0.2">
      <c r="A53" s="200">
        <v>44365</v>
      </c>
      <c r="B53" s="199" t="s">
        <v>14879</v>
      </c>
      <c r="C53" s="201" t="s">
        <v>14880</v>
      </c>
      <c r="D53" s="148"/>
      <c r="E53" s="35"/>
      <c r="F53" s="198">
        <v>35.799999999999997</v>
      </c>
      <c r="G53" s="6"/>
      <c r="H53" s="239"/>
      <c r="I53" s="233"/>
      <c r="J53" s="233"/>
      <c r="K53" s="233"/>
      <c r="L53" s="233"/>
      <c r="M53" s="233"/>
      <c r="N53" s="233"/>
    </row>
    <row r="54" spans="1:14" x14ac:dyDescent="0.2">
      <c r="A54" s="200">
        <v>44365</v>
      </c>
      <c r="B54" s="199" t="s">
        <v>14871</v>
      </c>
      <c r="C54" s="201" t="s">
        <v>14872</v>
      </c>
      <c r="D54" s="148"/>
      <c r="E54" s="35"/>
      <c r="F54" s="198">
        <v>3.39</v>
      </c>
      <c r="G54" s="6"/>
      <c r="H54" s="239"/>
      <c r="I54" s="233"/>
      <c r="J54" s="233"/>
      <c r="K54" s="233"/>
      <c r="L54" s="233"/>
      <c r="M54" s="233"/>
      <c r="N54" s="233"/>
    </row>
    <row r="55" spans="1:14" x14ac:dyDescent="0.2">
      <c r="A55" s="200">
        <v>44365</v>
      </c>
      <c r="B55" s="199" t="s">
        <v>14869</v>
      </c>
      <c r="C55" s="201" t="s">
        <v>14870</v>
      </c>
      <c r="D55" s="148"/>
      <c r="E55" s="35"/>
      <c r="F55" s="198">
        <v>4.58</v>
      </c>
      <c r="G55" s="6"/>
      <c r="H55" s="239"/>
      <c r="I55" s="233"/>
      <c r="J55" s="233"/>
      <c r="K55" s="233"/>
      <c r="L55" s="233"/>
      <c r="M55" s="233"/>
      <c r="N55" s="233"/>
    </row>
    <row r="56" spans="1:14" x14ac:dyDescent="0.2">
      <c r="A56" s="200">
        <v>44365</v>
      </c>
      <c r="B56" s="199" t="s">
        <v>14867</v>
      </c>
      <c r="C56" s="201" t="s">
        <v>14868</v>
      </c>
      <c r="D56" s="148"/>
      <c r="E56" s="35"/>
      <c r="F56" s="198">
        <v>11.24</v>
      </c>
      <c r="G56" s="6"/>
      <c r="H56" s="239"/>
      <c r="I56" s="233"/>
      <c r="J56" s="233"/>
      <c r="K56" s="233"/>
      <c r="L56" s="233"/>
      <c r="M56" s="233"/>
      <c r="N56" s="233"/>
    </row>
    <row r="57" spans="1:14" x14ac:dyDescent="0.2">
      <c r="A57" s="200">
        <v>44365</v>
      </c>
      <c r="B57" s="199" t="s">
        <v>14865</v>
      </c>
      <c r="C57" s="201" t="s">
        <v>14866</v>
      </c>
      <c r="D57" s="148"/>
      <c r="E57" s="35"/>
      <c r="F57" s="198">
        <v>1.68</v>
      </c>
      <c r="G57" s="6"/>
      <c r="H57" s="239"/>
      <c r="I57" s="233"/>
      <c r="J57" s="233"/>
      <c r="K57" s="233"/>
      <c r="L57" s="233"/>
      <c r="M57" s="233"/>
      <c r="N57" s="233"/>
    </row>
    <row r="58" spans="1:14" x14ac:dyDescent="0.2">
      <c r="A58" s="200">
        <v>44365</v>
      </c>
      <c r="B58" s="199" t="s">
        <v>14863</v>
      </c>
      <c r="C58" s="201" t="s">
        <v>14864</v>
      </c>
      <c r="D58" s="148"/>
      <c r="E58" s="35"/>
      <c r="F58" s="198">
        <v>1.94</v>
      </c>
      <c r="G58" s="6"/>
      <c r="H58" s="239"/>
      <c r="I58" s="233"/>
      <c r="J58" s="233"/>
      <c r="K58" s="233"/>
      <c r="L58" s="233"/>
      <c r="M58" s="233"/>
      <c r="N58" s="233"/>
    </row>
    <row r="59" spans="1:14" x14ac:dyDescent="0.2">
      <c r="A59" s="200">
        <v>44365</v>
      </c>
      <c r="B59" s="199" t="s">
        <v>14861</v>
      </c>
      <c r="C59" s="201" t="s">
        <v>14862</v>
      </c>
      <c r="D59" s="148"/>
      <c r="E59" s="35"/>
      <c r="F59" s="198">
        <v>3.19</v>
      </c>
      <c r="G59" s="6"/>
      <c r="H59" s="239"/>
      <c r="I59" s="233"/>
      <c r="J59" s="233"/>
      <c r="K59" s="233"/>
      <c r="L59" s="233"/>
      <c r="M59" s="233"/>
      <c r="N59" s="233"/>
    </row>
    <row r="60" spans="1:14" x14ac:dyDescent="0.2">
      <c r="A60" s="200">
        <v>44365</v>
      </c>
      <c r="B60" s="199" t="s">
        <v>14859</v>
      </c>
      <c r="C60" s="201" t="s">
        <v>14860</v>
      </c>
      <c r="D60" s="148"/>
      <c r="E60" s="35"/>
      <c r="F60" s="198">
        <v>1.68</v>
      </c>
      <c r="G60" s="6"/>
      <c r="H60" s="239"/>
      <c r="I60" s="233"/>
      <c r="J60" s="233"/>
      <c r="K60" s="233"/>
      <c r="L60" s="233"/>
      <c r="M60" s="233"/>
      <c r="N60" s="233"/>
    </row>
    <row r="61" spans="1:14" x14ac:dyDescent="0.2">
      <c r="A61" s="200">
        <v>44365</v>
      </c>
      <c r="B61" s="199" t="s">
        <v>14857</v>
      </c>
      <c r="C61" s="201" t="s">
        <v>14858</v>
      </c>
      <c r="D61" s="148"/>
      <c r="E61" s="35"/>
      <c r="F61" s="198">
        <v>5.29</v>
      </c>
      <c r="G61" s="6"/>
      <c r="H61" s="239"/>
      <c r="I61" s="233"/>
      <c r="J61" s="233"/>
      <c r="K61" s="233"/>
      <c r="L61" s="233"/>
      <c r="M61" s="233"/>
      <c r="N61" s="233"/>
    </row>
    <row r="62" spans="1:14" x14ac:dyDescent="0.2">
      <c r="A62" s="200">
        <v>44365</v>
      </c>
      <c r="B62" s="199" t="s">
        <v>14855</v>
      </c>
      <c r="C62" s="201" t="s">
        <v>14856</v>
      </c>
      <c r="D62" s="148"/>
      <c r="E62" s="35"/>
      <c r="F62" s="198">
        <v>5.21</v>
      </c>
      <c r="G62" s="6"/>
      <c r="H62" s="239"/>
      <c r="I62" s="233"/>
      <c r="J62" s="233"/>
      <c r="K62" s="233"/>
      <c r="L62" s="233"/>
      <c r="M62" s="233"/>
      <c r="N62" s="233"/>
    </row>
    <row r="63" spans="1:14" x14ac:dyDescent="0.2">
      <c r="A63" s="200">
        <v>44365</v>
      </c>
      <c r="B63" s="199" t="s">
        <v>14853</v>
      </c>
      <c r="C63" s="201" t="s">
        <v>14854</v>
      </c>
      <c r="D63" s="148"/>
      <c r="E63" s="35"/>
      <c r="F63" s="198">
        <v>5.03</v>
      </c>
      <c r="G63" s="6"/>
      <c r="H63" s="239"/>
      <c r="I63" s="233"/>
      <c r="J63" s="233"/>
      <c r="K63" s="233"/>
      <c r="L63" s="233"/>
      <c r="M63" s="233"/>
      <c r="N63" s="233"/>
    </row>
    <row r="64" spans="1:14" x14ac:dyDescent="0.2">
      <c r="A64" s="200">
        <v>44365</v>
      </c>
      <c r="B64" s="199" t="s">
        <v>14851</v>
      </c>
      <c r="C64" s="201" t="s">
        <v>14852</v>
      </c>
      <c r="D64" s="148"/>
      <c r="E64" s="35"/>
      <c r="F64" s="198">
        <v>32.97</v>
      </c>
      <c r="G64" s="6"/>
      <c r="H64" s="239"/>
      <c r="I64" s="233"/>
      <c r="J64" s="233"/>
      <c r="K64" s="233"/>
      <c r="L64" s="233"/>
      <c r="M64" s="233"/>
      <c r="N64" s="233"/>
    </row>
    <row r="65" spans="1:14" x14ac:dyDescent="0.2">
      <c r="A65" s="200">
        <v>44365</v>
      </c>
      <c r="B65" s="199" t="s">
        <v>14849</v>
      </c>
      <c r="C65" s="201" t="s">
        <v>14850</v>
      </c>
      <c r="D65" s="148"/>
      <c r="E65" s="35"/>
      <c r="F65" s="198">
        <v>9.86</v>
      </c>
      <c r="G65" s="6"/>
      <c r="H65" s="239"/>
      <c r="I65" s="233"/>
      <c r="J65" s="233"/>
      <c r="K65" s="233"/>
      <c r="L65" s="233"/>
      <c r="M65" s="233"/>
      <c r="N65" s="233"/>
    </row>
    <row r="66" spans="1:14" x14ac:dyDescent="0.2">
      <c r="A66" s="200">
        <v>44366</v>
      </c>
      <c r="B66" s="199" t="s">
        <v>14838</v>
      </c>
      <c r="C66" s="201" t="s">
        <v>14839</v>
      </c>
      <c r="D66" s="148"/>
      <c r="E66" s="35"/>
      <c r="F66" s="198">
        <v>1.68</v>
      </c>
      <c r="G66" s="6"/>
      <c r="H66" s="239"/>
      <c r="I66" s="233"/>
      <c r="J66" s="233"/>
      <c r="K66" s="233"/>
      <c r="L66" s="233"/>
      <c r="M66" s="233"/>
      <c r="N66" s="233"/>
    </row>
    <row r="67" spans="1:14" x14ac:dyDescent="0.2">
      <c r="A67" s="200">
        <v>44366</v>
      </c>
      <c r="B67" s="199" t="s">
        <v>14836</v>
      </c>
      <c r="C67" s="201" t="s">
        <v>14837</v>
      </c>
      <c r="D67" s="148"/>
      <c r="E67" s="35"/>
      <c r="F67" s="198">
        <v>1.93</v>
      </c>
      <c r="G67" s="6"/>
      <c r="H67" s="239"/>
      <c r="I67" s="233"/>
      <c r="J67" s="233"/>
      <c r="K67" s="233"/>
      <c r="L67" s="233"/>
      <c r="M67" s="233"/>
      <c r="N67" s="233"/>
    </row>
    <row r="68" spans="1:14" x14ac:dyDescent="0.2">
      <c r="A68" s="200">
        <v>44366</v>
      </c>
      <c r="B68" s="199" t="s">
        <v>14834</v>
      </c>
      <c r="C68" s="201" t="s">
        <v>14835</v>
      </c>
      <c r="D68" s="148"/>
      <c r="E68" s="35"/>
      <c r="F68" s="198">
        <v>2.46</v>
      </c>
      <c r="G68" s="6"/>
      <c r="H68" s="239"/>
      <c r="I68" s="233"/>
      <c r="J68" s="233"/>
      <c r="K68" s="233"/>
      <c r="L68" s="233"/>
      <c r="M68" s="233"/>
      <c r="N68" s="233"/>
    </row>
    <row r="69" spans="1:14" x14ac:dyDescent="0.2">
      <c r="A69" s="200">
        <v>44366</v>
      </c>
      <c r="B69" s="199" t="s">
        <v>14832</v>
      </c>
      <c r="C69" s="201" t="s">
        <v>14833</v>
      </c>
      <c r="D69" s="148"/>
      <c r="E69" s="35"/>
      <c r="F69" s="198">
        <v>1.99</v>
      </c>
      <c r="G69" s="6"/>
      <c r="H69" s="239"/>
      <c r="I69" s="233"/>
      <c r="J69" s="233"/>
      <c r="K69" s="233"/>
      <c r="L69" s="233"/>
      <c r="M69" s="233"/>
      <c r="N69" s="233"/>
    </row>
    <row r="70" spans="1:14" x14ac:dyDescent="0.2">
      <c r="A70" s="200">
        <v>44366</v>
      </c>
      <c r="B70" s="199" t="s">
        <v>14830</v>
      </c>
      <c r="C70" s="201" t="s">
        <v>14831</v>
      </c>
      <c r="D70" s="148"/>
      <c r="E70" s="35"/>
      <c r="F70" s="198">
        <v>2.4</v>
      </c>
      <c r="G70" s="6"/>
      <c r="H70" s="239"/>
      <c r="I70" s="233"/>
      <c r="J70" s="233"/>
      <c r="K70" s="233"/>
      <c r="L70" s="233"/>
      <c r="M70" s="233"/>
      <c r="N70" s="233"/>
    </row>
    <row r="71" spans="1:14" x14ac:dyDescent="0.2">
      <c r="A71" s="200">
        <v>44366</v>
      </c>
      <c r="B71" s="199" t="s">
        <v>14828</v>
      </c>
      <c r="C71" s="201" t="s">
        <v>14829</v>
      </c>
      <c r="D71" s="148"/>
      <c r="E71" s="35"/>
      <c r="F71" s="198">
        <v>7.32</v>
      </c>
      <c r="G71" s="6"/>
      <c r="H71" s="239"/>
      <c r="I71" s="233"/>
      <c r="J71" s="233"/>
      <c r="K71" s="233"/>
      <c r="L71" s="233"/>
      <c r="M71" s="233"/>
      <c r="N71" s="233"/>
    </row>
    <row r="72" spans="1:14" x14ac:dyDescent="0.2">
      <c r="A72" s="200">
        <v>44366</v>
      </c>
      <c r="B72" s="199" t="s">
        <v>14826</v>
      </c>
      <c r="C72" s="201" t="s">
        <v>14827</v>
      </c>
      <c r="D72" s="148"/>
      <c r="E72" s="35"/>
      <c r="F72" s="198">
        <v>6.21</v>
      </c>
      <c r="G72" s="6"/>
      <c r="H72" s="239"/>
      <c r="I72" s="233"/>
      <c r="J72" s="233"/>
      <c r="K72" s="233"/>
      <c r="L72" s="233"/>
      <c r="M72" s="233"/>
      <c r="N72" s="233"/>
    </row>
    <row r="73" spans="1:14" x14ac:dyDescent="0.2">
      <c r="A73" s="200">
        <v>44366</v>
      </c>
      <c r="B73" s="199" t="s">
        <v>14824</v>
      </c>
      <c r="C73" s="201" t="s">
        <v>14825</v>
      </c>
      <c r="D73" s="148"/>
      <c r="E73" s="35"/>
      <c r="F73" s="198">
        <v>4.82</v>
      </c>
      <c r="G73" s="6"/>
      <c r="H73" s="239"/>
      <c r="I73" s="233"/>
      <c r="J73" s="233"/>
      <c r="K73" s="233"/>
      <c r="L73" s="233"/>
      <c r="M73" s="233"/>
      <c r="N73" s="233"/>
    </row>
    <row r="74" spans="1:14" x14ac:dyDescent="0.2">
      <c r="A74" s="200">
        <v>44367</v>
      </c>
      <c r="B74" s="199" t="s">
        <v>14822</v>
      </c>
      <c r="C74" s="201" t="s">
        <v>14823</v>
      </c>
      <c r="D74" s="148"/>
      <c r="E74" s="35"/>
      <c r="F74" s="198">
        <v>3.19</v>
      </c>
      <c r="G74" s="6"/>
      <c r="H74" s="239"/>
      <c r="I74" s="233"/>
      <c r="J74" s="233"/>
      <c r="K74" s="233"/>
      <c r="L74" s="233"/>
      <c r="M74" s="233"/>
      <c r="N74" s="233"/>
    </row>
    <row r="75" spans="1:14" x14ac:dyDescent="0.2">
      <c r="A75" s="200">
        <v>44367</v>
      </c>
      <c r="B75" s="199" t="s">
        <v>14820</v>
      </c>
      <c r="C75" s="201" t="s">
        <v>14821</v>
      </c>
      <c r="D75" s="148"/>
      <c r="E75" s="35"/>
      <c r="F75" s="198">
        <v>3.36</v>
      </c>
      <c r="G75" s="6"/>
      <c r="H75" s="239"/>
      <c r="I75" s="233"/>
      <c r="J75" s="233"/>
      <c r="K75" s="233"/>
      <c r="L75" s="233"/>
      <c r="M75" s="233"/>
      <c r="N75" s="233"/>
    </row>
    <row r="76" spans="1:14" x14ac:dyDescent="0.2">
      <c r="A76" s="200">
        <v>44367</v>
      </c>
      <c r="B76" s="199" t="s">
        <v>14818</v>
      </c>
      <c r="C76" s="201" t="s">
        <v>14819</v>
      </c>
      <c r="D76" s="148"/>
      <c r="E76" s="35"/>
      <c r="F76" s="198">
        <v>14.03</v>
      </c>
      <c r="G76" s="6"/>
      <c r="H76" s="239"/>
      <c r="I76" s="233"/>
      <c r="J76" s="233"/>
      <c r="K76" s="233"/>
      <c r="L76" s="233"/>
      <c r="M76" s="233"/>
      <c r="N76" s="233"/>
    </row>
    <row r="77" spans="1:14" x14ac:dyDescent="0.2">
      <c r="A77" s="200">
        <v>44368</v>
      </c>
      <c r="B77" s="199" t="s">
        <v>14792</v>
      </c>
      <c r="C77" s="201" t="s">
        <v>14793</v>
      </c>
      <c r="D77" s="148"/>
      <c r="E77" s="35"/>
      <c r="F77" s="198">
        <v>12.57</v>
      </c>
      <c r="G77" s="6"/>
      <c r="H77" s="239"/>
      <c r="I77" s="233"/>
      <c r="J77" s="233"/>
      <c r="K77" s="233"/>
      <c r="L77" s="233"/>
      <c r="M77" s="233"/>
      <c r="N77" s="233"/>
    </row>
    <row r="78" spans="1:14" x14ac:dyDescent="0.2">
      <c r="A78" s="200">
        <v>44368</v>
      </c>
      <c r="B78" s="199" t="s">
        <v>14790</v>
      </c>
      <c r="C78" s="201" t="s">
        <v>14791</v>
      </c>
      <c r="D78" s="148"/>
      <c r="E78" s="35"/>
      <c r="F78" s="198">
        <v>5.22</v>
      </c>
      <c r="G78" s="6"/>
      <c r="H78" s="239"/>
      <c r="I78" s="233"/>
      <c r="J78" s="233"/>
      <c r="K78" s="233"/>
      <c r="L78" s="233"/>
      <c r="M78" s="233"/>
      <c r="N78" s="233"/>
    </row>
    <row r="79" spans="1:14" x14ac:dyDescent="0.2">
      <c r="A79" s="200">
        <v>44368</v>
      </c>
      <c r="B79" s="199" t="s">
        <v>14788</v>
      </c>
      <c r="C79" s="201" t="s">
        <v>14789</v>
      </c>
      <c r="D79" s="148"/>
      <c r="E79" s="35"/>
      <c r="F79" s="198">
        <v>5.04</v>
      </c>
      <c r="G79" s="6"/>
      <c r="H79" s="239"/>
      <c r="I79" s="233"/>
      <c r="J79" s="233"/>
      <c r="K79" s="233"/>
      <c r="L79" s="233"/>
      <c r="M79" s="233"/>
      <c r="N79" s="233"/>
    </row>
    <row r="80" spans="1:14" x14ac:dyDescent="0.2">
      <c r="A80" s="200">
        <v>44371</v>
      </c>
      <c r="B80" s="199" t="s">
        <v>14740</v>
      </c>
      <c r="C80" s="201" t="s">
        <v>14741</v>
      </c>
      <c r="D80" s="148"/>
      <c r="E80" s="35"/>
      <c r="F80" s="198">
        <v>6.8</v>
      </c>
      <c r="G80" s="6"/>
      <c r="H80" s="239"/>
      <c r="I80" s="233"/>
      <c r="J80" s="233"/>
      <c r="K80" s="233"/>
      <c r="L80" s="233"/>
      <c r="M80" s="233"/>
      <c r="N80" s="233"/>
    </row>
    <row r="81" spans="1:14" x14ac:dyDescent="0.2">
      <c r="A81" s="200">
        <v>44372</v>
      </c>
      <c r="B81" s="199" t="s">
        <v>14718</v>
      </c>
      <c r="C81" s="201" t="s">
        <v>14719</v>
      </c>
      <c r="D81" s="148"/>
      <c r="E81" s="35" t="s">
        <v>3577</v>
      </c>
      <c r="F81" s="198">
        <v>4.24</v>
      </c>
      <c r="G81" s="6"/>
      <c r="H81" s="239"/>
      <c r="I81" s="233"/>
      <c r="J81" s="233"/>
      <c r="K81" s="233"/>
      <c r="L81" s="233"/>
      <c r="M81" s="233"/>
      <c r="N81" s="233"/>
    </row>
    <row r="82" spans="1:14" x14ac:dyDescent="0.2">
      <c r="A82" s="200">
        <v>44372</v>
      </c>
      <c r="B82" s="199" t="s">
        <v>14716</v>
      </c>
      <c r="C82" s="201" t="s">
        <v>14717</v>
      </c>
      <c r="D82" s="148"/>
      <c r="E82" s="35" t="s">
        <v>3577</v>
      </c>
      <c r="F82" s="198">
        <v>4.41</v>
      </c>
      <c r="G82" s="6"/>
      <c r="H82" s="239"/>
      <c r="I82" s="233"/>
      <c r="J82" s="233"/>
      <c r="K82" s="233"/>
      <c r="L82" s="233"/>
      <c r="M82" s="233"/>
      <c r="N82" s="233"/>
    </row>
    <row r="83" spans="1:14" x14ac:dyDescent="0.2">
      <c r="A83" s="200">
        <v>44372</v>
      </c>
      <c r="B83" s="199" t="s">
        <v>14714</v>
      </c>
      <c r="C83" s="201" t="s">
        <v>14715</v>
      </c>
      <c r="D83" s="148"/>
      <c r="E83" s="35" t="s">
        <v>3577</v>
      </c>
      <c r="F83" s="198">
        <v>7.21</v>
      </c>
      <c r="G83" s="6"/>
      <c r="H83" s="239"/>
      <c r="I83" s="233"/>
      <c r="J83" s="233"/>
      <c r="K83" s="233"/>
      <c r="L83" s="233"/>
      <c r="M83" s="233"/>
      <c r="N83" s="233"/>
    </row>
    <row r="84" spans="1:14" x14ac:dyDescent="0.2">
      <c r="A84" s="200">
        <v>44372</v>
      </c>
      <c r="B84" s="199" t="s">
        <v>14712</v>
      </c>
      <c r="C84" s="201" t="s">
        <v>14713</v>
      </c>
      <c r="D84" s="148"/>
      <c r="E84" s="35" t="s">
        <v>3577</v>
      </c>
      <c r="F84" s="198">
        <v>1.68</v>
      </c>
      <c r="G84" s="6"/>
      <c r="H84" s="239"/>
      <c r="I84" s="233"/>
      <c r="J84" s="233"/>
      <c r="K84" s="233"/>
      <c r="L84" s="233"/>
      <c r="M84" s="233"/>
      <c r="N84" s="233"/>
    </row>
    <row r="85" spans="1:14" x14ac:dyDescent="0.2">
      <c r="A85" s="200">
        <v>44372</v>
      </c>
      <c r="B85" s="199" t="s">
        <v>14710</v>
      </c>
      <c r="C85" s="201" t="s">
        <v>14711</v>
      </c>
      <c r="D85" s="148"/>
      <c r="E85" s="35" t="s">
        <v>3577</v>
      </c>
      <c r="F85" s="198">
        <v>2.2200000000000002</v>
      </c>
      <c r="G85" s="6"/>
      <c r="H85" s="239"/>
      <c r="I85" s="233"/>
      <c r="J85" s="233"/>
      <c r="K85" s="233"/>
      <c r="L85" s="233"/>
      <c r="M85" s="233"/>
      <c r="N85" s="233"/>
    </row>
    <row r="86" spans="1:14" x14ac:dyDescent="0.2">
      <c r="A86" s="200">
        <v>44372</v>
      </c>
      <c r="B86" s="199" t="s">
        <v>14708</v>
      </c>
      <c r="C86" s="201" t="s">
        <v>14709</v>
      </c>
      <c r="D86" s="148"/>
      <c r="E86" s="35" t="s">
        <v>3577</v>
      </c>
      <c r="F86" s="198">
        <v>20.82</v>
      </c>
      <c r="G86" s="6"/>
      <c r="H86" s="239"/>
      <c r="I86" s="233"/>
      <c r="J86" s="233"/>
      <c r="K86" s="233"/>
      <c r="L86" s="233"/>
      <c r="M86" s="233"/>
      <c r="N86" s="233"/>
    </row>
    <row r="87" spans="1:14" x14ac:dyDescent="0.2">
      <c r="A87" s="200">
        <v>44372</v>
      </c>
      <c r="B87" s="199" t="s">
        <v>14706</v>
      </c>
      <c r="C87" s="201" t="s">
        <v>14707</v>
      </c>
      <c r="D87" s="148"/>
      <c r="E87" s="35" t="s">
        <v>3577</v>
      </c>
      <c r="F87" s="198">
        <v>4.6100000000000003</v>
      </c>
      <c r="G87" s="6"/>
      <c r="H87" s="239"/>
      <c r="I87" s="233"/>
      <c r="J87" s="233"/>
      <c r="K87" s="233"/>
      <c r="L87" s="233"/>
      <c r="M87" s="233"/>
      <c r="N87" s="233"/>
    </row>
    <row r="88" spans="1:14" x14ac:dyDescent="0.2">
      <c r="A88" s="200">
        <v>44372</v>
      </c>
      <c r="B88" s="199" t="s">
        <v>14704</v>
      </c>
      <c r="C88" s="201" t="s">
        <v>14705</v>
      </c>
      <c r="D88" s="148"/>
      <c r="E88" s="35" t="s">
        <v>3577</v>
      </c>
      <c r="F88" s="198">
        <v>3.36</v>
      </c>
      <c r="G88" s="6"/>
      <c r="H88" s="239"/>
      <c r="I88" s="233"/>
      <c r="J88" s="233"/>
      <c r="K88" s="233"/>
      <c r="L88" s="233"/>
      <c r="M88" s="233"/>
      <c r="N88" s="233"/>
    </row>
    <row r="89" spans="1:14" x14ac:dyDescent="0.2">
      <c r="A89" s="200">
        <v>44372</v>
      </c>
      <c r="B89" s="199" t="s">
        <v>14702</v>
      </c>
      <c r="C89" s="201" t="s">
        <v>14703</v>
      </c>
      <c r="D89" s="148"/>
      <c r="E89" s="35" t="s">
        <v>3577</v>
      </c>
      <c r="F89" s="198">
        <v>2.4300000000000002</v>
      </c>
      <c r="G89" s="6"/>
      <c r="H89" s="239"/>
      <c r="I89" s="233"/>
      <c r="J89" s="233"/>
      <c r="K89" s="233"/>
      <c r="L89" s="233"/>
      <c r="M89" s="233"/>
      <c r="N89" s="233"/>
    </row>
    <row r="90" spans="1:14" x14ac:dyDescent="0.2">
      <c r="A90" s="200">
        <v>44372</v>
      </c>
      <c r="B90" s="199" t="s">
        <v>14700</v>
      </c>
      <c r="C90" s="201" t="s">
        <v>14701</v>
      </c>
      <c r="D90" s="148"/>
      <c r="E90" s="35" t="s">
        <v>3577</v>
      </c>
      <c r="F90" s="198">
        <v>5.97</v>
      </c>
      <c r="G90" s="6"/>
      <c r="H90" s="239"/>
      <c r="I90" s="233"/>
      <c r="J90" s="233"/>
      <c r="K90" s="233"/>
      <c r="L90" s="233"/>
      <c r="M90" s="233"/>
      <c r="N90" s="233"/>
    </row>
    <row r="91" spans="1:14" x14ac:dyDescent="0.2">
      <c r="A91" s="200">
        <v>44372</v>
      </c>
      <c r="B91" s="199" t="s">
        <v>14698</v>
      </c>
      <c r="C91" s="201" t="s">
        <v>14699</v>
      </c>
      <c r="D91" s="148"/>
      <c r="E91" s="35" t="s">
        <v>3577</v>
      </c>
      <c r="F91" s="198">
        <v>3.84</v>
      </c>
      <c r="G91" s="6"/>
      <c r="H91" s="239"/>
      <c r="I91" s="233"/>
      <c r="J91" s="233"/>
      <c r="K91" s="233"/>
      <c r="L91" s="233"/>
      <c r="M91" s="233"/>
      <c r="N91" s="233"/>
    </row>
    <row r="92" spans="1:14" x14ac:dyDescent="0.2">
      <c r="A92" s="200">
        <v>44372</v>
      </c>
      <c r="B92" s="199" t="s">
        <v>14696</v>
      </c>
      <c r="C92" s="201" t="s">
        <v>14697</v>
      </c>
      <c r="D92" s="148"/>
      <c r="E92" s="35" t="s">
        <v>3577</v>
      </c>
      <c r="F92" s="198">
        <v>1.71</v>
      </c>
      <c r="G92" s="6"/>
      <c r="H92" s="239"/>
      <c r="I92" s="233"/>
      <c r="J92" s="233"/>
      <c r="K92" s="236"/>
      <c r="L92" s="233"/>
      <c r="M92" s="233"/>
      <c r="N92" s="233"/>
    </row>
    <row r="93" spans="1:14" x14ac:dyDescent="0.2">
      <c r="A93" s="200">
        <v>44372</v>
      </c>
      <c r="B93" s="199" t="s">
        <v>14694</v>
      </c>
      <c r="C93" s="201" t="s">
        <v>14695</v>
      </c>
      <c r="D93" s="148"/>
      <c r="E93" s="35" t="s">
        <v>3577</v>
      </c>
      <c r="F93" s="198">
        <v>7.51</v>
      </c>
      <c r="G93" s="6"/>
      <c r="H93" s="239"/>
      <c r="I93" s="233"/>
      <c r="J93" s="233"/>
      <c r="K93" s="233"/>
      <c r="L93" s="233"/>
      <c r="M93" s="233"/>
      <c r="N93" s="233"/>
    </row>
    <row r="94" spans="1:14" x14ac:dyDescent="0.2">
      <c r="A94" s="200">
        <v>44372</v>
      </c>
      <c r="B94" s="199" t="s">
        <v>14692</v>
      </c>
      <c r="C94" s="201" t="s">
        <v>14693</v>
      </c>
      <c r="D94" s="148"/>
      <c r="E94" s="35" t="s">
        <v>3577</v>
      </c>
      <c r="F94" s="198">
        <v>6.94</v>
      </c>
      <c r="G94" s="6"/>
      <c r="H94" s="239"/>
      <c r="I94" s="233"/>
      <c r="J94" s="233"/>
      <c r="K94" s="233"/>
      <c r="L94" s="233"/>
      <c r="M94" s="233"/>
      <c r="N94" s="233"/>
    </row>
    <row r="95" spans="1:14" x14ac:dyDescent="0.2">
      <c r="A95" s="200">
        <v>44372</v>
      </c>
      <c r="B95" s="199" t="s">
        <v>14690</v>
      </c>
      <c r="C95" s="201" t="s">
        <v>14691</v>
      </c>
      <c r="D95" s="148"/>
      <c r="E95" s="35" t="s">
        <v>3577</v>
      </c>
      <c r="F95" s="198">
        <v>2.08</v>
      </c>
      <c r="G95" s="6"/>
      <c r="H95" s="239"/>
      <c r="I95" s="233"/>
      <c r="J95" s="233"/>
      <c r="K95" s="233"/>
      <c r="L95" s="233"/>
      <c r="M95" s="233"/>
      <c r="N95" s="233"/>
    </row>
    <row r="96" spans="1:14" x14ac:dyDescent="0.2">
      <c r="A96" s="200">
        <v>44372</v>
      </c>
      <c r="B96" s="199" t="s">
        <v>14688</v>
      </c>
      <c r="C96" s="201" t="s">
        <v>14689</v>
      </c>
      <c r="D96" s="148"/>
      <c r="E96" s="35" t="s">
        <v>3577</v>
      </c>
      <c r="F96" s="198">
        <v>4.6900000000000004</v>
      </c>
      <c r="G96" s="6"/>
      <c r="H96" s="239"/>
      <c r="I96" s="233"/>
      <c r="J96" s="233"/>
      <c r="K96" s="233"/>
      <c r="L96" s="236"/>
      <c r="M96" s="233"/>
      <c r="N96" s="233"/>
    </row>
    <row r="97" spans="1:14" x14ac:dyDescent="0.2">
      <c r="A97" s="200">
        <v>44372</v>
      </c>
      <c r="B97" s="199" t="s">
        <v>14686</v>
      </c>
      <c r="C97" s="201" t="s">
        <v>14687</v>
      </c>
      <c r="D97" s="148"/>
      <c r="E97" s="35" t="s">
        <v>3577</v>
      </c>
      <c r="F97" s="198">
        <v>16.760000000000002</v>
      </c>
      <c r="G97" s="6"/>
      <c r="H97" s="239"/>
      <c r="I97" s="233"/>
      <c r="J97" s="233"/>
      <c r="K97" s="233"/>
      <c r="L97" s="233"/>
      <c r="M97" s="233"/>
      <c r="N97" s="233"/>
    </row>
    <row r="98" spans="1:14" x14ac:dyDescent="0.2">
      <c r="A98" s="200">
        <v>44372</v>
      </c>
      <c r="B98" s="199" t="s">
        <v>14684</v>
      </c>
      <c r="C98" s="201" t="s">
        <v>14685</v>
      </c>
      <c r="D98" s="148"/>
      <c r="E98" s="35" t="s">
        <v>3577</v>
      </c>
      <c r="F98" s="198">
        <v>4.07</v>
      </c>
      <c r="G98" s="6"/>
      <c r="H98" s="239"/>
      <c r="I98" s="233"/>
      <c r="J98" s="233"/>
      <c r="K98" s="233"/>
      <c r="L98" s="233"/>
      <c r="M98" s="233"/>
      <c r="N98" s="233"/>
    </row>
    <row r="99" spans="1:14" x14ac:dyDescent="0.2">
      <c r="A99" s="200">
        <v>44372</v>
      </c>
      <c r="B99" s="199" t="s">
        <v>14682</v>
      </c>
      <c r="C99" s="201" t="s">
        <v>14683</v>
      </c>
      <c r="D99" s="148"/>
      <c r="E99" s="35" t="s">
        <v>3577</v>
      </c>
      <c r="F99" s="198">
        <v>1.79</v>
      </c>
      <c r="G99" s="6"/>
      <c r="H99" s="239"/>
      <c r="I99" s="240"/>
      <c r="J99" s="233"/>
      <c r="K99" s="233"/>
      <c r="L99" s="233"/>
      <c r="M99" s="233"/>
      <c r="N99" s="233"/>
    </row>
    <row r="100" spans="1:14" x14ac:dyDescent="0.2">
      <c r="A100" s="200">
        <v>44372</v>
      </c>
      <c r="B100" s="199" t="s">
        <v>14680</v>
      </c>
      <c r="C100" s="201" t="s">
        <v>14681</v>
      </c>
      <c r="D100" s="148"/>
      <c r="E100" s="35" t="s">
        <v>3577</v>
      </c>
      <c r="F100" s="198">
        <v>1.68</v>
      </c>
      <c r="G100" s="6"/>
      <c r="H100" s="239"/>
      <c r="I100" s="233"/>
      <c r="J100" s="233"/>
      <c r="K100" s="233"/>
      <c r="L100" s="233"/>
      <c r="M100" s="233"/>
      <c r="N100" s="233"/>
    </row>
    <row r="101" spans="1:14" x14ac:dyDescent="0.2">
      <c r="A101" s="200">
        <v>44372</v>
      </c>
      <c r="B101" s="199" t="s">
        <v>14678</v>
      </c>
      <c r="C101" s="201" t="s">
        <v>14679</v>
      </c>
      <c r="D101" s="148"/>
      <c r="E101" s="35" t="s">
        <v>3577</v>
      </c>
      <c r="F101" s="198">
        <v>1.68</v>
      </c>
      <c r="G101" s="6"/>
      <c r="H101" s="239"/>
      <c r="I101" s="233"/>
      <c r="J101" s="233"/>
      <c r="K101" s="233"/>
      <c r="L101" s="233"/>
      <c r="M101" s="233"/>
      <c r="N101" s="233"/>
    </row>
    <row r="102" spans="1:14" x14ac:dyDescent="0.2">
      <c r="A102" s="200">
        <v>44372</v>
      </c>
      <c r="B102" s="199" t="s">
        <v>14676</v>
      </c>
      <c r="C102" s="201" t="s">
        <v>14677</v>
      </c>
      <c r="D102" s="148"/>
      <c r="E102" s="35" t="s">
        <v>3577</v>
      </c>
      <c r="F102" s="198">
        <v>1.68</v>
      </c>
      <c r="G102" s="6"/>
      <c r="H102" s="239"/>
      <c r="I102" s="233"/>
      <c r="J102" s="233"/>
      <c r="K102" s="233"/>
      <c r="L102" s="233"/>
      <c r="M102" s="233"/>
      <c r="N102" s="233"/>
    </row>
    <row r="103" spans="1:14" x14ac:dyDescent="0.2">
      <c r="A103" s="200">
        <v>44372</v>
      </c>
      <c r="B103" s="199" t="s">
        <v>14674</v>
      </c>
      <c r="C103" s="201" t="s">
        <v>14675</v>
      </c>
      <c r="D103" s="148"/>
      <c r="E103" s="35" t="s">
        <v>3577</v>
      </c>
      <c r="F103" s="198">
        <v>6.1</v>
      </c>
      <c r="G103" s="6"/>
      <c r="H103" s="239"/>
      <c r="I103" s="233"/>
      <c r="J103" s="233"/>
      <c r="K103" s="233"/>
      <c r="L103" s="233"/>
      <c r="M103" s="233"/>
      <c r="N103" s="233"/>
    </row>
    <row r="104" spans="1:14" x14ac:dyDescent="0.2">
      <c r="A104" s="200">
        <v>44373</v>
      </c>
      <c r="B104" s="199" t="s">
        <v>14664</v>
      </c>
      <c r="C104" s="201" t="s">
        <v>14665</v>
      </c>
      <c r="D104" s="148"/>
      <c r="E104" s="35" t="s">
        <v>3577</v>
      </c>
      <c r="F104" s="198">
        <v>1.68</v>
      </c>
      <c r="G104" s="6"/>
      <c r="H104" s="239"/>
      <c r="I104" s="233"/>
      <c r="J104" s="233"/>
      <c r="K104" s="233"/>
      <c r="L104" s="233"/>
      <c r="M104" s="236"/>
      <c r="N104" s="233"/>
    </row>
    <row r="105" spans="1:14" x14ac:dyDescent="0.2">
      <c r="A105" s="200">
        <v>44373</v>
      </c>
      <c r="B105" s="199" t="s">
        <v>14662</v>
      </c>
      <c r="C105" s="201" t="s">
        <v>14663</v>
      </c>
      <c r="D105" s="148"/>
      <c r="E105" s="35" t="s">
        <v>3577</v>
      </c>
      <c r="F105" s="198">
        <v>0.8</v>
      </c>
      <c r="G105" s="6"/>
      <c r="H105" s="239"/>
      <c r="I105" s="233"/>
      <c r="J105" s="233"/>
      <c r="K105" s="233"/>
      <c r="L105" s="233"/>
      <c r="M105" s="233"/>
      <c r="N105" s="233"/>
    </row>
    <row r="106" spans="1:14" x14ac:dyDescent="0.2">
      <c r="A106" s="200">
        <v>44373</v>
      </c>
      <c r="B106" s="199" t="s">
        <v>14660</v>
      </c>
      <c r="C106" s="201" t="s">
        <v>14661</v>
      </c>
      <c r="D106" s="148"/>
      <c r="E106" s="35" t="s">
        <v>3577</v>
      </c>
      <c r="F106" s="198">
        <v>1.68</v>
      </c>
      <c r="G106" s="6"/>
      <c r="H106" s="239"/>
      <c r="I106" s="233"/>
      <c r="J106" s="233"/>
      <c r="K106" s="233"/>
      <c r="L106" s="233"/>
      <c r="M106" s="233"/>
      <c r="N106" s="233"/>
    </row>
    <row r="107" spans="1:14" x14ac:dyDescent="0.2">
      <c r="A107" s="200">
        <v>44373</v>
      </c>
      <c r="B107" s="199" t="s">
        <v>14658</v>
      </c>
      <c r="C107" s="201" t="s">
        <v>14659</v>
      </c>
      <c r="D107" s="148"/>
      <c r="E107" s="35" t="s">
        <v>3577</v>
      </c>
      <c r="F107" s="198">
        <v>2.68</v>
      </c>
      <c r="G107" s="6"/>
      <c r="H107" s="239"/>
      <c r="I107" s="233"/>
      <c r="J107" s="233"/>
      <c r="K107" s="233"/>
      <c r="L107" s="233"/>
      <c r="M107" s="233"/>
      <c r="N107" s="233"/>
    </row>
    <row r="108" spans="1:14" x14ac:dyDescent="0.2">
      <c r="A108" s="200">
        <v>44373</v>
      </c>
      <c r="B108" s="199" t="s">
        <v>14656</v>
      </c>
      <c r="C108" s="201" t="s">
        <v>14657</v>
      </c>
      <c r="D108" s="148"/>
      <c r="E108" s="35" t="s">
        <v>3577</v>
      </c>
      <c r="F108" s="198">
        <v>2.2599999999999998</v>
      </c>
      <c r="G108" s="6"/>
      <c r="H108" s="239"/>
      <c r="I108" s="233"/>
      <c r="J108" s="233"/>
      <c r="K108" s="233"/>
      <c r="L108" s="233"/>
      <c r="M108" s="233"/>
      <c r="N108" s="233"/>
    </row>
    <row r="109" spans="1:14" x14ac:dyDescent="0.2">
      <c r="A109" s="200">
        <v>44373</v>
      </c>
      <c r="B109" s="199" t="s">
        <v>14654</v>
      </c>
      <c r="C109" s="201" t="s">
        <v>14655</v>
      </c>
      <c r="D109" s="148"/>
      <c r="E109" s="35" t="s">
        <v>3577</v>
      </c>
      <c r="F109" s="198">
        <v>2.58</v>
      </c>
      <c r="G109" s="6"/>
      <c r="H109" s="5"/>
    </row>
    <row r="110" spans="1:14" x14ac:dyDescent="0.2">
      <c r="A110" s="200">
        <v>44373</v>
      </c>
      <c r="B110" s="199" t="s">
        <v>14652</v>
      </c>
      <c r="C110" s="201" t="s">
        <v>14653</v>
      </c>
      <c r="D110" s="148"/>
      <c r="E110" s="35" t="s">
        <v>3577</v>
      </c>
      <c r="F110" s="198">
        <v>1.31</v>
      </c>
      <c r="G110" s="6"/>
      <c r="H110" s="5"/>
    </row>
    <row r="111" spans="1:14" x14ac:dyDescent="0.2">
      <c r="A111" s="200">
        <v>44373</v>
      </c>
      <c r="B111" s="199" t="s">
        <v>14650</v>
      </c>
      <c r="C111" s="201" t="s">
        <v>14651</v>
      </c>
      <c r="D111" s="148"/>
      <c r="E111" s="35" t="s">
        <v>3577</v>
      </c>
      <c r="F111" s="198">
        <v>1.86</v>
      </c>
      <c r="G111" s="6"/>
      <c r="H111" s="5"/>
    </row>
    <row r="112" spans="1:14" x14ac:dyDescent="0.2">
      <c r="A112" s="200">
        <v>44373</v>
      </c>
      <c r="B112" s="199" t="s">
        <v>14648</v>
      </c>
      <c r="C112" s="201" t="s">
        <v>14649</v>
      </c>
      <c r="D112" s="148"/>
      <c r="E112" s="35" t="s">
        <v>3577</v>
      </c>
      <c r="F112" s="198">
        <v>5.17</v>
      </c>
      <c r="G112" s="6"/>
      <c r="H112" s="5"/>
    </row>
    <row r="113" spans="1:8" x14ac:dyDescent="0.2">
      <c r="A113" s="200">
        <v>44373</v>
      </c>
      <c r="B113" s="199" t="s">
        <v>14646</v>
      </c>
      <c r="C113" s="201" t="s">
        <v>14647</v>
      </c>
      <c r="D113" s="148"/>
      <c r="E113" s="35" t="s">
        <v>3577</v>
      </c>
      <c r="F113" s="198">
        <v>0.84</v>
      </c>
      <c r="G113" s="6"/>
      <c r="H113" s="5"/>
    </row>
    <row r="114" spans="1:8" x14ac:dyDescent="0.2">
      <c r="A114" s="200">
        <v>44373</v>
      </c>
      <c r="B114" s="199" t="s">
        <v>14644</v>
      </c>
      <c r="C114" s="201" t="s">
        <v>14645</v>
      </c>
      <c r="D114" s="148"/>
      <c r="E114" s="35" t="s">
        <v>3577</v>
      </c>
      <c r="F114" s="198">
        <v>5.04</v>
      </c>
      <c r="G114" s="6"/>
      <c r="H114" s="5"/>
    </row>
    <row r="115" spans="1:8" x14ac:dyDescent="0.2">
      <c r="A115" s="200">
        <v>44373</v>
      </c>
      <c r="B115" s="199" t="s">
        <v>14642</v>
      </c>
      <c r="C115" s="201" t="s">
        <v>14643</v>
      </c>
      <c r="D115" s="148"/>
      <c r="E115" s="35" t="s">
        <v>3577</v>
      </c>
      <c r="F115" s="198">
        <v>2.2400000000000002</v>
      </c>
      <c r="G115" s="6"/>
      <c r="H115" s="5"/>
    </row>
    <row r="116" spans="1:8" x14ac:dyDescent="0.2">
      <c r="A116" s="200">
        <v>44373</v>
      </c>
      <c r="B116" s="199" t="s">
        <v>14640</v>
      </c>
      <c r="C116" s="201" t="s">
        <v>14641</v>
      </c>
      <c r="D116" s="148"/>
      <c r="E116" s="35" t="s">
        <v>3577</v>
      </c>
      <c r="F116" s="198">
        <v>9.81</v>
      </c>
      <c r="G116" s="6"/>
      <c r="H116" s="5"/>
    </row>
    <row r="117" spans="1:8" x14ac:dyDescent="0.2">
      <c r="A117" s="200">
        <v>44373</v>
      </c>
      <c r="B117" s="199" t="s">
        <v>14638</v>
      </c>
      <c r="C117" s="201" t="s">
        <v>14639</v>
      </c>
      <c r="D117" s="148"/>
      <c r="E117" s="35" t="s">
        <v>3577</v>
      </c>
      <c r="F117" s="198">
        <v>2.0299999999999998</v>
      </c>
      <c r="G117" s="6"/>
      <c r="H117" s="5"/>
    </row>
    <row r="118" spans="1:8" x14ac:dyDescent="0.2">
      <c r="A118" s="200">
        <v>44373</v>
      </c>
      <c r="B118" s="199" t="s">
        <v>14636</v>
      </c>
      <c r="C118" s="201" t="s">
        <v>14637</v>
      </c>
      <c r="D118" s="148"/>
      <c r="E118" s="35" t="s">
        <v>3577</v>
      </c>
      <c r="F118" s="198">
        <v>1.69</v>
      </c>
      <c r="G118" s="6"/>
      <c r="H118" s="5"/>
    </row>
    <row r="119" spans="1:8" x14ac:dyDescent="0.2">
      <c r="A119" s="200">
        <v>44373</v>
      </c>
      <c r="B119" s="199" t="s">
        <v>14634</v>
      </c>
      <c r="C119" s="201" t="s">
        <v>14635</v>
      </c>
      <c r="D119" s="148"/>
      <c r="E119" s="35" t="s">
        <v>3577</v>
      </c>
      <c r="F119" s="198">
        <v>1.92</v>
      </c>
      <c r="G119" s="6"/>
      <c r="H119" s="5"/>
    </row>
    <row r="120" spans="1:8" x14ac:dyDescent="0.2">
      <c r="A120" s="200">
        <v>44373</v>
      </c>
      <c r="B120" s="199" t="s">
        <v>14632</v>
      </c>
      <c r="C120" s="201" t="s">
        <v>14633</v>
      </c>
      <c r="D120" s="148"/>
      <c r="E120" s="35" t="s">
        <v>3577</v>
      </c>
      <c r="F120" s="198">
        <v>4.33</v>
      </c>
      <c r="G120" s="6"/>
      <c r="H120" s="5"/>
    </row>
    <row r="121" spans="1:8" x14ac:dyDescent="0.2">
      <c r="A121" s="200">
        <v>44373</v>
      </c>
      <c r="B121" s="199" t="s">
        <v>14630</v>
      </c>
      <c r="C121" s="201" t="s">
        <v>14631</v>
      </c>
      <c r="D121" s="148"/>
      <c r="E121" s="35" t="s">
        <v>3577</v>
      </c>
      <c r="F121" s="198">
        <v>4.0199999999999996</v>
      </c>
      <c r="G121" s="6"/>
      <c r="H121" s="5"/>
    </row>
    <row r="122" spans="1:8" x14ac:dyDescent="0.2">
      <c r="A122" s="200">
        <v>44373</v>
      </c>
      <c r="B122" s="199" t="s">
        <v>14628</v>
      </c>
      <c r="C122" s="201" t="s">
        <v>14629</v>
      </c>
      <c r="D122" s="148"/>
      <c r="E122" s="35" t="s">
        <v>3577</v>
      </c>
      <c r="F122" s="198">
        <v>0.65</v>
      </c>
      <c r="G122" s="6"/>
      <c r="H122" s="5"/>
    </row>
    <row r="123" spans="1:8" x14ac:dyDescent="0.2">
      <c r="A123" s="200">
        <v>44373</v>
      </c>
      <c r="B123" s="199" t="s">
        <v>14626</v>
      </c>
      <c r="C123" s="201" t="s">
        <v>14627</v>
      </c>
      <c r="D123" s="148"/>
      <c r="E123" s="35" t="s">
        <v>3577</v>
      </c>
      <c r="F123" s="198">
        <v>4.51</v>
      </c>
      <c r="G123" s="6"/>
      <c r="H123" s="5"/>
    </row>
    <row r="124" spans="1:8" x14ac:dyDescent="0.2">
      <c r="A124" s="200">
        <v>44373</v>
      </c>
      <c r="B124" s="199" t="s">
        <v>14622</v>
      </c>
      <c r="C124" s="201" t="s">
        <v>14623</v>
      </c>
      <c r="D124" s="148"/>
      <c r="E124" s="35" t="s">
        <v>3577</v>
      </c>
      <c r="F124" s="198">
        <v>5.04</v>
      </c>
      <c r="G124" s="6"/>
      <c r="H124" s="5"/>
    </row>
    <row r="125" spans="1:8" x14ac:dyDescent="0.2">
      <c r="A125" s="200">
        <v>44374</v>
      </c>
      <c r="B125" s="199" t="s">
        <v>14620</v>
      </c>
      <c r="C125" s="201" t="s">
        <v>14621</v>
      </c>
      <c r="D125" s="148"/>
      <c r="E125" s="35" t="s">
        <v>3577</v>
      </c>
      <c r="F125" s="198">
        <v>7.0000000000000007E-2</v>
      </c>
      <c r="G125" s="6"/>
      <c r="H125" s="5"/>
    </row>
    <row r="126" spans="1:8" x14ac:dyDescent="0.2">
      <c r="A126" s="200">
        <v>44374</v>
      </c>
      <c r="B126" s="199" t="s">
        <v>14618</v>
      </c>
      <c r="C126" s="201" t="s">
        <v>14619</v>
      </c>
      <c r="D126" s="148"/>
      <c r="E126" s="35" t="s">
        <v>3577</v>
      </c>
      <c r="F126" s="198">
        <v>5.63</v>
      </c>
      <c r="G126" s="6"/>
      <c r="H126" s="5"/>
    </row>
    <row r="127" spans="1:8" x14ac:dyDescent="0.2">
      <c r="A127" s="200">
        <v>44374</v>
      </c>
      <c r="B127" s="199" t="s">
        <v>14616</v>
      </c>
      <c r="C127" s="201" t="s">
        <v>14617</v>
      </c>
      <c r="D127" s="148"/>
      <c r="E127" s="35" t="s">
        <v>3577</v>
      </c>
      <c r="F127" s="198">
        <v>1.59</v>
      </c>
      <c r="G127" s="6"/>
      <c r="H127" s="5"/>
    </row>
    <row r="128" spans="1:8" x14ac:dyDescent="0.2">
      <c r="A128" s="200">
        <v>44374</v>
      </c>
      <c r="B128" s="199" t="s">
        <v>14614</v>
      </c>
      <c r="C128" s="201" t="s">
        <v>14615</v>
      </c>
      <c r="D128" s="148"/>
      <c r="E128" s="35" t="s">
        <v>3577</v>
      </c>
      <c r="F128" s="198">
        <v>2.2200000000000002</v>
      </c>
      <c r="G128" s="6"/>
      <c r="H128" s="5"/>
    </row>
    <row r="129" spans="1:8" x14ac:dyDescent="0.2">
      <c r="A129" s="200">
        <v>44374</v>
      </c>
      <c r="B129" s="199" t="s">
        <v>14612</v>
      </c>
      <c r="C129" s="201" t="s">
        <v>14613</v>
      </c>
      <c r="D129" s="148"/>
      <c r="E129" s="35" t="s">
        <v>3577</v>
      </c>
      <c r="F129" s="198">
        <v>3.4</v>
      </c>
      <c r="G129" s="6"/>
      <c r="H129" s="5"/>
    </row>
    <row r="130" spans="1:8" x14ac:dyDescent="0.2">
      <c r="A130" s="200">
        <v>44375</v>
      </c>
      <c r="B130" s="199" t="s">
        <v>14598</v>
      </c>
      <c r="C130" s="201" t="s">
        <v>14599</v>
      </c>
      <c r="D130" s="148"/>
      <c r="E130" s="35" t="s">
        <v>3577</v>
      </c>
      <c r="F130" s="198">
        <v>5.12</v>
      </c>
      <c r="G130" s="6"/>
      <c r="H130" s="5"/>
    </row>
    <row r="131" spans="1:8" x14ac:dyDescent="0.2">
      <c r="A131" s="200">
        <v>44375</v>
      </c>
      <c r="B131" s="199" t="s">
        <v>14596</v>
      </c>
      <c r="C131" s="201" t="s">
        <v>14597</v>
      </c>
      <c r="D131" s="148"/>
      <c r="E131" s="35" t="s">
        <v>3577</v>
      </c>
      <c r="F131" s="198">
        <v>3.16</v>
      </c>
      <c r="G131" s="6"/>
      <c r="H131" s="5"/>
    </row>
    <row r="132" spans="1:8" x14ac:dyDescent="0.2">
      <c r="A132" s="200">
        <v>44375</v>
      </c>
      <c r="B132" s="199" t="s">
        <v>14594</v>
      </c>
      <c r="C132" s="201" t="s">
        <v>14595</v>
      </c>
      <c r="D132" s="148"/>
      <c r="E132" s="35" t="s">
        <v>3577</v>
      </c>
      <c r="F132" s="198">
        <v>1.68</v>
      </c>
      <c r="G132" s="6"/>
      <c r="H132" s="5"/>
    </row>
    <row r="133" spans="1:8" x14ac:dyDescent="0.2">
      <c r="A133" s="200">
        <v>44375</v>
      </c>
      <c r="B133" s="199" t="s">
        <v>14592</v>
      </c>
      <c r="C133" s="201" t="s">
        <v>14593</v>
      </c>
      <c r="D133" s="148"/>
      <c r="E133" s="35" t="s">
        <v>3577</v>
      </c>
      <c r="F133" s="198">
        <v>4.72</v>
      </c>
      <c r="G133" s="6"/>
      <c r="H133" s="5"/>
    </row>
    <row r="134" spans="1:8" x14ac:dyDescent="0.2">
      <c r="A134" s="200">
        <v>44375</v>
      </c>
      <c r="B134" s="199" t="s">
        <v>14590</v>
      </c>
      <c r="C134" s="201" t="s">
        <v>14591</v>
      </c>
      <c r="D134" s="148"/>
      <c r="E134" s="35" t="s">
        <v>3577</v>
      </c>
      <c r="F134" s="198">
        <v>6.57</v>
      </c>
      <c r="G134" s="6"/>
      <c r="H134" s="5"/>
    </row>
    <row r="135" spans="1:8" x14ac:dyDescent="0.2">
      <c r="A135" s="200">
        <v>44375</v>
      </c>
      <c r="B135" s="199" t="s">
        <v>14588</v>
      </c>
      <c r="C135" s="201" t="s">
        <v>14589</v>
      </c>
      <c r="D135" s="148"/>
      <c r="E135" s="35" t="s">
        <v>3577</v>
      </c>
      <c r="F135" s="198">
        <v>2.4500000000000002</v>
      </c>
      <c r="G135" s="6"/>
      <c r="H135" s="5"/>
    </row>
    <row r="136" spans="1:8" x14ac:dyDescent="0.2">
      <c r="A136" s="200">
        <v>44375</v>
      </c>
      <c r="B136" s="199" t="s">
        <v>14586</v>
      </c>
      <c r="C136" s="201" t="s">
        <v>14587</v>
      </c>
      <c r="D136" s="148"/>
      <c r="E136" s="35" t="s">
        <v>3577</v>
      </c>
      <c r="F136" s="198">
        <v>11.86</v>
      </c>
      <c r="G136" s="6"/>
      <c r="H136" s="5"/>
    </row>
    <row r="137" spans="1:8" x14ac:dyDescent="0.2">
      <c r="A137" s="200">
        <v>44375</v>
      </c>
      <c r="B137" s="199" t="s">
        <v>14584</v>
      </c>
      <c r="C137" s="201" t="s">
        <v>14585</v>
      </c>
      <c r="D137" s="148"/>
      <c r="E137" s="35" t="s">
        <v>3577</v>
      </c>
      <c r="F137" s="198">
        <v>9.1</v>
      </c>
      <c r="G137" s="6"/>
      <c r="H137" s="5"/>
    </row>
    <row r="138" spans="1:8" x14ac:dyDescent="0.2">
      <c r="A138" s="200">
        <v>44375</v>
      </c>
      <c r="B138" s="199" t="s">
        <v>14582</v>
      </c>
      <c r="C138" s="201" t="s">
        <v>14583</v>
      </c>
      <c r="D138" s="148"/>
      <c r="E138" s="35" t="s">
        <v>3577</v>
      </c>
      <c r="F138" s="198">
        <v>16.82</v>
      </c>
      <c r="G138" s="6"/>
      <c r="H138" s="5"/>
    </row>
    <row r="139" spans="1:8" x14ac:dyDescent="0.2">
      <c r="A139" s="200">
        <v>44375</v>
      </c>
      <c r="B139" s="199" t="s">
        <v>14580</v>
      </c>
      <c r="C139" s="201" t="s">
        <v>14581</v>
      </c>
      <c r="D139" s="148"/>
      <c r="E139" s="35" t="s">
        <v>3577</v>
      </c>
      <c r="F139" s="198">
        <v>7.06</v>
      </c>
      <c r="G139" s="6"/>
      <c r="H139" s="5"/>
    </row>
    <row r="140" spans="1:8" x14ac:dyDescent="0.2">
      <c r="A140" s="200">
        <v>44375</v>
      </c>
      <c r="B140" s="199" t="s">
        <v>14578</v>
      </c>
      <c r="C140" s="201" t="s">
        <v>14579</v>
      </c>
      <c r="D140" s="148"/>
      <c r="E140" s="35" t="s">
        <v>3577</v>
      </c>
      <c r="F140" s="198">
        <v>4.04</v>
      </c>
      <c r="G140" s="6"/>
      <c r="H140" s="5"/>
    </row>
    <row r="141" spans="1:8" x14ac:dyDescent="0.2">
      <c r="A141" s="200">
        <v>44375</v>
      </c>
      <c r="B141" s="199" t="s">
        <v>14576</v>
      </c>
      <c r="C141" s="201" t="s">
        <v>14577</v>
      </c>
      <c r="D141" s="148"/>
      <c r="E141" s="35" t="s">
        <v>3577</v>
      </c>
      <c r="F141" s="198">
        <v>3.36</v>
      </c>
      <c r="G141" s="6"/>
      <c r="H141" s="5"/>
    </row>
    <row r="142" spans="1:8" x14ac:dyDescent="0.2">
      <c r="A142" s="200">
        <v>44375</v>
      </c>
      <c r="B142" s="199" t="s">
        <v>14574</v>
      </c>
      <c r="C142" s="201" t="s">
        <v>14575</v>
      </c>
      <c r="D142" s="148"/>
      <c r="E142" s="35" t="s">
        <v>3577</v>
      </c>
      <c r="F142" s="198">
        <v>3.75</v>
      </c>
      <c r="G142" s="6"/>
      <c r="H142" s="5"/>
    </row>
    <row r="143" spans="1:8" x14ac:dyDescent="0.2">
      <c r="A143" s="200">
        <v>44375</v>
      </c>
      <c r="B143" s="199" t="s">
        <v>14572</v>
      </c>
      <c r="C143" s="201" t="s">
        <v>14573</v>
      </c>
      <c r="D143" s="148"/>
      <c r="E143" s="35" t="s">
        <v>3577</v>
      </c>
      <c r="F143" s="198">
        <v>2.4900000000000002</v>
      </c>
      <c r="G143" s="6"/>
      <c r="H143" s="5"/>
    </row>
    <row r="144" spans="1:8" x14ac:dyDescent="0.2">
      <c r="A144" s="200">
        <v>44375</v>
      </c>
      <c r="B144" s="199" t="s">
        <v>14570</v>
      </c>
      <c r="C144" s="201" t="s">
        <v>14571</v>
      </c>
      <c r="D144" s="148"/>
      <c r="E144" s="35" t="s">
        <v>3577</v>
      </c>
      <c r="F144" s="198">
        <v>6.84</v>
      </c>
      <c r="G144" s="6"/>
      <c r="H144" s="5"/>
    </row>
    <row r="145" spans="1:15" x14ac:dyDescent="0.2">
      <c r="A145" s="200">
        <v>44375</v>
      </c>
      <c r="B145" s="199" t="s">
        <v>14568</v>
      </c>
      <c r="C145" s="201" t="s">
        <v>14569</v>
      </c>
      <c r="D145" s="148"/>
      <c r="E145" s="35" t="s">
        <v>3577</v>
      </c>
      <c r="F145" s="198">
        <v>6.94</v>
      </c>
      <c r="G145" s="6"/>
      <c r="H145" s="5"/>
    </row>
    <row r="146" spans="1:15" x14ac:dyDescent="0.2">
      <c r="A146" s="200">
        <v>44375</v>
      </c>
      <c r="B146" s="199" t="s">
        <v>14566</v>
      </c>
      <c r="C146" s="201" t="s">
        <v>14567</v>
      </c>
      <c r="D146" s="148"/>
      <c r="E146" s="35" t="s">
        <v>3577</v>
      </c>
      <c r="F146" s="198">
        <v>2.41</v>
      </c>
      <c r="G146" s="6"/>
      <c r="H146" s="5"/>
    </row>
    <row r="147" spans="1:15" x14ac:dyDescent="0.2">
      <c r="A147" s="200">
        <v>44375</v>
      </c>
      <c r="B147" s="199" t="s">
        <v>14564</v>
      </c>
      <c r="C147" s="201" t="s">
        <v>14565</v>
      </c>
      <c r="D147" s="148"/>
      <c r="E147" s="35" t="s">
        <v>3577</v>
      </c>
      <c r="F147" s="198">
        <v>7.84</v>
      </c>
      <c r="G147" s="6"/>
      <c r="H147" s="5"/>
    </row>
    <row r="148" spans="1:15" x14ac:dyDescent="0.2">
      <c r="A148" s="200">
        <v>44375</v>
      </c>
      <c r="B148" s="199" t="s">
        <v>14562</v>
      </c>
      <c r="C148" s="201" t="s">
        <v>14563</v>
      </c>
      <c r="D148" s="148"/>
      <c r="E148" s="35" t="s">
        <v>3577</v>
      </c>
      <c r="F148" s="198">
        <v>3.15</v>
      </c>
      <c r="G148" s="6"/>
      <c r="H148" s="5"/>
    </row>
    <row r="149" spans="1:15" x14ac:dyDescent="0.2">
      <c r="A149" s="200">
        <v>44375</v>
      </c>
      <c r="B149" s="199" t="s">
        <v>14560</v>
      </c>
      <c r="C149" s="201" t="s">
        <v>14561</v>
      </c>
      <c r="D149" s="148"/>
      <c r="E149" s="35" t="s">
        <v>3577</v>
      </c>
      <c r="F149" s="198">
        <v>1.97</v>
      </c>
      <c r="G149" s="6"/>
      <c r="H149" s="5"/>
    </row>
    <row r="150" spans="1:15" x14ac:dyDescent="0.2">
      <c r="A150" s="200">
        <v>44375</v>
      </c>
      <c r="B150" s="199" t="s">
        <v>14558</v>
      </c>
      <c r="C150" s="201" t="s">
        <v>14559</v>
      </c>
      <c r="D150" s="148"/>
      <c r="E150" s="35" t="s">
        <v>3577</v>
      </c>
      <c r="F150" s="198">
        <v>5.71</v>
      </c>
      <c r="G150" s="6"/>
      <c r="H150" s="5"/>
    </row>
    <row r="151" spans="1:15" x14ac:dyDescent="0.2">
      <c r="A151" s="200">
        <v>44376</v>
      </c>
      <c r="B151" s="199" t="s">
        <v>14534</v>
      </c>
      <c r="C151" s="201" t="s">
        <v>14535</v>
      </c>
      <c r="D151" s="148"/>
      <c r="E151" s="35" t="s">
        <v>3577</v>
      </c>
      <c r="F151" s="198">
        <v>3.06</v>
      </c>
      <c r="G151" s="6"/>
      <c r="H151" s="5"/>
    </row>
    <row r="152" spans="1:15" x14ac:dyDescent="0.2">
      <c r="A152" s="200">
        <v>44376</v>
      </c>
      <c r="B152" s="199" t="s">
        <v>14532</v>
      </c>
      <c r="C152" s="201" t="s">
        <v>14533</v>
      </c>
      <c r="D152" s="148"/>
      <c r="E152" s="35" t="s">
        <v>3577</v>
      </c>
      <c r="F152" s="198">
        <v>1.7</v>
      </c>
      <c r="G152" s="6"/>
      <c r="H152" s="5"/>
    </row>
    <row r="153" spans="1:15" x14ac:dyDescent="0.2">
      <c r="A153" s="200">
        <v>44376</v>
      </c>
      <c r="B153" s="199" t="s">
        <v>14530</v>
      </c>
      <c r="C153" s="201" t="s">
        <v>14531</v>
      </c>
      <c r="D153" s="148"/>
      <c r="E153" s="35" t="s">
        <v>3577</v>
      </c>
      <c r="F153" s="198">
        <v>3.36</v>
      </c>
      <c r="G153" s="6"/>
      <c r="H153" s="5"/>
    </row>
    <row r="154" spans="1:15" x14ac:dyDescent="0.2">
      <c r="A154" s="200">
        <v>44376</v>
      </c>
      <c r="B154" s="199" t="s">
        <v>14528</v>
      </c>
      <c r="C154" s="201" t="s">
        <v>14529</v>
      </c>
      <c r="D154" s="148"/>
      <c r="E154" s="35" t="s">
        <v>3577</v>
      </c>
      <c r="F154" s="198">
        <v>6.01</v>
      </c>
      <c r="G154" s="6"/>
      <c r="H154" s="5"/>
    </row>
    <row r="155" spans="1:15" x14ac:dyDescent="0.2">
      <c r="A155" s="200">
        <v>44376</v>
      </c>
      <c r="B155" s="199" t="s">
        <v>14526</v>
      </c>
      <c r="C155" s="201" t="s">
        <v>14527</v>
      </c>
      <c r="D155" s="148"/>
      <c r="E155" s="35" t="s">
        <v>3577</v>
      </c>
      <c r="F155" s="198">
        <v>6.74</v>
      </c>
      <c r="G155" s="6"/>
      <c r="H155" s="5"/>
    </row>
    <row r="156" spans="1:15" x14ac:dyDescent="0.2">
      <c r="A156" s="200">
        <v>44376</v>
      </c>
      <c r="B156" s="199" t="s">
        <v>14524</v>
      </c>
      <c r="C156" s="201" t="s">
        <v>14525</v>
      </c>
      <c r="D156" s="148"/>
      <c r="E156" s="35" t="s">
        <v>3577</v>
      </c>
      <c r="F156" s="198">
        <v>20.94</v>
      </c>
      <c r="G156" s="6"/>
      <c r="H156" s="5"/>
      <c r="O156" s="148"/>
    </row>
    <row r="157" spans="1:15" x14ac:dyDescent="0.2">
      <c r="A157" s="200">
        <v>44376</v>
      </c>
      <c r="B157" s="199" t="s">
        <v>14522</v>
      </c>
      <c r="C157" s="201" t="s">
        <v>14523</v>
      </c>
      <c r="D157" s="148"/>
      <c r="E157" s="35" t="s">
        <v>3577</v>
      </c>
      <c r="F157" s="198">
        <v>2.34</v>
      </c>
      <c r="G157" s="6"/>
      <c r="H157" s="5"/>
      <c r="O157" s="148"/>
    </row>
    <row r="158" spans="1:15" x14ac:dyDescent="0.2">
      <c r="A158" s="200">
        <v>44376</v>
      </c>
      <c r="B158" s="199" t="s">
        <v>14520</v>
      </c>
      <c r="C158" s="201" t="s">
        <v>14521</v>
      </c>
      <c r="D158" s="148"/>
      <c r="E158" s="35" t="s">
        <v>3577</v>
      </c>
      <c r="F158" s="198">
        <v>10.35</v>
      </c>
      <c r="G158" s="6"/>
      <c r="H158" s="5"/>
      <c r="O158" s="148"/>
    </row>
    <row r="159" spans="1:15" x14ac:dyDescent="0.2">
      <c r="A159" s="200">
        <v>44376</v>
      </c>
      <c r="B159" s="199" t="s">
        <v>14518</v>
      </c>
      <c r="C159" s="201" t="s">
        <v>14519</v>
      </c>
      <c r="D159" s="148"/>
      <c r="E159" s="35" t="s">
        <v>3577</v>
      </c>
      <c r="F159" s="198">
        <v>11.07</v>
      </c>
      <c r="G159" s="6"/>
      <c r="H159" s="5"/>
      <c r="O159" s="148"/>
    </row>
    <row r="160" spans="1:15" x14ac:dyDescent="0.2">
      <c r="A160" s="200">
        <v>44376</v>
      </c>
      <c r="B160" s="199" t="s">
        <v>14516</v>
      </c>
      <c r="C160" s="201" t="s">
        <v>14517</v>
      </c>
      <c r="D160" s="148"/>
      <c r="E160" s="35" t="s">
        <v>3577</v>
      </c>
      <c r="F160" s="198">
        <v>1.68</v>
      </c>
      <c r="G160" s="6"/>
      <c r="H160" s="5"/>
      <c r="O160" s="148"/>
    </row>
    <row r="161" spans="1:15" x14ac:dyDescent="0.2">
      <c r="A161" s="200">
        <v>44376</v>
      </c>
      <c r="B161" s="199" t="s">
        <v>14514</v>
      </c>
      <c r="C161" s="201" t="s">
        <v>14515</v>
      </c>
      <c r="D161" s="148"/>
      <c r="E161" s="35" t="s">
        <v>3577</v>
      </c>
      <c r="F161" s="198">
        <v>21.16</v>
      </c>
      <c r="G161" s="6"/>
      <c r="H161" s="5"/>
      <c r="O161" s="148"/>
    </row>
    <row r="162" spans="1:15" x14ac:dyDescent="0.2">
      <c r="A162" s="200">
        <v>44376</v>
      </c>
      <c r="B162" s="199" t="s">
        <v>14512</v>
      </c>
      <c r="C162" s="201" t="s">
        <v>14513</v>
      </c>
      <c r="D162" s="148"/>
      <c r="E162" s="35" t="s">
        <v>3577</v>
      </c>
      <c r="F162" s="198">
        <v>1.73</v>
      </c>
      <c r="G162" s="6"/>
      <c r="H162" s="5"/>
      <c r="O162" s="148"/>
    </row>
    <row r="163" spans="1:15" x14ac:dyDescent="0.2">
      <c r="A163" s="200">
        <v>44376</v>
      </c>
      <c r="B163" s="199" t="s">
        <v>14510</v>
      </c>
      <c r="C163" s="201" t="s">
        <v>14511</v>
      </c>
      <c r="D163" s="148"/>
      <c r="E163" s="35" t="s">
        <v>3577</v>
      </c>
      <c r="F163" s="198">
        <v>3.91</v>
      </c>
      <c r="G163" s="6"/>
      <c r="H163" s="5"/>
      <c r="O163" s="148"/>
    </row>
    <row r="164" spans="1:15" x14ac:dyDescent="0.2">
      <c r="A164" s="200">
        <v>44376</v>
      </c>
      <c r="B164" s="199" t="s">
        <v>14508</v>
      </c>
      <c r="C164" s="201" t="s">
        <v>14509</v>
      </c>
      <c r="D164" s="148"/>
      <c r="E164" s="35" t="s">
        <v>3577</v>
      </c>
      <c r="F164" s="198">
        <v>1.55</v>
      </c>
      <c r="G164" s="6"/>
      <c r="H164" s="5"/>
      <c r="O164" s="148"/>
    </row>
    <row r="165" spans="1:15" x14ac:dyDescent="0.2">
      <c r="A165" s="200">
        <v>44376</v>
      </c>
      <c r="B165" s="199" t="s">
        <v>14506</v>
      </c>
      <c r="C165" s="201" t="s">
        <v>14507</v>
      </c>
      <c r="D165" s="148"/>
      <c r="E165" s="35" t="s">
        <v>3577</v>
      </c>
      <c r="F165" s="198">
        <v>4.79</v>
      </c>
      <c r="G165" s="6"/>
      <c r="H165" s="5"/>
      <c r="O165" s="148"/>
    </row>
    <row r="166" spans="1:15" x14ac:dyDescent="0.2">
      <c r="A166" s="200">
        <v>44376</v>
      </c>
      <c r="B166" s="199" t="s">
        <v>14504</v>
      </c>
      <c r="C166" s="201" t="s">
        <v>14505</v>
      </c>
      <c r="D166" s="148"/>
      <c r="E166" s="35" t="s">
        <v>3577</v>
      </c>
      <c r="F166" s="198">
        <v>6.94</v>
      </c>
      <c r="G166" s="6"/>
      <c r="H166" s="5"/>
      <c r="O166" s="148"/>
    </row>
    <row r="167" spans="1:15" x14ac:dyDescent="0.2">
      <c r="A167" s="200">
        <v>44376</v>
      </c>
      <c r="B167" s="199" t="s">
        <v>14502</v>
      </c>
      <c r="C167" s="201" t="s">
        <v>14503</v>
      </c>
      <c r="D167" s="148"/>
      <c r="E167" s="35" t="s">
        <v>3577</v>
      </c>
      <c r="F167" s="198">
        <v>2.27</v>
      </c>
      <c r="G167" s="6"/>
      <c r="H167" s="5"/>
      <c r="O167" s="148"/>
    </row>
    <row r="168" spans="1:15" x14ac:dyDescent="0.2">
      <c r="A168" s="200">
        <v>44376</v>
      </c>
      <c r="B168" s="199" t="s">
        <v>14500</v>
      </c>
      <c r="C168" s="201" t="s">
        <v>14501</v>
      </c>
      <c r="D168" s="148"/>
      <c r="E168" s="35" t="s">
        <v>3577</v>
      </c>
      <c r="F168" s="198">
        <v>3.95</v>
      </c>
      <c r="G168" s="6"/>
      <c r="H168" s="5"/>
      <c r="O168" s="148"/>
    </row>
    <row r="169" spans="1:15" x14ac:dyDescent="0.2">
      <c r="A169" s="200">
        <v>44376</v>
      </c>
      <c r="B169" s="199" t="s">
        <v>14498</v>
      </c>
      <c r="C169" s="201" t="s">
        <v>14499</v>
      </c>
      <c r="D169" s="148"/>
      <c r="E169" s="35" t="s">
        <v>3577</v>
      </c>
      <c r="F169" s="198">
        <v>2.2999999999999998</v>
      </c>
      <c r="G169" s="6"/>
      <c r="H169" s="5"/>
      <c r="O169" s="148"/>
    </row>
    <row r="170" spans="1:15" x14ac:dyDescent="0.2">
      <c r="A170" s="200">
        <v>44376</v>
      </c>
      <c r="B170" s="199" t="s">
        <v>14496</v>
      </c>
      <c r="C170" s="201" t="s">
        <v>14497</v>
      </c>
      <c r="D170" s="148"/>
      <c r="E170" s="35" t="s">
        <v>3577</v>
      </c>
      <c r="F170" s="198">
        <v>8.3800000000000008</v>
      </c>
      <c r="G170" s="6"/>
      <c r="H170" s="5"/>
      <c r="O170" s="148"/>
    </row>
    <row r="171" spans="1:15" x14ac:dyDescent="0.2">
      <c r="A171" s="200">
        <v>44376</v>
      </c>
      <c r="B171" s="199" t="s">
        <v>14492</v>
      </c>
      <c r="C171" s="201" t="s">
        <v>14493</v>
      </c>
      <c r="D171" s="148"/>
      <c r="E171" s="35" t="s">
        <v>3577</v>
      </c>
      <c r="F171" s="198">
        <v>2.88</v>
      </c>
      <c r="G171" s="6"/>
      <c r="H171" s="5"/>
      <c r="O171" s="148"/>
    </row>
    <row r="172" spans="1:15" x14ac:dyDescent="0.2">
      <c r="A172" s="200">
        <v>44376</v>
      </c>
      <c r="B172" s="199" t="s">
        <v>14490</v>
      </c>
      <c r="C172" s="201" t="s">
        <v>14491</v>
      </c>
      <c r="D172" s="148"/>
      <c r="E172" s="35" t="s">
        <v>3577</v>
      </c>
      <c r="F172" s="198">
        <v>3.73</v>
      </c>
      <c r="G172" s="6"/>
      <c r="H172" s="5"/>
      <c r="O172" s="148"/>
    </row>
    <row r="173" spans="1:15" x14ac:dyDescent="0.2">
      <c r="A173" s="200">
        <v>44376</v>
      </c>
      <c r="B173" s="199" t="s">
        <v>14488</v>
      </c>
      <c r="C173" s="201" t="s">
        <v>14489</v>
      </c>
      <c r="D173" s="148"/>
      <c r="E173" s="35" t="s">
        <v>3577</v>
      </c>
      <c r="F173" s="198">
        <v>2.35</v>
      </c>
      <c r="G173" s="6"/>
      <c r="H173" s="5"/>
      <c r="O173" s="148"/>
    </row>
    <row r="174" spans="1:15" x14ac:dyDescent="0.2">
      <c r="A174" s="200">
        <v>44376</v>
      </c>
      <c r="B174" s="199" t="s">
        <v>14486</v>
      </c>
      <c r="C174" s="201" t="s">
        <v>14487</v>
      </c>
      <c r="D174" s="148"/>
      <c r="E174" s="35" t="s">
        <v>3577</v>
      </c>
      <c r="F174" s="198">
        <v>0.18</v>
      </c>
      <c r="G174" s="6"/>
      <c r="H174" s="5"/>
      <c r="O174" s="148"/>
    </row>
    <row r="175" spans="1:15" x14ac:dyDescent="0.2">
      <c r="A175" s="200">
        <v>44376</v>
      </c>
      <c r="B175" s="199" t="s">
        <v>14484</v>
      </c>
      <c r="C175" s="201" t="s">
        <v>14485</v>
      </c>
      <c r="D175" s="148"/>
      <c r="E175" s="35" t="s">
        <v>3577</v>
      </c>
      <c r="F175" s="198">
        <v>13.52</v>
      </c>
      <c r="G175" s="6"/>
      <c r="H175" s="5"/>
      <c r="O175" s="148"/>
    </row>
    <row r="176" spans="1:15" x14ac:dyDescent="0.2">
      <c r="A176" s="200">
        <v>44376</v>
      </c>
      <c r="B176" s="199" t="s">
        <v>14482</v>
      </c>
      <c r="C176" s="201" t="s">
        <v>14483</v>
      </c>
      <c r="D176" s="148"/>
      <c r="E176" s="35" t="s">
        <v>3577</v>
      </c>
      <c r="F176" s="198">
        <v>11.84</v>
      </c>
      <c r="G176" s="6"/>
      <c r="H176" s="5"/>
      <c r="O176" s="148"/>
    </row>
    <row r="177" spans="1:15" x14ac:dyDescent="0.2">
      <c r="A177" s="200">
        <v>44376</v>
      </c>
      <c r="B177" s="199" t="s">
        <v>14480</v>
      </c>
      <c r="C177" s="201" t="s">
        <v>14481</v>
      </c>
      <c r="D177" s="148"/>
      <c r="E177" s="35" t="s">
        <v>3577</v>
      </c>
      <c r="F177" s="198">
        <v>2.42</v>
      </c>
      <c r="G177" s="6"/>
      <c r="H177" s="5"/>
      <c r="O177" s="148"/>
    </row>
    <row r="178" spans="1:15" x14ac:dyDescent="0.2">
      <c r="A178" s="200">
        <v>44376</v>
      </c>
      <c r="B178" s="199" t="s">
        <v>14478</v>
      </c>
      <c r="C178" s="201" t="s">
        <v>14479</v>
      </c>
      <c r="D178" s="148"/>
      <c r="E178" s="35" t="s">
        <v>3577</v>
      </c>
      <c r="F178" s="198">
        <v>3.7</v>
      </c>
      <c r="G178" s="6"/>
      <c r="H178" s="5"/>
      <c r="O178" s="148"/>
    </row>
    <row r="179" spans="1:15" x14ac:dyDescent="0.2">
      <c r="A179" s="200">
        <v>44376</v>
      </c>
      <c r="B179" s="199" t="s">
        <v>14476</v>
      </c>
      <c r="C179" s="201" t="s">
        <v>14477</v>
      </c>
      <c r="D179" s="148"/>
      <c r="E179" s="35" t="s">
        <v>3577</v>
      </c>
      <c r="F179" s="198">
        <v>2.64</v>
      </c>
      <c r="G179" s="6"/>
      <c r="H179" s="5"/>
      <c r="O179" s="148"/>
    </row>
    <row r="180" spans="1:15" x14ac:dyDescent="0.2">
      <c r="A180" s="200">
        <v>44376</v>
      </c>
      <c r="B180" s="199" t="s">
        <v>14474</v>
      </c>
      <c r="C180" s="201" t="s">
        <v>14475</v>
      </c>
      <c r="D180" s="148"/>
      <c r="E180" s="35" t="s">
        <v>3577</v>
      </c>
      <c r="F180" s="198">
        <v>1.68</v>
      </c>
      <c r="G180" s="6"/>
      <c r="H180" s="5"/>
      <c r="O180" s="148"/>
    </row>
    <row r="181" spans="1:15" x14ac:dyDescent="0.2">
      <c r="A181" s="200">
        <v>44376</v>
      </c>
      <c r="B181" s="199" t="s">
        <v>14472</v>
      </c>
      <c r="C181" s="201" t="s">
        <v>14473</v>
      </c>
      <c r="D181" s="148"/>
      <c r="E181" s="35" t="s">
        <v>3577</v>
      </c>
      <c r="F181" s="198">
        <v>10.62</v>
      </c>
      <c r="G181" s="6"/>
      <c r="H181" s="5"/>
      <c r="O181" s="148"/>
    </row>
    <row r="182" spans="1:15" x14ac:dyDescent="0.2">
      <c r="A182" s="200">
        <v>44376</v>
      </c>
      <c r="B182" s="199" t="s">
        <v>14470</v>
      </c>
      <c r="C182" s="201" t="s">
        <v>14471</v>
      </c>
      <c r="D182" s="148"/>
      <c r="E182" s="35" t="s">
        <v>3577</v>
      </c>
      <c r="F182" s="198">
        <v>26.86</v>
      </c>
      <c r="G182" s="6"/>
      <c r="H182" s="5"/>
      <c r="O182" s="148"/>
    </row>
    <row r="183" spans="1:15" x14ac:dyDescent="0.2">
      <c r="A183" s="200">
        <v>44377</v>
      </c>
      <c r="B183" s="199" t="s">
        <v>14450</v>
      </c>
      <c r="C183" s="201" t="s">
        <v>14451</v>
      </c>
      <c r="D183" s="148"/>
      <c r="E183" s="35" t="s">
        <v>3577</v>
      </c>
      <c r="F183" s="198">
        <v>5.04</v>
      </c>
      <c r="G183" s="6"/>
      <c r="H183" s="5"/>
      <c r="O183" s="148"/>
    </row>
    <row r="184" spans="1:15" x14ac:dyDescent="0.2">
      <c r="A184" s="200">
        <v>44377</v>
      </c>
      <c r="B184" s="199" t="s">
        <v>14442</v>
      </c>
      <c r="C184" s="201" t="s">
        <v>14443</v>
      </c>
      <c r="D184" s="148"/>
      <c r="E184" s="35" t="s">
        <v>3577</v>
      </c>
      <c r="F184" s="198">
        <v>7.17</v>
      </c>
      <c r="G184" s="6"/>
      <c r="H184" s="5"/>
      <c r="O184" s="148"/>
    </row>
    <row r="185" spans="1:15" x14ac:dyDescent="0.2">
      <c r="A185" s="200">
        <v>44377</v>
      </c>
      <c r="B185" s="199" t="s">
        <v>14440</v>
      </c>
      <c r="C185" s="201" t="s">
        <v>14441</v>
      </c>
      <c r="D185" s="148"/>
      <c r="E185" s="35" t="s">
        <v>3577</v>
      </c>
      <c r="F185" s="198">
        <v>3.68</v>
      </c>
      <c r="G185" s="6"/>
      <c r="H185" s="5"/>
      <c r="O185" s="148"/>
    </row>
    <row r="186" spans="1:15" x14ac:dyDescent="0.2">
      <c r="A186" s="200">
        <v>44377</v>
      </c>
      <c r="B186" s="199" t="s">
        <v>14438</v>
      </c>
      <c r="C186" s="201" t="s">
        <v>14439</v>
      </c>
      <c r="D186" s="148"/>
      <c r="E186" s="35" t="s">
        <v>3577</v>
      </c>
      <c r="F186" s="198">
        <v>1.1200000000000001</v>
      </c>
      <c r="G186" s="6"/>
      <c r="H186" s="5"/>
      <c r="O186" s="148"/>
    </row>
    <row r="187" spans="1:15" x14ac:dyDescent="0.2">
      <c r="A187" s="200">
        <v>44377</v>
      </c>
      <c r="B187" s="199" t="s">
        <v>14436</v>
      </c>
      <c r="C187" s="201" t="s">
        <v>14437</v>
      </c>
      <c r="D187" s="148"/>
      <c r="E187" s="35" t="s">
        <v>3577</v>
      </c>
      <c r="F187" s="198">
        <v>5.9</v>
      </c>
      <c r="G187" s="6"/>
      <c r="H187" s="5"/>
      <c r="O187" s="148"/>
    </row>
    <row r="188" spans="1:15" x14ac:dyDescent="0.2">
      <c r="A188" s="200">
        <v>44377</v>
      </c>
      <c r="B188" s="199" t="s">
        <v>14434</v>
      </c>
      <c r="C188" s="201" t="s">
        <v>14435</v>
      </c>
      <c r="D188" s="148"/>
      <c r="E188" s="35" t="s">
        <v>3577</v>
      </c>
      <c r="F188" s="198">
        <v>7.11</v>
      </c>
      <c r="G188" s="6"/>
      <c r="H188" s="5"/>
      <c r="O188" s="148"/>
    </row>
    <row r="189" spans="1:15" x14ac:dyDescent="0.2">
      <c r="A189" s="200">
        <v>44377</v>
      </c>
      <c r="B189" s="199" t="s">
        <v>14432</v>
      </c>
      <c r="C189" s="201" t="s">
        <v>14433</v>
      </c>
      <c r="D189" s="148"/>
      <c r="E189" s="35" t="s">
        <v>3577</v>
      </c>
      <c r="F189" s="198">
        <v>10.15</v>
      </c>
      <c r="G189" s="6"/>
      <c r="H189" s="5"/>
      <c r="O189" s="148"/>
    </row>
    <row r="190" spans="1:15" x14ac:dyDescent="0.2">
      <c r="A190" s="200">
        <v>44377</v>
      </c>
      <c r="B190" s="199" t="s">
        <v>14430</v>
      </c>
      <c r="C190" s="201" t="s">
        <v>14431</v>
      </c>
      <c r="D190" s="148"/>
      <c r="E190" s="35" t="s">
        <v>3577</v>
      </c>
      <c r="F190" s="198">
        <v>5.04</v>
      </c>
      <c r="G190" s="6"/>
      <c r="H190" s="5"/>
      <c r="O190" s="148"/>
    </row>
    <row r="191" spans="1:15" x14ac:dyDescent="0.2">
      <c r="A191" s="200">
        <v>44377</v>
      </c>
      <c r="B191" s="199" t="s">
        <v>14428</v>
      </c>
      <c r="C191" s="201" t="s">
        <v>14429</v>
      </c>
      <c r="D191" s="148"/>
      <c r="E191" s="35" t="s">
        <v>3577</v>
      </c>
      <c r="F191" s="198">
        <v>28.26</v>
      </c>
      <c r="G191" s="6"/>
      <c r="H191" s="5"/>
      <c r="O191" s="148"/>
    </row>
    <row r="192" spans="1:15" x14ac:dyDescent="0.2">
      <c r="A192" s="200">
        <v>44377</v>
      </c>
      <c r="B192" s="199" t="s">
        <v>14426</v>
      </c>
      <c r="C192" s="201" t="s">
        <v>14427</v>
      </c>
      <c r="D192" s="148"/>
      <c r="E192" s="35" t="s">
        <v>3577</v>
      </c>
      <c r="F192" s="198">
        <v>8.66</v>
      </c>
      <c r="G192" s="6"/>
      <c r="H192" s="5"/>
      <c r="O192" s="148"/>
    </row>
    <row r="193" spans="1:15" x14ac:dyDescent="0.2">
      <c r="A193" s="200">
        <v>44377</v>
      </c>
      <c r="B193" s="199" t="s">
        <v>14424</v>
      </c>
      <c r="C193" s="201" t="s">
        <v>14425</v>
      </c>
      <c r="D193" s="148"/>
      <c r="E193" s="35" t="s">
        <v>3577</v>
      </c>
      <c r="F193" s="198">
        <v>2.08</v>
      </c>
      <c r="G193" s="6"/>
      <c r="H193" s="5"/>
      <c r="O193" s="148"/>
    </row>
    <row r="194" spans="1:15" x14ac:dyDescent="0.2">
      <c r="A194" s="200">
        <v>44377</v>
      </c>
      <c r="B194" s="199" t="s">
        <v>14422</v>
      </c>
      <c r="C194" s="201" t="s">
        <v>14423</v>
      </c>
      <c r="D194" s="148"/>
      <c r="E194" s="35" t="s">
        <v>3577</v>
      </c>
      <c r="F194" s="198">
        <v>3.37</v>
      </c>
      <c r="G194" s="6"/>
      <c r="H194" s="5"/>
      <c r="O194" s="148"/>
    </row>
    <row r="195" spans="1:15" x14ac:dyDescent="0.2">
      <c r="A195" s="200">
        <v>44377</v>
      </c>
      <c r="B195" s="199" t="s">
        <v>14420</v>
      </c>
      <c r="C195" s="201" t="s">
        <v>14421</v>
      </c>
      <c r="D195" s="148"/>
      <c r="E195" s="35" t="s">
        <v>3577</v>
      </c>
      <c r="F195" s="198">
        <v>30.93</v>
      </c>
      <c r="G195" s="6"/>
      <c r="H195" s="5"/>
      <c r="O195" s="148"/>
    </row>
    <row r="196" spans="1:15" x14ac:dyDescent="0.2">
      <c r="A196" s="200">
        <v>44377</v>
      </c>
      <c r="B196" s="199" t="s">
        <v>14418</v>
      </c>
      <c r="C196" s="201" t="s">
        <v>14419</v>
      </c>
      <c r="D196" s="148"/>
      <c r="E196" s="35" t="s">
        <v>3577</v>
      </c>
      <c r="F196" s="198">
        <v>6.87</v>
      </c>
      <c r="G196" s="6"/>
      <c r="H196" s="5"/>
      <c r="O196" s="148"/>
    </row>
    <row r="197" spans="1:15" x14ac:dyDescent="0.2">
      <c r="A197" s="200">
        <v>44377</v>
      </c>
      <c r="B197" s="199" t="s">
        <v>14416</v>
      </c>
      <c r="C197" s="201" t="s">
        <v>14417</v>
      </c>
      <c r="D197" s="148"/>
      <c r="E197" s="35" t="s">
        <v>3577</v>
      </c>
      <c r="F197" s="198">
        <v>0.09</v>
      </c>
      <c r="G197" s="6"/>
      <c r="H197" s="5"/>
      <c r="O197" s="148"/>
    </row>
    <row r="198" spans="1:15" x14ac:dyDescent="0.2">
      <c r="A198" s="200">
        <v>44377</v>
      </c>
      <c r="B198" s="199" t="s">
        <v>14414</v>
      </c>
      <c r="C198" s="201" t="s">
        <v>14415</v>
      </c>
      <c r="D198" s="148"/>
      <c r="E198" s="35" t="s">
        <v>3577</v>
      </c>
      <c r="F198" s="198">
        <v>14.75</v>
      </c>
      <c r="G198" s="6"/>
      <c r="H198" s="5"/>
      <c r="O198" s="148"/>
    </row>
    <row r="199" spans="1:15" x14ac:dyDescent="0.2">
      <c r="A199" s="200">
        <v>44377</v>
      </c>
      <c r="B199" s="199" t="s">
        <v>14412</v>
      </c>
      <c r="C199" s="201" t="s">
        <v>14413</v>
      </c>
      <c r="D199" s="148"/>
      <c r="E199" s="35" t="s">
        <v>3577</v>
      </c>
      <c r="F199" s="198">
        <v>14.63</v>
      </c>
      <c r="G199" s="6"/>
      <c r="H199" s="5"/>
      <c r="O199" s="148"/>
    </row>
    <row r="200" spans="1:15" x14ac:dyDescent="0.2">
      <c r="A200" s="200">
        <v>44377</v>
      </c>
      <c r="B200" s="199" t="s">
        <v>14410</v>
      </c>
      <c r="C200" s="201" t="s">
        <v>14411</v>
      </c>
      <c r="D200" s="148"/>
      <c r="E200" s="35" t="s">
        <v>3577</v>
      </c>
      <c r="F200" s="198">
        <v>5.04</v>
      </c>
      <c r="G200" s="6"/>
      <c r="H200" s="5"/>
      <c r="O200" s="148"/>
    </row>
    <row r="201" spans="1:15" x14ac:dyDescent="0.2">
      <c r="A201" s="200">
        <v>44377</v>
      </c>
      <c r="B201" s="199" t="s">
        <v>14408</v>
      </c>
      <c r="C201" s="201" t="s">
        <v>14409</v>
      </c>
      <c r="D201" s="148"/>
      <c r="E201" s="35" t="s">
        <v>3577</v>
      </c>
      <c r="F201" s="198">
        <v>1.68</v>
      </c>
      <c r="G201" s="6"/>
      <c r="H201" s="5"/>
      <c r="O201" s="148"/>
    </row>
    <row r="202" spans="1:15" x14ac:dyDescent="0.2">
      <c r="A202" s="200">
        <v>44377</v>
      </c>
      <c r="B202" s="199" t="s">
        <v>14406</v>
      </c>
      <c r="C202" s="201" t="s">
        <v>14407</v>
      </c>
      <c r="D202" s="148"/>
      <c r="E202" s="35" t="s">
        <v>3577</v>
      </c>
      <c r="F202" s="198">
        <v>1.9</v>
      </c>
      <c r="G202" s="6"/>
      <c r="H202" s="5"/>
      <c r="O202" s="148"/>
    </row>
    <row r="203" spans="1:15" x14ac:dyDescent="0.2">
      <c r="A203" s="200">
        <v>44377</v>
      </c>
      <c r="B203" s="199" t="s">
        <v>14404</v>
      </c>
      <c r="C203" s="201" t="s">
        <v>14405</v>
      </c>
      <c r="D203" s="148"/>
      <c r="E203" s="35" t="s">
        <v>3577</v>
      </c>
      <c r="F203" s="198">
        <v>5.4</v>
      </c>
      <c r="G203" s="6"/>
      <c r="H203" s="5"/>
      <c r="O203" s="148"/>
    </row>
    <row r="204" spans="1:15" x14ac:dyDescent="0.2">
      <c r="A204" s="200">
        <v>44377</v>
      </c>
      <c r="B204" s="199" t="s">
        <v>14402</v>
      </c>
      <c r="C204" s="201" t="s">
        <v>14403</v>
      </c>
      <c r="D204" s="148"/>
      <c r="E204" s="35" t="s">
        <v>3577</v>
      </c>
      <c r="F204" s="198">
        <v>8.0500000000000007</v>
      </c>
      <c r="G204" s="6"/>
      <c r="H204" s="5"/>
      <c r="O204" s="148"/>
    </row>
    <row r="205" spans="1:15" x14ac:dyDescent="0.2">
      <c r="A205" s="200">
        <v>44377</v>
      </c>
      <c r="B205" s="199" t="s">
        <v>14400</v>
      </c>
      <c r="C205" s="201" t="s">
        <v>14401</v>
      </c>
      <c r="D205" s="148"/>
      <c r="E205" s="35" t="s">
        <v>3577</v>
      </c>
      <c r="F205" s="198">
        <v>5.86</v>
      </c>
      <c r="G205" s="6"/>
      <c r="H205" s="5"/>
      <c r="O205" s="148"/>
    </row>
    <row r="206" spans="1:15" x14ac:dyDescent="0.2">
      <c r="A206" s="200">
        <v>44377</v>
      </c>
      <c r="B206" s="199" t="s">
        <v>14398</v>
      </c>
      <c r="C206" s="201" t="s">
        <v>14399</v>
      </c>
      <c r="D206" s="148"/>
      <c r="E206" s="35" t="s">
        <v>3577</v>
      </c>
      <c r="F206" s="198">
        <v>2.7</v>
      </c>
      <c r="G206" s="6"/>
      <c r="H206" s="5"/>
      <c r="O206" s="148"/>
    </row>
    <row r="207" spans="1:15" x14ac:dyDescent="0.2">
      <c r="A207" s="200">
        <v>44377</v>
      </c>
      <c r="B207" s="199" t="s">
        <v>14394</v>
      </c>
      <c r="C207" s="201" t="s">
        <v>14395</v>
      </c>
      <c r="D207" s="148"/>
      <c r="E207" s="35" t="s">
        <v>3577</v>
      </c>
      <c r="F207" s="198">
        <v>5.03</v>
      </c>
      <c r="G207" s="6"/>
      <c r="H207" s="5"/>
      <c r="O207" s="148"/>
    </row>
    <row r="208" spans="1:15" x14ac:dyDescent="0.2">
      <c r="A208" s="200">
        <v>44377</v>
      </c>
      <c r="B208" s="199" t="s">
        <v>14392</v>
      </c>
      <c r="C208" s="201" t="s">
        <v>14393</v>
      </c>
      <c r="D208" s="148"/>
      <c r="E208" s="35" t="s">
        <v>3577</v>
      </c>
      <c r="F208" s="198">
        <v>14.76</v>
      </c>
      <c r="G208" s="6"/>
      <c r="H208" s="5"/>
      <c r="O208" s="148"/>
    </row>
    <row r="209" spans="1:15" x14ac:dyDescent="0.2">
      <c r="A209" s="200">
        <v>44377</v>
      </c>
      <c r="B209" s="199" t="s">
        <v>14390</v>
      </c>
      <c r="C209" s="201" t="s">
        <v>14391</v>
      </c>
      <c r="D209" s="148"/>
      <c r="E209" s="35" t="s">
        <v>3577</v>
      </c>
      <c r="F209" s="198">
        <v>3.36</v>
      </c>
      <c r="G209" s="6"/>
      <c r="H209" s="5"/>
      <c r="O209" s="148"/>
    </row>
    <row r="210" spans="1:15" x14ac:dyDescent="0.2">
      <c r="A210" s="200">
        <v>44377</v>
      </c>
      <c r="B210" s="199" t="s">
        <v>14388</v>
      </c>
      <c r="C210" s="201" t="s">
        <v>14389</v>
      </c>
      <c r="D210" s="148"/>
      <c r="E210" s="35" t="s">
        <v>3577</v>
      </c>
      <c r="F210" s="198">
        <v>8.3800000000000008</v>
      </c>
      <c r="G210" s="6"/>
      <c r="H210" s="5"/>
      <c r="O210" s="148"/>
    </row>
    <row r="211" spans="1:15" x14ac:dyDescent="0.2">
      <c r="A211" s="200">
        <v>44377</v>
      </c>
      <c r="B211" s="199" t="s">
        <v>14386</v>
      </c>
      <c r="C211" s="201" t="s">
        <v>14387</v>
      </c>
      <c r="D211" s="148"/>
      <c r="E211" s="35" t="s">
        <v>3577</v>
      </c>
      <c r="F211" s="198">
        <v>3.88</v>
      </c>
      <c r="G211" s="6"/>
      <c r="H211" s="5"/>
      <c r="O211" s="148"/>
    </row>
    <row r="212" spans="1:15" x14ac:dyDescent="0.2">
      <c r="A212" s="200">
        <v>44377</v>
      </c>
      <c r="B212" s="199" t="s">
        <v>14384</v>
      </c>
      <c r="C212" s="201" t="s">
        <v>14385</v>
      </c>
      <c r="D212" s="148"/>
      <c r="E212" s="35" t="s">
        <v>3577</v>
      </c>
      <c r="F212" s="198">
        <v>2.54</v>
      </c>
      <c r="G212" s="6"/>
      <c r="H212" s="5"/>
      <c r="O212" s="148"/>
    </row>
    <row r="213" spans="1:15" x14ac:dyDescent="0.2">
      <c r="A213" s="200">
        <v>44377</v>
      </c>
      <c r="B213" s="199" t="s">
        <v>14382</v>
      </c>
      <c r="C213" s="201" t="s">
        <v>14383</v>
      </c>
      <c r="D213" s="148"/>
      <c r="E213" s="35" t="s">
        <v>3577</v>
      </c>
      <c r="F213" s="198">
        <v>3.65</v>
      </c>
      <c r="G213" s="6"/>
      <c r="H213" s="5"/>
      <c r="O213" s="148"/>
    </row>
    <row r="214" spans="1:15" x14ac:dyDescent="0.2">
      <c r="A214" s="200">
        <v>44377</v>
      </c>
      <c r="B214" s="199" t="s">
        <v>14380</v>
      </c>
      <c r="C214" s="201" t="s">
        <v>14381</v>
      </c>
      <c r="D214" s="148"/>
      <c r="E214" s="35" t="s">
        <v>3577</v>
      </c>
      <c r="F214" s="198">
        <v>4.46</v>
      </c>
      <c r="G214" s="6"/>
      <c r="H214" s="5"/>
      <c r="O214" s="148"/>
    </row>
    <row r="215" spans="1:15" x14ac:dyDescent="0.2">
      <c r="A215" s="200">
        <v>44377</v>
      </c>
      <c r="B215" s="199" t="s">
        <v>14378</v>
      </c>
      <c r="C215" s="201" t="s">
        <v>14379</v>
      </c>
      <c r="D215" s="148"/>
      <c r="E215" s="35" t="s">
        <v>3577</v>
      </c>
      <c r="F215" s="198">
        <v>2.4</v>
      </c>
      <c r="G215" s="6"/>
      <c r="H215" s="5"/>
      <c r="O215" s="148"/>
    </row>
    <row r="216" spans="1:15" x14ac:dyDescent="0.2">
      <c r="A216" s="200">
        <v>44377</v>
      </c>
      <c r="B216" s="199" t="s">
        <v>14376</v>
      </c>
      <c r="C216" s="201" t="s">
        <v>14377</v>
      </c>
      <c r="D216" s="148"/>
      <c r="E216" s="35" t="s">
        <v>3577</v>
      </c>
      <c r="F216" s="198">
        <v>15.6</v>
      </c>
      <c r="G216" s="6"/>
      <c r="H216" s="5"/>
      <c r="O216" s="148"/>
    </row>
    <row r="217" spans="1:15" x14ac:dyDescent="0.2">
      <c r="A217" s="200">
        <v>44377</v>
      </c>
      <c r="B217" s="199" t="s">
        <v>14374</v>
      </c>
      <c r="C217" s="201" t="s">
        <v>14375</v>
      </c>
      <c r="D217" s="148"/>
      <c r="E217" s="35" t="s">
        <v>3577</v>
      </c>
      <c r="F217" s="198">
        <v>3.36</v>
      </c>
      <c r="G217" s="6"/>
      <c r="H217" s="5"/>
      <c r="O217" s="148"/>
    </row>
    <row r="218" spans="1:15" x14ac:dyDescent="0.2">
      <c r="A218" s="200">
        <v>44377</v>
      </c>
      <c r="B218" s="199" t="s">
        <v>14372</v>
      </c>
      <c r="C218" s="201" t="s">
        <v>14373</v>
      </c>
      <c r="D218" s="148"/>
      <c r="E218" s="35" t="s">
        <v>3577</v>
      </c>
      <c r="F218" s="198">
        <v>2.9</v>
      </c>
      <c r="G218" s="6"/>
      <c r="H218" s="5"/>
      <c r="O218" s="148"/>
    </row>
    <row r="219" spans="1:15" x14ac:dyDescent="0.2">
      <c r="A219" s="200">
        <v>44377</v>
      </c>
      <c r="B219" s="199" t="s">
        <v>14370</v>
      </c>
      <c r="C219" s="201" t="s">
        <v>14371</v>
      </c>
      <c r="D219" s="148"/>
      <c r="E219" s="35" t="s">
        <v>3577</v>
      </c>
      <c r="F219" s="198">
        <v>4.59</v>
      </c>
      <c r="G219" s="6"/>
      <c r="H219" s="5"/>
      <c r="O219" s="148"/>
    </row>
    <row r="220" spans="1:15" x14ac:dyDescent="0.2">
      <c r="A220" s="200">
        <v>44377</v>
      </c>
      <c r="B220" s="199" t="s">
        <v>14344</v>
      </c>
      <c r="C220" s="201" t="s">
        <v>14345</v>
      </c>
      <c r="D220" s="148"/>
      <c r="E220" s="35" t="s">
        <v>3577</v>
      </c>
      <c r="F220" s="279">
        <v>2.63</v>
      </c>
      <c r="G220" s="6"/>
      <c r="H220" s="5"/>
      <c r="O220" s="148"/>
    </row>
    <row r="221" spans="1:15" x14ac:dyDescent="0.2">
      <c r="A221" s="200"/>
      <c r="B221" s="199"/>
      <c r="C221" s="217"/>
      <c r="D221" s="165"/>
      <c r="E221" s="54"/>
      <c r="F221" s="202"/>
      <c r="G221" s="42"/>
      <c r="H221" s="82">
        <f>SUM(F48:F220)</f>
        <v>1008.6999999999998</v>
      </c>
      <c r="O221" s="148"/>
    </row>
    <row r="222" spans="1:15" x14ac:dyDescent="0.2">
      <c r="A222" s="42"/>
      <c r="B222" s="57"/>
      <c r="C222" s="78"/>
      <c r="D222" s="167"/>
      <c r="E222" s="42"/>
      <c r="F222" s="51"/>
      <c r="G222" s="42"/>
      <c r="H222" s="36"/>
      <c r="O222" s="148"/>
    </row>
    <row r="223" spans="1:15" ht="15.75" thickBot="1" x14ac:dyDescent="0.25">
      <c r="A223" s="64"/>
      <c r="B223" s="65" t="s">
        <v>16674</v>
      </c>
      <c r="C223" s="79"/>
      <c r="D223" s="168"/>
      <c r="E223" s="64"/>
      <c r="F223" s="71"/>
      <c r="G223" s="66" t="s">
        <v>3</v>
      </c>
      <c r="H223" s="81">
        <f>+H13-H20-H40+H44+H221</f>
        <v>82430.11</v>
      </c>
      <c r="O223" s="148"/>
    </row>
    <row r="224" spans="1:15" ht="13.5" thickTop="1" x14ac:dyDescent="0.2">
      <c r="A224" s="42"/>
      <c r="B224" s="57"/>
      <c r="C224" s="78"/>
      <c r="D224" s="167"/>
      <c r="E224" s="42"/>
      <c r="F224" s="51"/>
      <c r="G224" s="42"/>
      <c r="H224" s="36"/>
      <c r="O224" s="148"/>
    </row>
    <row r="225" spans="1:15" x14ac:dyDescent="0.2">
      <c r="A225" s="42"/>
      <c r="B225" s="57"/>
      <c r="C225" s="78"/>
      <c r="D225" s="167"/>
      <c r="E225" s="42"/>
      <c r="F225" s="51"/>
      <c r="G225" s="42"/>
      <c r="H225" s="37"/>
      <c r="O225" s="148"/>
    </row>
    <row r="226" spans="1:15" x14ac:dyDescent="0.2">
      <c r="A226" s="42"/>
      <c r="B226" s="57"/>
      <c r="C226" s="78"/>
      <c r="D226" s="167"/>
      <c r="E226" s="42"/>
      <c r="F226" s="42"/>
      <c r="G226" s="42"/>
      <c r="H226" s="37"/>
      <c r="O226" s="148"/>
    </row>
    <row r="227" spans="1:15" x14ac:dyDescent="0.2">
      <c r="A227" s="42"/>
      <c r="B227" s="57"/>
      <c r="C227" s="80"/>
      <c r="D227" s="169"/>
      <c r="E227" s="42"/>
      <c r="F227" s="69"/>
      <c r="G227" s="42"/>
      <c r="H227" s="36"/>
      <c r="O227" s="148"/>
    </row>
    <row r="228" spans="1:15" x14ac:dyDescent="0.2">
      <c r="A228" s="42"/>
      <c r="B228" s="57"/>
      <c r="C228" s="293" t="s">
        <v>15</v>
      </c>
      <c r="D228" s="293"/>
      <c r="E228" s="42"/>
      <c r="F228" s="293" t="s">
        <v>16</v>
      </c>
      <c r="G228" s="293"/>
      <c r="H228" s="36"/>
      <c r="O228" s="148"/>
    </row>
    <row r="229" spans="1:15" x14ac:dyDescent="0.2">
      <c r="A229" s="42"/>
      <c r="B229" s="57"/>
      <c r="C229" s="78"/>
      <c r="D229" s="167"/>
      <c r="E229" s="42"/>
      <c r="F229" s="42"/>
      <c r="G229" s="42"/>
      <c r="H229" s="37"/>
      <c r="O229" s="148"/>
    </row>
    <row r="230" spans="1:15" x14ac:dyDescent="0.2">
      <c r="A230" s="6"/>
      <c r="B230" s="5"/>
      <c r="C230" s="73"/>
      <c r="D230" s="161"/>
      <c r="E230" s="32"/>
      <c r="F230" s="72"/>
      <c r="G230" s="33"/>
      <c r="H230" s="5"/>
      <c r="O230" s="148"/>
    </row>
    <row r="231" spans="1:15" x14ac:dyDescent="0.2">
      <c r="O231" s="148"/>
    </row>
    <row r="232" spans="1:15" x14ac:dyDescent="0.2">
      <c r="O232" s="148"/>
    </row>
    <row r="233" spans="1:15" x14ac:dyDescent="0.2">
      <c r="O233" s="148"/>
    </row>
    <row r="234" spans="1:15" x14ac:dyDescent="0.2">
      <c r="O234" s="148"/>
    </row>
    <row r="235" spans="1:15" x14ac:dyDescent="0.2">
      <c r="O235" s="148"/>
    </row>
    <row r="236" spans="1:15" x14ac:dyDescent="0.2">
      <c r="O236" s="148"/>
    </row>
    <row r="237" spans="1:15" x14ac:dyDescent="0.2">
      <c r="O237" s="148"/>
    </row>
    <row r="238" spans="1:15" x14ac:dyDescent="0.2">
      <c r="O238" s="148"/>
    </row>
    <row r="239" spans="1:15" x14ac:dyDescent="0.2">
      <c r="O239" s="148"/>
    </row>
    <row r="240" spans="1:15" x14ac:dyDescent="0.2">
      <c r="O240" s="148"/>
    </row>
    <row r="241" spans="15:15" x14ac:dyDescent="0.2">
      <c r="O241" s="148"/>
    </row>
    <row r="242" spans="15:15" x14ac:dyDescent="0.2">
      <c r="O242" s="148"/>
    </row>
    <row r="243" spans="15:15" x14ac:dyDescent="0.2">
      <c r="O243" s="148"/>
    </row>
    <row r="244" spans="15:15" x14ac:dyDescent="0.2">
      <c r="O244" s="148"/>
    </row>
    <row r="245" spans="15:15" x14ac:dyDescent="0.2">
      <c r="O245" s="148"/>
    </row>
    <row r="246" spans="15:15" x14ac:dyDescent="0.2">
      <c r="O246" s="148"/>
    </row>
    <row r="247" spans="15:15" x14ac:dyDescent="0.2">
      <c r="O247" s="148"/>
    </row>
    <row r="248" spans="15:15" x14ac:dyDescent="0.2">
      <c r="O248" s="148"/>
    </row>
    <row r="249" spans="15:15" x14ac:dyDescent="0.2">
      <c r="O249" s="148"/>
    </row>
    <row r="250" spans="15:15" x14ac:dyDescent="0.2">
      <c r="O250" s="148"/>
    </row>
    <row r="251" spans="15:15" x14ac:dyDescent="0.2">
      <c r="O251" s="148"/>
    </row>
    <row r="252" spans="15:15" x14ac:dyDescent="0.2">
      <c r="O252" s="148"/>
    </row>
    <row r="253" spans="15:15" x14ac:dyDescent="0.2">
      <c r="O253" s="148"/>
    </row>
    <row r="254" spans="15:15" x14ac:dyDescent="0.2">
      <c r="O254" s="148"/>
    </row>
    <row r="255" spans="15:15" x14ac:dyDescent="0.2">
      <c r="O255" s="148"/>
    </row>
    <row r="256" spans="15:15" x14ac:dyDescent="0.2">
      <c r="O256" s="148"/>
    </row>
    <row r="257" spans="15:15" x14ac:dyDescent="0.2">
      <c r="O257" s="148"/>
    </row>
    <row r="258" spans="15:15" x14ac:dyDescent="0.2">
      <c r="O258" s="148"/>
    </row>
    <row r="259" spans="15:15" x14ac:dyDescent="0.2">
      <c r="O259" s="148"/>
    </row>
    <row r="260" spans="15:15" x14ac:dyDescent="0.2">
      <c r="O260" s="148"/>
    </row>
    <row r="261" spans="15:15" x14ac:dyDescent="0.2">
      <c r="O261" s="148"/>
    </row>
    <row r="262" spans="15:15" x14ac:dyDescent="0.2">
      <c r="O262" s="148"/>
    </row>
    <row r="263" spans="15:15" x14ac:dyDescent="0.2">
      <c r="O263" s="148"/>
    </row>
    <row r="264" spans="15:15" x14ac:dyDescent="0.2">
      <c r="O264" s="148"/>
    </row>
  </sheetData>
  <mergeCells count="5">
    <mergeCell ref="B11:E11"/>
    <mergeCell ref="B16:E16"/>
    <mergeCell ref="B23:D23"/>
    <mergeCell ref="C228:D228"/>
    <mergeCell ref="F228:G228"/>
  </mergeCells>
  <phoneticPr fontId="27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4E6AF-3704-4D57-91D3-1B062BA127A3}">
  <dimension ref="A2:K845"/>
  <sheetViews>
    <sheetView topLeftCell="A823" workbookViewId="0">
      <selection activeCell="D23" sqref="D23"/>
    </sheetView>
  </sheetViews>
  <sheetFormatPr baseColWidth="10" defaultRowHeight="12.75" x14ac:dyDescent="0.2"/>
  <cols>
    <col min="1" max="16384" width="11.42578125" style="22"/>
  </cols>
  <sheetData>
    <row r="2" spans="1:11" ht="19.5" x14ac:dyDescent="0.2">
      <c r="F2" s="95" t="s">
        <v>541</v>
      </c>
      <c r="J2" s="197" t="s">
        <v>540</v>
      </c>
      <c r="K2" s="207">
        <v>1</v>
      </c>
    </row>
    <row r="3" spans="1:11" x14ac:dyDescent="0.2">
      <c r="J3" s="197" t="s">
        <v>539</v>
      </c>
      <c r="K3" s="206">
        <v>44462</v>
      </c>
    </row>
    <row r="5" spans="1:11" x14ac:dyDescent="0.2">
      <c r="E5" s="94" t="s">
        <v>538</v>
      </c>
      <c r="F5" s="92" t="s">
        <v>18277</v>
      </c>
      <c r="G5" s="94" t="s">
        <v>537</v>
      </c>
      <c r="H5" s="92" t="s">
        <v>18277</v>
      </c>
      <c r="J5" s="267">
        <v>0.86707175925925928</v>
      </c>
    </row>
    <row r="7" spans="1:11" x14ac:dyDescent="0.2">
      <c r="J7" s="197" t="s">
        <v>536</v>
      </c>
      <c r="K7" s="201" t="s">
        <v>1579</v>
      </c>
    </row>
    <row r="8" spans="1:11" x14ac:dyDescent="0.2">
      <c r="C8" s="93" t="s">
        <v>535</v>
      </c>
      <c r="D8" s="92" t="s">
        <v>534</v>
      </c>
      <c r="F8" s="93" t="s">
        <v>533</v>
      </c>
      <c r="G8" s="92" t="s">
        <v>531</v>
      </c>
      <c r="I8" s="93" t="s">
        <v>532</v>
      </c>
      <c r="J8" s="92" t="s">
        <v>531</v>
      </c>
    </row>
    <row r="11" spans="1:11" x14ac:dyDescent="0.2">
      <c r="A11" s="205" t="s">
        <v>530</v>
      </c>
      <c r="C11" s="204" t="s">
        <v>529</v>
      </c>
      <c r="D11" s="204" t="s">
        <v>528</v>
      </c>
      <c r="F11" s="203" t="s">
        <v>527</v>
      </c>
      <c r="I11" s="197" t="s">
        <v>21</v>
      </c>
      <c r="J11" s="197" t="s">
        <v>20</v>
      </c>
      <c r="K11" s="197" t="s">
        <v>526</v>
      </c>
    </row>
    <row r="14" spans="1:11" x14ac:dyDescent="0.2">
      <c r="A14" s="205" t="s">
        <v>525</v>
      </c>
      <c r="B14" s="199" t="s">
        <v>524</v>
      </c>
    </row>
    <row r="16" spans="1:11" x14ac:dyDescent="0.2">
      <c r="A16" s="204" t="s">
        <v>523</v>
      </c>
      <c r="B16" s="201" t="s">
        <v>522</v>
      </c>
      <c r="J16" s="197" t="s">
        <v>22</v>
      </c>
      <c r="K16" s="198">
        <v>82430.11</v>
      </c>
    </row>
    <row r="18" spans="3:11" x14ac:dyDescent="0.2">
      <c r="C18" s="201" t="s">
        <v>18276</v>
      </c>
      <c r="D18" s="200">
        <v>44378</v>
      </c>
      <c r="E18" s="199" t="s">
        <v>8941</v>
      </c>
      <c r="I18" s="198">
        <v>3.15</v>
      </c>
      <c r="K18" s="198">
        <v>82433.259999999995</v>
      </c>
    </row>
    <row r="19" spans="3:11" x14ac:dyDescent="0.2">
      <c r="C19" s="201" t="s">
        <v>18275</v>
      </c>
      <c r="D19" s="200">
        <v>44378</v>
      </c>
      <c r="E19" s="199" t="s">
        <v>18274</v>
      </c>
      <c r="J19" s="222">
        <v>1102.33</v>
      </c>
      <c r="K19" s="198">
        <v>81330.929999999993</v>
      </c>
    </row>
    <row r="20" spans="3:11" x14ac:dyDescent="0.2">
      <c r="C20" s="201" t="s">
        <v>18273</v>
      </c>
      <c r="D20" s="200">
        <v>44378</v>
      </c>
      <c r="E20" s="199" t="s">
        <v>18272</v>
      </c>
      <c r="I20" s="198">
        <v>39.93</v>
      </c>
      <c r="K20" s="198">
        <v>81370.86</v>
      </c>
    </row>
    <row r="21" spans="3:11" x14ac:dyDescent="0.2">
      <c r="C21" s="201" t="s">
        <v>18271</v>
      </c>
      <c r="D21" s="200">
        <v>44378</v>
      </c>
      <c r="E21" s="199" t="s">
        <v>18270</v>
      </c>
      <c r="I21" s="198">
        <v>3.46</v>
      </c>
      <c r="K21" s="198">
        <v>81374.320000000007</v>
      </c>
    </row>
    <row r="22" spans="3:11" x14ac:dyDescent="0.2">
      <c r="C22" s="201" t="s">
        <v>18269</v>
      </c>
      <c r="D22" s="200">
        <v>44378</v>
      </c>
      <c r="E22" s="199" t="s">
        <v>18268</v>
      </c>
      <c r="I22" s="198">
        <v>16.760000000000002</v>
      </c>
      <c r="K22" s="198">
        <v>81391.08</v>
      </c>
    </row>
    <row r="23" spans="3:11" x14ac:dyDescent="0.2">
      <c r="C23" s="201" t="s">
        <v>18267</v>
      </c>
      <c r="D23" s="200">
        <v>44378</v>
      </c>
      <c r="E23" s="199" t="s">
        <v>18266</v>
      </c>
      <c r="I23" s="198">
        <v>13.88</v>
      </c>
      <c r="K23" s="198">
        <v>81404.960000000006</v>
      </c>
    </row>
    <row r="24" spans="3:11" x14ac:dyDescent="0.2">
      <c r="C24" s="201" t="s">
        <v>18265</v>
      </c>
      <c r="D24" s="200">
        <v>44378</v>
      </c>
      <c r="E24" s="199" t="s">
        <v>18264</v>
      </c>
      <c r="I24" s="198">
        <v>2.4</v>
      </c>
      <c r="K24" s="198">
        <v>81407.360000000001</v>
      </c>
    </row>
    <row r="25" spans="3:11" x14ac:dyDescent="0.2">
      <c r="C25" s="201" t="s">
        <v>18263</v>
      </c>
      <c r="D25" s="200">
        <v>44378</v>
      </c>
      <c r="E25" s="199" t="s">
        <v>18262</v>
      </c>
      <c r="I25" s="198">
        <v>8.3800000000000008</v>
      </c>
      <c r="K25" s="198">
        <v>81415.740000000005</v>
      </c>
    </row>
    <row r="26" spans="3:11" x14ac:dyDescent="0.2">
      <c r="C26" s="201" t="s">
        <v>18261</v>
      </c>
      <c r="D26" s="200">
        <v>44378</v>
      </c>
      <c r="E26" s="199" t="s">
        <v>18260</v>
      </c>
      <c r="I26" s="198">
        <v>1.93</v>
      </c>
      <c r="K26" s="198">
        <v>81417.67</v>
      </c>
    </row>
    <row r="27" spans="3:11" x14ac:dyDescent="0.2">
      <c r="C27" s="201" t="s">
        <v>18259</v>
      </c>
      <c r="D27" s="200">
        <v>44378</v>
      </c>
      <c r="E27" s="199" t="s">
        <v>18258</v>
      </c>
      <c r="I27" s="198">
        <v>3.37</v>
      </c>
      <c r="K27" s="198">
        <v>81421.039999999994</v>
      </c>
    </row>
    <row r="28" spans="3:11" x14ac:dyDescent="0.2">
      <c r="C28" s="201" t="s">
        <v>18257</v>
      </c>
      <c r="D28" s="200">
        <v>44378</v>
      </c>
      <c r="E28" s="199" t="s">
        <v>18256</v>
      </c>
      <c r="I28" s="198">
        <v>2.37</v>
      </c>
      <c r="K28" s="198">
        <v>81423.41</v>
      </c>
    </row>
    <row r="29" spans="3:11" x14ac:dyDescent="0.2">
      <c r="C29" s="201" t="s">
        <v>18255</v>
      </c>
      <c r="D29" s="200">
        <v>44378</v>
      </c>
      <c r="E29" s="199" t="s">
        <v>18254</v>
      </c>
      <c r="I29" s="198">
        <v>17.899999999999999</v>
      </c>
      <c r="K29" s="198">
        <v>81441.31</v>
      </c>
    </row>
    <row r="30" spans="3:11" x14ac:dyDescent="0.2">
      <c r="C30" s="201" t="s">
        <v>18253</v>
      </c>
      <c r="D30" s="200">
        <v>44378</v>
      </c>
      <c r="E30" s="199" t="s">
        <v>18252</v>
      </c>
      <c r="I30" s="198">
        <v>45.67</v>
      </c>
      <c r="K30" s="198">
        <v>81486.98</v>
      </c>
    </row>
    <row r="31" spans="3:11" x14ac:dyDescent="0.2">
      <c r="C31" s="201" t="s">
        <v>18251</v>
      </c>
      <c r="D31" s="200">
        <v>44378</v>
      </c>
      <c r="E31" s="199" t="s">
        <v>18250</v>
      </c>
      <c r="I31" s="198">
        <v>10.27</v>
      </c>
      <c r="K31" s="198">
        <v>81497.25</v>
      </c>
    </row>
    <row r="32" spans="3:11" x14ac:dyDescent="0.2">
      <c r="C32" s="201" t="s">
        <v>18249</v>
      </c>
      <c r="D32" s="200">
        <v>44378</v>
      </c>
      <c r="E32" s="199" t="s">
        <v>18248</v>
      </c>
      <c r="I32" s="198">
        <v>1.94</v>
      </c>
      <c r="K32" s="198">
        <v>81499.19</v>
      </c>
    </row>
    <row r="33" spans="3:11" x14ac:dyDescent="0.2">
      <c r="C33" s="201" t="s">
        <v>18247</v>
      </c>
      <c r="D33" s="200">
        <v>44378</v>
      </c>
      <c r="E33" s="199" t="s">
        <v>18246</v>
      </c>
      <c r="I33" s="198">
        <v>1.81</v>
      </c>
      <c r="K33" s="198">
        <v>81501</v>
      </c>
    </row>
    <row r="34" spans="3:11" x14ac:dyDescent="0.2">
      <c r="C34" s="201" t="s">
        <v>18245</v>
      </c>
      <c r="D34" s="200">
        <v>44378</v>
      </c>
      <c r="E34" s="199" t="s">
        <v>18244</v>
      </c>
      <c r="I34" s="198">
        <v>0.44</v>
      </c>
      <c r="K34" s="198">
        <v>81501.440000000002</v>
      </c>
    </row>
    <row r="35" spans="3:11" x14ac:dyDescent="0.2">
      <c r="C35" s="201" t="s">
        <v>18243</v>
      </c>
      <c r="D35" s="200">
        <v>44378</v>
      </c>
      <c r="E35" s="199" t="s">
        <v>18242</v>
      </c>
      <c r="I35" s="198">
        <v>4.45</v>
      </c>
      <c r="K35" s="198">
        <v>81505.89</v>
      </c>
    </row>
    <row r="36" spans="3:11" x14ac:dyDescent="0.2">
      <c r="C36" s="201" t="s">
        <v>18241</v>
      </c>
      <c r="D36" s="200">
        <v>44378</v>
      </c>
      <c r="E36" s="199" t="s">
        <v>18240</v>
      </c>
      <c r="I36" s="198">
        <v>3.08</v>
      </c>
      <c r="K36" s="198">
        <v>81508.97</v>
      </c>
    </row>
    <row r="37" spans="3:11" x14ac:dyDescent="0.2">
      <c r="C37" s="201" t="s">
        <v>18239</v>
      </c>
      <c r="D37" s="200">
        <v>44378</v>
      </c>
      <c r="E37" s="199" t="s">
        <v>18238</v>
      </c>
      <c r="I37" s="198">
        <v>7.12</v>
      </c>
      <c r="K37" s="198">
        <v>81516.09</v>
      </c>
    </row>
    <row r="38" spans="3:11" x14ac:dyDescent="0.2">
      <c r="C38" s="201" t="s">
        <v>18237</v>
      </c>
      <c r="D38" s="200">
        <v>44378</v>
      </c>
      <c r="E38" s="199" t="s">
        <v>18236</v>
      </c>
      <c r="I38" s="198">
        <v>6.22</v>
      </c>
      <c r="K38" s="198">
        <v>81522.31</v>
      </c>
    </row>
    <row r="39" spans="3:11" x14ac:dyDescent="0.2">
      <c r="C39" s="201" t="s">
        <v>18235</v>
      </c>
      <c r="D39" s="200">
        <v>44378</v>
      </c>
      <c r="E39" s="199" t="s">
        <v>18234</v>
      </c>
      <c r="I39" s="198">
        <v>1.68</v>
      </c>
      <c r="K39" s="198">
        <v>81523.990000000005</v>
      </c>
    </row>
    <row r="40" spans="3:11" x14ac:dyDescent="0.2">
      <c r="C40" s="201" t="s">
        <v>18233</v>
      </c>
      <c r="D40" s="200">
        <v>44378</v>
      </c>
      <c r="E40" s="199" t="s">
        <v>18232</v>
      </c>
      <c r="I40" s="198">
        <v>0.41</v>
      </c>
      <c r="K40" s="198">
        <v>81524.399999999994</v>
      </c>
    </row>
    <row r="41" spans="3:11" x14ac:dyDescent="0.2">
      <c r="C41" s="201" t="s">
        <v>18231</v>
      </c>
      <c r="D41" s="200">
        <v>44378</v>
      </c>
      <c r="E41" s="199" t="s">
        <v>18230</v>
      </c>
      <c r="I41" s="198">
        <v>4.46</v>
      </c>
      <c r="K41" s="198">
        <v>81528.86</v>
      </c>
    </row>
    <row r="42" spans="3:11" x14ac:dyDescent="0.2">
      <c r="C42" s="201" t="s">
        <v>18229</v>
      </c>
      <c r="D42" s="200">
        <v>44378</v>
      </c>
      <c r="E42" s="199" t="s">
        <v>18228</v>
      </c>
      <c r="I42" s="198">
        <v>3.36</v>
      </c>
      <c r="K42" s="198">
        <v>81532.22</v>
      </c>
    </row>
    <row r="43" spans="3:11" x14ac:dyDescent="0.2">
      <c r="C43" s="201" t="s">
        <v>18227</v>
      </c>
      <c r="D43" s="200">
        <v>44378</v>
      </c>
      <c r="E43" s="199" t="s">
        <v>18226</v>
      </c>
      <c r="I43" s="198">
        <v>1.89</v>
      </c>
      <c r="K43" s="198">
        <v>81534.11</v>
      </c>
    </row>
    <row r="44" spans="3:11" x14ac:dyDescent="0.2">
      <c r="C44" s="201" t="s">
        <v>18225</v>
      </c>
      <c r="D44" s="200">
        <v>44378</v>
      </c>
      <c r="E44" s="199" t="s">
        <v>18224</v>
      </c>
      <c r="I44" s="198">
        <v>3.62</v>
      </c>
      <c r="K44" s="198">
        <v>81537.73</v>
      </c>
    </row>
    <row r="45" spans="3:11" x14ac:dyDescent="0.2">
      <c r="C45" s="201" t="s">
        <v>18223</v>
      </c>
      <c r="D45" s="200">
        <v>44378</v>
      </c>
      <c r="E45" s="199" t="s">
        <v>18222</v>
      </c>
      <c r="I45" s="198">
        <v>8.3800000000000008</v>
      </c>
      <c r="K45" s="198">
        <v>81546.11</v>
      </c>
    </row>
    <row r="46" spans="3:11" x14ac:dyDescent="0.2">
      <c r="C46" s="201" t="s">
        <v>18221</v>
      </c>
      <c r="D46" s="200">
        <v>44378</v>
      </c>
      <c r="E46" s="199" t="s">
        <v>18220</v>
      </c>
      <c r="I46" s="198">
        <v>24.58</v>
      </c>
      <c r="K46" s="198">
        <v>81570.69</v>
      </c>
    </row>
    <row r="47" spans="3:11" x14ac:dyDescent="0.2">
      <c r="C47" s="201" t="s">
        <v>18219</v>
      </c>
      <c r="D47" s="200">
        <v>44378</v>
      </c>
      <c r="E47" s="199" t="s">
        <v>18218</v>
      </c>
      <c r="I47" s="198">
        <v>6.16</v>
      </c>
      <c r="K47" s="198">
        <v>81576.850000000006</v>
      </c>
    </row>
    <row r="48" spans="3:11" x14ac:dyDescent="0.2">
      <c r="C48" s="201" t="s">
        <v>18217</v>
      </c>
      <c r="D48" s="200">
        <v>44378</v>
      </c>
      <c r="E48" s="199" t="s">
        <v>18216</v>
      </c>
      <c r="I48" s="198">
        <v>2.0699999999999998</v>
      </c>
      <c r="K48" s="198">
        <v>81578.92</v>
      </c>
    </row>
    <row r="49" spans="3:11" x14ac:dyDescent="0.2">
      <c r="C49" s="201" t="s">
        <v>18215</v>
      </c>
      <c r="D49" s="200">
        <v>44378</v>
      </c>
      <c r="E49" s="199" t="s">
        <v>18214</v>
      </c>
      <c r="I49" s="198">
        <v>3.36</v>
      </c>
      <c r="K49" s="198">
        <v>81582.28</v>
      </c>
    </row>
    <row r="50" spans="3:11" x14ac:dyDescent="0.2">
      <c r="C50" s="201" t="s">
        <v>18213</v>
      </c>
      <c r="D50" s="200">
        <v>44378</v>
      </c>
      <c r="E50" s="199" t="s">
        <v>18212</v>
      </c>
      <c r="I50" s="198">
        <v>3.9</v>
      </c>
      <c r="K50" s="198">
        <v>81586.179999999993</v>
      </c>
    </row>
    <row r="51" spans="3:11" x14ac:dyDescent="0.2">
      <c r="C51" s="201" t="s">
        <v>18211</v>
      </c>
      <c r="D51" s="200">
        <v>44378</v>
      </c>
      <c r="E51" s="199" t="s">
        <v>18210</v>
      </c>
      <c r="I51" s="198">
        <v>4.55</v>
      </c>
      <c r="K51" s="198">
        <v>81590.73</v>
      </c>
    </row>
    <row r="52" spans="3:11" x14ac:dyDescent="0.2">
      <c r="C52" s="201" t="s">
        <v>18209</v>
      </c>
      <c r="D52" s="200">
        <v>44378</v>
      </c>
      <c r="E52" s="199" t="s">
        <v>18208</v>
      </c>
      <c r="I52" s="198">
        <v>5.39</v>
      </c>
      <c r="K52" s="198">
        <v>81596.12</v>
      </c>
    </row>
    <row r="53" spans="3:11" x14ac:dyDescent="0.2">
      <c r="C53" s="201" t="s">
        <v>18207</v>
      </c>
      <c r="D53" s="200">
        <v>44378</v>
      </c>
      <c r="E53" s="199" t="s">
        <v>18206</v>
      </c>
      <c r="I53" s="198">
        <v>2.11</v>
      </c>
      <c r="K53" s="198">
        <v>81598.23</v>
      </c>
    </row>
    <row r="54" spans="3:11" x14ac:dyDescent="0.2">
      <c r="C54" s="201" t="s">
        <v>18205</v>
      </c>
      <c r="D54" s="200">
        <v>44378</v>
      </c>
      <c r="E54" s="199" t="s">
        <v>18204</v>
      </c>
      <c r="I54" s="198">
        <v>1.9</v>
      </c>
      <c r="K54" s="198">
        <v>81600.13</v>
      </c>
    </row>
    <row r="55" spans="3:11" x14ac:dyDescent="0.2">
      <c r="C55" s="201" t="s">
        <v>18203</v>
      </c>
      <c r="D55" s="200">
        <v>44378</v>
      </c>
      <c r="E55" s="199" t="s">
        <v>18202</v>
      </c>
      <c r="I55" s="198">
        <v>1</v>
      </c>
      <c r="K55" s="198">
        <v>81601.13</v>
      </c>
    </row>
    <row r="56" spans="3:11" x14ac:dyDescent="0.2">
      <c r="C56" s="201" t="s">
        <v>18201</v>
      </c>
      <c r="D56" s="200">
        <v>44378</v>
      </c>
      <c r="E56" s="199" t="s">
        <v>18200</v>
      </c>
      <c r="I56" s="198">
        <v>2.33</v>
      </c>
      <c r="K56" s="198">
        <v>81603.460000000006</v>
      </c>
    </row>
    <row r="57" spans="3:11" x14ac:dyDescent="0.2">
      <c r="C57" s="201" t="s">
        <v>18199</v>
      </c>
      <c r="D57" s="200">
        <v>44378</v>
      </c>
      <c r="E57" s="199" t="s">
        <v>18198</v>
      </c>
      <c r="I57" s="198">
        <v>12.42</v>
      </c>
      <c r="K57" s="198">
        <v>81615.88</v>
      </c>
    </row>
    <row r="58" spans="3:11" x14ac:dyDescent="0.2">
      <c r="C58" s="201" t="s">
        <v>18197</v>
      </c>
      <c r="D58" s="200">
        <v>44378</v>
      </c>
      <c r="E58" s="199" t="s">
        <v>18196</v>
      </c>
      <c r="I58" s="198">
        <v>1.68</v>
      </c>
      <c r="K58" s="198">
        <v>81617.56</v>
      </c>
    </row>
    <row r="59" spans="3:11" x14ac:dyDescent="0.2">
      <c r="C59" s="201" t="s">
        <v>18195</v>
      </c>
      <c r="D59" s="200">
        <v>44378</v>
      </c>
      <c r="E59" s="199" t="s">
        <v>18194</v>
      </c>
      <c r="I59" s="198">
        <v>2.14</v>
      </c>
      <c r="K59" s="198">
        <v>81619.7</v>
      </c>
    </row>
    <row r="60" spans="3:11" x14ac:dyDescent="0.2">
      <c r="C60" s="201" t="s">
        <v>18193</v>
      </c>
      <c r="D60" s="200">
        <v>44378</v>
      </c>
      <c r="E60" s="199" t="s">
        <v>18192</v>
      </c>
      <c r="I60" s="198">
        <v>2.4500000000000002</v>
      </c>
      <c r="K60" s="198">
        <v>81622.149999999994</v>
      </c>
    </row>
    <row r="61" spans="3:11" x14ac:dyDescent="0.2">
      <c r="C61" s="201" t="s">
        <v>18191</v>
      </c>
      <c r="D61" s="200">
        <v>44378</v>
      </c>
      <c r="E61" s="199" t="s">
        <v>18190</v>
      </c>
      <c r="I61" s="198">
        <v>4.37</v>
      </c>
      <c r="K61" s="198">
        <v>81626.52</v>
      </c>
    </row>
    <row r="62" spans="3:11" x14ac:dyDescent="0.2">
      <c r="C62" s="201" t="s">
        <v>18189</v>
      </c>
      <c r="D62" s="200">
        <v>44378</v>
      </c>
      <c r="E62" s="199" t="s">
        <v>18188</v>
      </c>
      <c r="I62" s="198">
        <v>16.760000000000002</v>
      </c>
      <c r="K62" s="198">
        <v>81643.28</v>
      </c>
    </row>
    <row r="63" spans="3:11" x14ac:dyDescent="0.2">
      <c r="C63" s="201" t="s">
        <v>18187</v>
      </c>
      <c r="D63" s="200">
        <v>44378</v>
      </c>
      <c r="E63" s="199" t="s">
        <v>18186</v>
      </c>
      <c r="I63" s="198">
        <v>1.79</v>
      </c>
      <c r="K63" s="198">
        <v>81645.070000000007</v>
      </c>
    </row>
    <row r="64" spans="3:11" x14ac:dyDescent="0.2">
      <c r="C64" s="201" t="s">
        <v>18185</v>
      </c>
      <c r="D64" s="200">
        <v>44378</v>
      </c>
      <c r="E64" s="199" t="s">
        <v>18184</v>
      </c>
      <c r="I64" s="198">
        <v>3.53</v>
      </c>
      <c r="K64" s="198">
        <v>81648.600000000006</v>
      </c>
    </row>
    <row r="65" spans="3:11" x14ac:dyDescent="0.2">
      <c r="C65" s="201" t="s">
        <v>18183</v>
      </c>
      <c r="D65" s="200">
        <v>44378</v>
      </c>
      <c r="E65" s="199" t="s">
        <v>18182</v>
      </c>
      <c r="I65" s="198">
        <v>0.67</v>
      </c>
      <c r="K65" s="198">
        <v>81649.27</v>
      </c>
    </row>
    <row r="66" spans="3:11" x14ac:dyDescent="0.2">
      <c r="C66" s="201" t="s">
        <v>18181</v>
      </c>
      <c r="D66" s="200">
        <v>44378</v>
      </c>
      <c r="E66" s="199" t="s">
        <v>18180</v>
      </c>
      <c r="I66" s="198">
        <v>3.36</v>
      </c>
      <c r="K66" s="198">
        <v>81652.63</v>
      </c>
    </row>
    <row r="67" spans="3:11" x14ac:dyDescent="0.2">
      <c r="C67" s="201" t="s">
        <v>18179</v>
      </c>
      <c r="D67" s="200">
        <v>44378</v>
      </c>
      <c r="E67" s="199" t="s">
        <v>18178</v>
      </c>
      <c r="I67" s="198">
        <v>3.7</v>
      </c>
      <c r="K67" s="198">
        <v>81656.33</v>
      </c>
    </row>
    <row r="68" spans="3:11" x14ac:dyDescent="0.2">
      <c r="C68" s="201" t="s">
        <v>18177</v>
      </c>
      <c r="D68" s="200">
        <v>44378</v>
      </c>
      <c r="E68" s="199" t="s">
        <v>18176</v>
      </c>
      <c r="I68" s="198">
        <v>6.48</v>
      </c>
      <c r="K68" s="198">
        <v>81662.81</v>
      </c>
    </row>
    <row r="69" spans="3:11" x14ac:dyDescent="0.2">
      <c r="C69" s="201" t="s">
        <v>18175</v>
      </c>
      <c r="D69" s="200">
        <v>44378</v>
      </c>
      <c r="E69" s="199" t="s">
        <v>18174</v>
      </c>
      <c r="I69" s="198">
        <v>5.45</v>
      </c>
      <c r="K69" s="198">
        <v>81668.259999999995</v>
      </c>
    </row>
    <row r="70" spans="3:11" x14ac:dyDescent="0.2">
      <c r="C70" s="201" t="s">
        <v>18173</v>
      </c>
      <c r="D70" s="200">
        <v>44378</v>
      </c>
      <c r="E70" s="199" t="s">
        <v>18172</v>
      </c>
      <c r="I70" s="198">
        <v>7.51</v>
      </c>
      <c r="K70" s="198">
        <v>81675.77</v>
      </c>
    </row>
    <row r="71" spans="3:11" x14ac:dyDescent="0.2">
      <c r="C71" s="201" t="s">
        <v>18171</v>
      </c>
      <c r="D71" s="200">
        <v>44378</v>
      </c>
      <c r="E71" s="199" t="s">
        <v>18170</v>
      </c>
      <c r="I71" s="198">
        <v>1.68</v>
      </c>
      <c r="K71" s="198">
        <v>81677.45</v>
      </c>
    </row>
    <row r="72" spans="3:11" x14ac:dyDescent="0.2">
      <c r="C72" s="201" t="s">
        <v>18169</v>
      </c>
      <c r="D72" s="200">
        <v>44378</v>
      </c>
      <c r="E72" s="199" t="s">
        <v>18168</v>
      </c>
      <c r="I72" s="198">
        <v>9.2100000000000009</v>
      </c>
      <c r="K72" s="198">
        <v>81686.66</v>
      </c>
    </row>
    <row r="73" spans="3:11" x14ac:dyDescent="0.2">
      <c r="C73" s="201" t="s">
        <v>18167</v>
      </c>
      <c r="D73" s="200">
        <v>44378</v>
      </c>
      <c r="E73" s="199" t="s">
        <v>18166</v>
      </c>
      <c r="I73" s="198">
        <v>1.84</v>
      </c>
      <c r="K73" s="198">
        <v>81688.5</v>
      </c>
    </row>
    <row r="74" spans="3:11" x14ac:dyDescent="0.2">
      <c r="C74" s="201" t="s">
        <v>18165</v>
      </c>
      <c r="D74" s="200">
        <v>44379</v>
      </c>
      <c r="E74" s="199" t="s">
        <v>18164</v>
      </c>
      <c r="I74" s="198">
        <v>5.8</v>
      </c>
      <c r="K74" s="198">
        <v>81694.3</v>
      </c>
    </row>
    <row r="75" spans="3:11" x14ac:dyDescent="0.2">
      <c r="C75" s="201" t="s">
        <v>18163</v>
      </c>
      <c r="D75" s="200">
        <v>44379</v>
      </c>
      <c r="E75" s="199" t="s">
        <v>18162</v>
      </c>
      <c r="I75" s="198">
        <v>2.63</v>
      </c>
      <c r="K75" s="198">
        <v>81696.929999999993</v>
      </c>
    </row>
    <row r="76" spans="3:11" x14ac:dyDescent="0.2">
      <c r="C76" s="201" t="s">
        <v>18161</v>
      </c>
      <c r="D76" s="200">
        <v>44379</v>
      </c>
      <c r="E76" s="199" t="s">
        <v>18160</v>
      </c>
      <c r="I76" s="198">
        <v>4.45</v>
      </c>
      <c r="K76" s="198">
        <v>81701.38</v>
      </c>
    </row>
    <row r="77" spans="3:11" x14ac:dyDescent="0.2">
      <c r="C77" s="201" t="s">
        <v>18159</v>
      </c>
      <c r="D77" s="200">
        <v>44379</v>
      </c>
      <c r="E77" s="199" t="s">
        <v>18158</v>
      </c>
      <c r="I77" s="198">
        <v>3.93</v>
      </c>
      <c r="K77" s="198">
        <v>81705.31</v>
      </c>
    </row>
    <row r="78" spans="3:11" x14ac:dyDescent="0.2">
      <c r="C78" s="201" t="s">
        <v>18157</v>
      </c>
      <c r="D78" s="200">
        <v>44379</v>
      </c>
      <c r="E78" s="199" t="s">
        <v>18156</v>
      </c>
      <c r="I78" s="198">
        <v>2.71</v>
      </c>
      <c r="K78" s="198">
        <v>81708.02</v>
      </c>
    </row>
    <row r="79" spans="3:11" x14ac:dyDescent="0.2">
      <c r="C79" s="201" t="s">
        <v>18155</v>
      </c>
      <c r="D79" s="200">
        <v>44379</v>
      </c>
      <c r="E79" s="199" t="s">
        <v>18154</v>
      </c>
      <c r="I79" s="198">
        <v>2.12</v>
      </c>
      <c r="K79" s="198">
        <v>81710.14</v>
      </c>
    </row>
    <row r="80" spans="3:11" x14ac:dyDescent="0.2">
      <c r="C80" s="201" t="s">
        <v>18153</v>
      </c>
      <c r="D80" s="200">
        <v>44379</v>
      </c>
      <c r="E80" s="199" t="s">
        <v>18152</v>
      </c>
      <c r="I80" s="198">
        <v>0.11</v>
      </c>
      <c r="K80" s="198">
        <v>81710.25</v>
      </c>
    </row>
    <row r="81" spans="3:11" x14ac:dyDescent="0.2">
      <c r="C81" s="201" t="s">
        <v>18151</v>
      </c>
      <c r="D81" s="200">
        <v>44379</v>
      </c>
      <c r="E81" s="199" t="s">
        <v>18150</v>
      </c>
      <c r="I81" s="198">
        <v>7.63</v>
      </c>
      <c r="K81" s="198">
        <v>81717.88</v>
      </c>
    </row>
    <row r="82" spans="3:11" x14ac:dyDescent="0.2">
      <c r="C82" s="201" t="s">
        <v>18149</v>
      </c>
      <c r="D82" s="200">
        <v>44379</v>
      </c>
      <c r="E82" s="199" t="s">
        <v>18148</v>
      </c>
      <c r="I82" s="198">
        <v>1.8</v>
      </c>
      <c r="K82" s="198">
        <v>81719.679999999993</v>
      </c>
    </row>
    <row r="83" spans="3:11" x14ac:dyDescent="0.2">
      <c r="C83" s="201" t="s">
        <v>18147</v>
      </c>
      <c r="D83" s="200">
        <v>44379</v>
      </c>
      <c r="E83" s="199" t="s">
        <v>18146</v>
      </c>
      <c r="I83" s="198">
        <v>2.37</v>
      </c>
      <c r="K83" s="198">
        <v>81722.05</v>
      </c>
    </row>
    <row r="84" spans="3:11" x14ac:dyDescent="0.2">
      <c r="C84" s="201" t="s">
        <v>18145</v>
      </c>
      <c r="D84" s="200">
        <v>44379</v>
      </c>
      <c r="E84" s="199" t="s">
        <v>18144</v>
      </c>
      <c r="I84" s="198">
        <v>22.14</v>
      </c>
      <c r="K84" s="198">
        <v>81744.19</v>
      </c>
    </row>
    <row r="85" spans="3:11" x14ac:dyDescent="0.2">
      <c r="C85" s="201" t="s">
        <v>18143</v>
      </c>
      <c r="D85" s="200">
        <v>44379</v>
      </c>
      <c r="E85" s="199" t="s">
        <v>18142</v>
      </c>
      <c r="I85" s="198">
        <v>46.29</v>
      </c>
      <c r="K85" s="198">
        <v>81790.48</v>
      </c>
    </row>
    <row r="86" spans="3:11" x14ac:dyDescent="0.2">
      <c r="C86" s="201" t="s">
        <v>18141</v>
      </c>
      <c r="D86" s="200">
        <v>44379</v>
      </c>
      <c r="E86" s="199" t="s">
        <v>18140</v>
      </c>
      <c r="I86" s="198">
        <v>4.4000000000000004</v>
      </c>
      <c r="K86" s="198">
        <v>81794.880000000005</v>
      </c>
    </row>
    <row r="87" spans="3:11" x14ac:dyDescent="0.2">
      <c r="C87" s="201" t="s">
        <v>18139</v>
      </c>
      <c r="D87" s="200">
        <v>44379</v>
      </c>
      <c r="E87" s="199" t="s">
        <v>18138</v>
      </c>
      <c r="I87" s="198">
        <v>6.28</v>
      </c>
      <c r="K87" s="198">
        <v>81801.16</v>
      </c>
    </row>
    <row r="88" spans="3:11" x14ac:dyDescent="0.2">
      <c r="C88" s="201" t="s">
        <v>18137</v>
      </c>
      <c r="D88" s="200">
        <v>44379</v>
      </c>
      <c r="E88" s="199" t="s">
        <v>18136</v>
      </c>
      <c r="I88" s="198">
        <v>3.62</v>
      </c>
      <c r="K88" s="198">
        <v>81804.78</v>
      </c>
    </row>
    <row r="89" spans="3:11" x14ac:dyDescent="0.2">
      <c r="C89" s="201" t="s">
        <v>18135</v>
      </c>
      <c r="D89" s="200">
        <v>44379</v>
      </c>
      <c r="E89" s="199" t="s">
        <v>18134</v>
      </c>
      <c r="I89" s="198">
        <v>4.3</v>
      </c>
      <c r="K89" s="198">
        <v>81809.08</v>
      </c>
    </row>
    <row r="90" spans="3:11" x14ac:dyDescent="0.2">
      <c r="C90" s="201" t="s">
        <v>18133</v>
      </c>
      <c r="D90" s="200">
        <v>44379</v>
      </c>
      <c r="E90" s="199" t="s">
        <v>18132</v>
      </c>
      <c r="I90" s="198">
        <v>1.83</v>
      </c>
      <c r="K90" s="198">
        <v>81810.91</v>
      </c>
    </row>
    <row r="91" spans="3:11" x14ac:dyDescent="0.2">
      <c r="C91" s="201" t="s">
        <v>18131</v>
      </c>
      <c r="D91" s="200">
        <v>44379</v>
      </c>
      <c r="E91" s="199" t="s">
        <v>18130</v>
      </c>
      <c r="I91" s="198">
        <v>10.9</v>
      </c>
      <c r="K91" s="198">
        <v>81821.81</v>
      </c>
    </row>
    <row r="92" spans="3:11" x14ac:dyDescent="0.2">
      <c r="C92" s="201" t="s">
        <v>18129</v>
      </c>
      <c r="D92" s="200">
        <v>44379</v>
      </c>
      <c r="E92" s="199" t="s">
        <v>18128</v>
      </c>
      <c r="I92" s="198">
        <v>3.45</v>
      </c>
      <c r="K92" s="198">
        <v>81825.259999999995</v>
      </c>
    </row>
    <row r="93" spans="3:11" x14ac:dyDescent="0.2">
      <c r="C93" s="201" t="s">
        <v>18127</v>
      </c>
      <c r="D93" s="200">
        <v>44379</v>
      </c>
      <c r="E93" s="199" t="s">
        <v>18126</v>
      </c>
      <c r="I93" s="198">
        <v>10.72</v>
      </c>
      <c r="K93" s="198">
        <v>81835.98</v>
      </c>
    </row>
    <row r="94" spans="3:11" x14ac:dyDescent="0.2">
      <c r="C94" s="201" t="s">
        <v>18125</v>
      </c>
      <c r="D94" s="200">
        <v>44379</v>
      </c>
      <c r="E94" s="199" t="s">
        <v>18124</v>
      </c>
      <c r="I94" s="198">
        <v>1.36</v>
      </c>
      <c r="K94" s="198">
        <v>81837.34</v>
      </c>
    </row>
    <row r="95" spans="3:11" x14ac:dyDescent="0.2">
      <c r="C95" s="201" t="s">
        <v>18123</v>
      </c>
      <c r="D95" s="200">
        <v>44379</v>
      </c>
      <c r="E95" s="199" t="s">
        <v>18122</v>
      </c>
      <c r="I95" s="198">
        <v>1.68</v>
      </c>
      <c r="K95" s="198">
        <v>81839.02</v>
      </c>
    </row>
    <row r="96" spans="3:11" x14ac:dyDescent="0.2">
      <c r="C96" s="201" t="s">
        <v>18121</v>
      </c>
      <c r="D96" s="200">
        <v>44379</v>
      </c>
      <c r="E96" s="199" t="s">
        <v>18120</v>
      </c>
      <c r="I96" s="198">
        <v>3.7</v>
      </c>
      <c r="K96" s="198">
        <v>81842.720000000001</v>
      </c>
    </row>
    <row r="97" spans="3:11" x14ac:dyDescent="0.2">
      <c r="C97" s="201" t="s">
        <v>18119</v>
      </c>
      <c r="D97" s="200">
        <v>44379</v>
      </c>
      <c r="E97" s="199" t="s">
        <v>18118</v>
      </c>
      <c r="I97" s="198">
        <v>12.34</v>
      </c>
      <c r="K97" s="198">
        <v>81855.06</v>
      </c>
    </row>
    <row r="98" spans="3:11" x14ac:dyDescent="0.2">
      <c r="C98" s="201" t="s">
        <v>18117</v>
      </c>
      <c r="D98" s="200">
        <v>44379</v>
      </c>
      <c r="E98" s="199" t="s">
        <v>18116</v>
      </c>
      <c r="I98" s="198">
        <v>3.71</v>
      </c>
      <c r="K98" s="198">
        <v>81858.77</v>
      </c>
    </row>
    <row r="99" spans="3:11" x14ac:dyDescent="0.2">
      <c r="C99" s="201" t="s">
        <v>18115</v>
      </c>
      <c r="D99" s="200">
        <v>44379</v>
      </c>
      <c r="E99" s="199" t="s">
        <v>18114</v>
      </c>
      <c r="I99" s="198">
        <v>65.38</v>
      </c>
      <c r="K99" s="198">
        <v>81924.149999999994</v>
      </c>
    </row>
    <row r="100" spans="3:11" x14ac:dyDescent="0.2">
      <c r="C100" s="201" t="s">
        <v>18113</v>
      </c>
      <c r="D100" s="200">
        <v>44379</v>
      </c>
      <c r="E100" s="199" t="s">
        <v>18112</v>
      </c>
      <c r="I100" s="198">
        <v>2.0299999999999998</v>
      </c>
      <c r="K100" s="198">
        <v>81926.179999999993</v>
      </c>
    </row>
    <row r="101" spans="3:11" x14ac:dyDescent="0.2">
      <c r="C101" s="201" t="s">
        <v>18111</v>
      </c>
      <c r="D101" s="200">
        <v>44379</v>
      </c>
      <c r="E101" s="199" t="s">
        <v>18110</v>
      </c>
      <c r="I101" s="198">
        <v>3.92</v>
      </c>
      <c r="K101" s="198">
        <v>81930.100000000006</v>
      </c>
    </row>
    <row r="102" spans="3:11" x14ac:dyDescent="0.2">
      <c r="C102" s="201" t="s">
        <v>18109</v>
      </c>
      <c r="D102" s="200">
        <v>44379</v>
      </c>
      <c r="E102" s="199" t="s">
        <v>18108</v>
      </c>
      <c r="I102" s="198">
        <v>1.83</v>
      </c>
      <c r="K102" s="198">
        <v>81931.929999999993</v>
      </c>
    </row>
    <row r="103" spans="3:11" x14ac:dyDescent="0.2">
      <c r="C103" s="201" t="s">
        <v>18107</v>
      </c>
      <c r="D103" s="200">
        <v>44379</v>
      </c>
      <c r="E103" s="199" t="s">
        <v>18106</v>
      </c>
      <c r="I103" s="198">
        <v>3.01</v>
      </c>
      <c r="K103" s="198">
        <v>81934.94</v>
      </c>
    </row>
    <row r="104" spans="3:11" x14ac:dyDescent="0.2">
      <c r="C104" s="201" t="s">
        <v>18105</v>
      </c>
      <c r="D104" s="200">
        <v>44379</v>
      </c>
      <c r="E104" s="199" t="s">
        <v>18104</v>
      </c>
      <c r="I104" s="198">
        <v>31.83</v>
      </c>
      <c r="K104" s="198">
        <v>81966.77</v>
      </c>
    </row>
    <row r="105" spans="3:11" x14ac:dyDescent="0.2">
      <c r="C105" s="201" t="s">
        <v>18103</v>
      </c>
      <c r="D105" s="200">
        <v>44379</v>
      </c>
      <c r="E105" s="199" t="s">
        <v>18102</v>
      </c>
      <c r="I105" s="198">
        <v>1.68</v>
      </c>
      <c r="K105" s="198">
        <v>81968.45</v>
      </c>
    </row>
    <row r="106" spans="3:11" x14ac:dyDescent="0.2">
      <c r="C106" s="201" t="s">
        <v>18101</v>
      </c>
      <c r="D106" s="200">
        <v>44379</v>
      </c>
      <c r="E106" s="199" t="s">
        <v>18100</v>
      </c>
      <c r="I106" s="198">
        <v>1.98</v>
      </c>
      <c r="K106" s="198">
        <v>81970.429999999993</v>
      </c>
    </row>
    <row r="107" spans="3:11" x14ac:dyDescent="0.2">
      <c r="C107" s="201" t="s">
        <v>18099</v>
      </c>
      <c r="D107" s="200">
        <v>44379</v>
      </c>
      <c r="E107" s="199" t="s">
        <v>18098</v>
      </c>
      <c r="I107" s="198">
        <v>2.67</v>
      </c>
      <c r="K107" s="198">
        <v>81973.100000000006</v>
      </c>
    </row>
    <row r="108" spans="3:11" x14ac:dyDescent="0.2">
      <c r="C108" s="201" t="s">
        <v>18097</v>
      </c>
      <c r="D108" s="200">
        <v>44379</v>
      </c>
      <c r="E108" s="199" t="s">
        <v>18096</v>
      </c>
      <c r="I108" s="198">
        <v>30.6</v>
      </c>
      <c r="K108" s="198">
        <v>82003.7</v>
      </c>
    </row>
    <row r="109" spans="3:11" x14ac:dyDescent="0.2">
      <c r="C109" s="201" t="s">
        <v>18095</v>
      </c>
      <c r="D109" s="200">
        <v>44380</v>
      </c>
      <c r="E109" s="199" t="s">
        <v>18094</v>
      </c>
      <c r="I109" s="198">
        <v>20.82</v>
      </c>
      <c r="K109" s="198">
        <v>82024.52</v>
      </c>
    </row>
    <row r="110" spans="3:11" x14ac:dyDescent="0.2">
      <c r="C110" s="201" t="s">
        <v>18093</v>
      </c>
      <c r="D110" s="200">
        <v>44380</v>
      </c>
      <c r="E110" s="199" t="s">
        <v>18092</v>
      </c>
      <c r="I110" s="198">
        <v>2.87</v>
      </c>
      <c r="K110" s="198">
        <v>82027.39</v>
      </c>
    </row>
    <row r="111" spans="3:11" x14ac:dyDescent="0.2">
      <c r="C111" s="201" t="s">
        <v>18091</v>
      </c>
      <c r="D111" s="200">
        <v>44380</v>
      </c>
      <c r="E111" s="199" t="s">
        <v>18090</v>
      </c>
      <c r="I111" s="198">
        <v>2.4900000000000002</v>
      </c>
      <c r="K111" s="198">
        <v>82029.88</v>
      </c>
    </row>
    <row r="112" spans="3:11" x14ac:dyDescent="0.2">
      <c r="C112" s="201" t="s">
        <v>18089</v>
      </c>
      <c r="D112" s="200">
        <v>44380</v>
      </c>
      <c r="E112" s="199" t="s">
        <v>18088</v>
      </c>
      <c r="I112" s="198">
        <v>10.96</v>
      </c>
      <c r="K112" s="198">
        <v>82040.84</v>
      </c>
    </row>
    <row r="113" spans="3:11" x14ac:dyDescent="0.2">
      <c r="C113" s="201" t="s">
        <v>18087</v>
      </c>
      <c r="D113" s="200">
        <v>44380</v>
      </c>
      <c r="E113" s="199" t="s">
        <v>18086</v>
      </c>
      <c r="I113" s="198">
        <v>3.87</v>
      </c>
      <c r="K113" s="198">
        <v>82044.710000000006</v>
      </c>
    </row>
    <row r="114" spans="3:11" x14ac:dyDescent="0.2">
      <c r="C114" s="201" t="s">
        <v>18085</v>
      </c>
      <c r="D114" s="200">
        <v>44380</v>
      </c>
      <c r="E114" s="199" t="s">
        <v>18084</v>
      </c>
      <c r="I114" s="198">
        <v>6.68</v>
      </c>
      <c r="K114" s="198">
        <v>82051.39</v>
      </c>
    </row>
    <row r="115" spans="3:11" x14ac:dyDescent="0.2">
      <c r="C115" s="201" t="s">
        <v>18083</v>
      </c>
      <c r="D115" s="200">
        <v>44380</v>
      </c>
      <c r="E115" s="199" t="s">
        <v>18082</v>
      </c>
      <c r="I115" s="198">
        <v>2.4900000000000002</v>
      </c>
      <c r="K115" s="198">
        <v>82053.88</v>
      </c>
    </row>
    <row r="116" spans="3:11" x14ac:dyDescent="0.2">
      <c r="C116" s="201" t="s">
        <v>18081</v>
      </c>
      <c r="D116" s="200">
        <v>44380</v>
      </c>
      <c r="E116" s="199" t="s">
        <v>18080</v>
      </c>
      <c r="I116" s="198">
        <v>1.68</v>
      </c>
      <c r="K116" s="198">
        <v>82055.56</v>
      </c>
    </row>
    <row r="117" spans="3:11" x14ac:dyDescent="0.2">
      <c r="C117" s="201" t="s">
        <v>18079</v>
      </c>
      <c r="D117" s="200">
        <v>44380</v>
      </c>
      <c r="E117" s="199" t="s">
        <v>18078</v>
      </c>
      <c r="I117" s="198">
        <v>1.68</v>
      </c>
      <c r="K117" s="198">
        <v>82057.240000000005</v>
      </c>
    </row>
    <row r="118" spans="3:11" x14ac:dyDescent="0.2">
      <c r="C118" s="201" t="s">
        <v>18077</v>
      </c>
      <c r="D118" s="200">
        <v>44380</v>
      </c>
      <c r="E118" s="199" t="s">
        <v>18076</v>
      </c>
      <c r="I118" s="198">
        <v>3.48</v>
      </c>
      <c r="K118" s="198">
        <v>82060.72</v>
      </c>
    </row>
    <row r="119" spans="3:11" x14ac:dyDescent="0.2">
      <c r="C119" s="201" t="s">
        <v>18075</v>
      </c>
      <c r="D119" s="200">
        <v>44380</v>
      </c>
      <c r="E119" s="199" t="s">
        <v>18074</v>
      </c>
      <c r="I119" s="198">
        <v>7.58</v>
      </c>
      <c r="K119" s="198">
        <v>82068.3</v>
      </c>
    </row>
    <row r="120" spans="3:11" x14ac:dyDescent="0.2">
      <c r="C120" s="201" t="s">
        <v>18073</v>
      </c>
      <c r="D120" s="200">
        <v>44380</v>
      </c>
      <c r="E120" s="199" t="s">
        <v>18072</v>
      </c>
      <c r="I120" s="198">
        <v>1.68</v>
      </c>
      <c r="K120" s="198">
        <v>82069.98</v>
      </c>
    </row>
    <row r="121" spans="3:11" x14ac:dyDescent="0.2">
      <c r="C121" s="201" t="s">
        <v>18071</v>
      </c>
      <c r="D121" s="200">
        <v>44380</v>
      </c>
      <c r="E121" s="199" t="s">
        <v>18070</v>
      </c>
      <c r="I121" s="198">
        <v>1.68</v>
      </c>
      <c r="K121" s="198">
        <v>82071.66</v>
      </c>
    </row>
    <row r="122" spans="3:11" x14ac:dyDescent="0.2">
      <c r="C122" s="201" t="s">
        <v>18069</v>
      </c>
      <c r="D122" s="200">
        <v>44381</v>
      </c>
      <c r="E122" s="199" t="s">
        <v>18068</v>
      </c>
      <c r="I122" s="198">
        <v>3.32</v>
      </c>
      <c r="K122" s="198">
        <v>82074.98</v>
      </c>
    </row>
    <row r="123" spans="3:11" x14ac:dyDescent="0.2">
      <c r="C123" s="201" t="s">
        <v>18067</v>
      </c>
      <c r="D123" s="200">
        <v>44381</v>
      </c>
      <c r="E123" s="199" t="s">
        <v>18066</v>
      </c>
      <c r="I123" s="198">
        <v>1.68</v>
      </c>
      <c r="K123" s="198">
        <v>82076.66</v>
      </c>
    </row>
    <row r="124" spans="3:11" x14ac:dyDescent="0.2">
      <c r="C124" s="201" t="s">
        <v>18065</v>
      </c>
      <c r="D124" s="200">
        <v>44381</v>
      </c>
      <c r="E124" s="199" t="s">
        <v>18064</v>
      </c>
      <c r="I124" s="198">
        <v>8.3800000000000008</v>
      </c>
      <c r="K124" s="198">
        <v>82085.039999999994</v>
      </c>
    </row>
    <row r="125" spans="3:11" x14ac:dyDescent="0.2">
      <c r="C125" s="201" t="s">
        <v>18063</v>
      </c>
      <c r="D125" s="200">
        <v>44381</v>
      </c>
      <c r="E125" s="199" t="s">
        <v>18062</v>
      </c>
      <c r="I125" s="198">
        <v>1.68</v>
      </c>
      <c r="K125" s="198">
        <v>82086.720000000001</v>
      </c>
    </row>
    <row r="126" spans="3:11" x14ac:dyDescent="0.2">
      <c r="C126" s="201" t="s">
        <v>18061</v>
      </c>
      <c r="D126" s="200">
        <v>44381</v>
      </c>
      <c r="E126" s="199" t="s">
        <v>18060</v>
      </c>
      <c r="I126" s="198">
        <v>4.4000000000000004</v>
      </c>
      <c r="K126" s="198">
        <v>82091.12</v>
      </c>
    </row>
    <row r="127" spans="3:11" x14ac:dyDescent="0.2">
      <c r="C127" s="201" t="s">
        <v>18059</v>
      </c>
      <c r="D127" s="200">
        <v>44381</v>
      </c>
      <c r="E127" s="199" t="s">
        <v>18058</v>
      </c>
      <c r="I127" s="198">
        <v>1.69</v>
      </c>
      <c r="K127" s="198">
        <v>82092.81</v>
      </c>
    </row>
    <row r="128" spans="3:11" x14ac:dyDescent="0.2">
      <c r="C128" s="201" t="s">
        <v>18057</v>
      </c>
      <c r="D128" s="200">
        <v>44381</v>
      </c>
      <c r="E128" s="199" t="s">
        <v>18056</v>
      </c>
      <c r="I128" s="198">
        <v>5.04</v>
      </c>
      <c r="K128" s="198">
        <v>82097.850000000006</v>
      </c>
    </row>
    <row r="129" spans="3:11" x14ac:dyDescent="0.2">
      <c r="C129" s="201" t="s">
        <v>18055</v>
      </c>
      <c r="D129" s="200">
        <v>44381</v>
      </c>
      <c r="E129" s="199" t="s">
        <v>18054</v>
      </c>
      <c r="I129" s="198">
        <v>20.92</v>
      </c>
      <c r="K129" s="198">
        <v>82118.77</v>
      </c>
    </row>
    <row r="130" spans="3:11" x14ac:dyDescent="0.2">
      <c r="C130" s="201" t="s">
        <v>18053</v>
      </c>
      <c r="D130" s="200">
        <v>44381</v>
      </c>
      <c r="E130" s="199" t="s">
        <v>18052</v>
      </c>
      <c r="I130" s="198">
        <v>2.5</v>
      </c>
      <c r="K130" s="198">
        <v>82121.27</v>
      </c>
    </row>
    <row r="131" spans="3:11" x14ac:dyDescent="0.2">
      <c r="C131" s="201" t="s">
        <v>18051</v>
      </c>
      <c r="D131" s="200">
        <v>44382</v>
      </c>
      <c r="E131" s="199" t="s">
        <v>18050</v>
      </c>
      <c r="I131" s="198">
        <v>6.94</v>
      </c>
      <c r="K131" s="198">
        <v>82128.210000000006</v>
      </c>
    </row>
    <row r="132" spans="3:11" x14ac:dyDescent="0.2">
      <c r="C132" s="201" t="s">
        <v>18049</v>
      </c>
      <c r="D132" s="200">
        <v>44382</v>
      </c>
      <c r="E132" s="199" t="s">
        <v>18048</v>
      </c>
      <c r="I132" s="198">
        <v>10.1</v>
      </c>
      <c r="K132" s="198">
        <v>82138.31</v>
      </c>
    </row>
    <row r="133" spans="3:11" x14ac:dyDescent="0.2">
      <c r="C133" s="201" t="s">
        <v>18047</v>
      </c>
      <c r="D133" s="200">
        <v>44382</v>
      </c>
      <c r="E133" s="199" t="s">
        <v>18046</v>
      </c>
      <c r="I133" s="198">
        <v>8.3800000000000008</v>
      </c>
      <c r="K133" s="198">
        <v>82146.69</v>
      </c>
    </row>
    <row r="134" spans="3:11" x14ac:dyDescent="0.2">
      <c r="C134" s="201" t="s">
        <v>18045</v>
      </c>
      <c r="D134" s="200">
        <v>44382</v>
      </c>
      <c r="E134" s="199" t="s">
        <v>18044</v>
      </c>
      <c r="I134" s="198">
        <v>1.76</v>
      </c>
      <c r="K134" s="198">
        <v>82148.45</v>
      </c>
    </row>
    <row r="135" spans="3:11" x14ac:dyDescent="0.2">
      <c r="C135" s="201" t="s">
        <v>18043</v>
      </c>
      <c r="D135" s="200">
        <v>44382</v>
      </c>
      <c r="E135" s="199" t="s">
        <v>18042</v>
      </c>
      <c r="I135" s="198">
        <v>1.69</v>
      </c>
      <c r="K135" s="198">
        <v>82150.14</v>
      </c>
    </row>
    <row r="136" spans="3:11" x14ac:dyDescent="0.2">
      <c r="C136" s="201" t="s">
        <v>18041</v>
      </c>
      <c r="D136" s="200">
        <v>44382</v>
      </c>
      <c r="E136" s="199" t="s">
        <v>18040</v>
      </c>
      <c r="I136" s="198">
        <v>1.68</v>
      </c>
      <c r="K136" s="198">
        <v>82151.820000000007</v>
      </c>
    </row>
    <row r="137" spans="3:11" x14ac:dyDescent="0.2">
      <c r="C137" s="201" t="s">
        <v>18039</v>
      </c>
      <c r="D137" s="200">
        <v>44382</v>
      </c>
      <c r="E137" s="199" t="s">
        <v>18038</v>
      </c>
      <c r="I137" s="198">
        <v>2.52</v>
      </c>
      <c r="K137" s="198">
        <v>82154.34</v>
      </c>
    </row>
    <row r="138" spans="3:11" x14ac:dyDescent="0.2">
      <c r="C138" s="201" t="s">
        <v>18037</v>
      </c>
      <c r="D138" s="200">
        <v>44382</v>
      </c>
      <c r="E138" s="199" t="s">
        <v>18036</v>
      </c>
      <c r="I138" s="198">
        <v>1.83</v>
      </c>
      <c r="K138" s="198">
        <v>82156.17</v>
      </c>
    </row>
    <row r="139" spans="3:11" x14ac:dyDescent="0.2">
      <c r="C139" s="201" t="s">
        <v>18035</v>
      </c>
      <c r="D139" s="200">
        <v>44382</v>
      </c>
      <c r="E139" s="199" t="s">
        <v>18034</v>
      </c>
      <c r="I139" s="198">
        <v>8.3800000000000008</v>
      </c>
      <c r="K139" s="198">
        <v>82164.55</v>
      </c>
    </row>
    <row r="140" spans="3:11" x14ac:dyDescent="0.2">
      <c r="C140" s="201" t="s">
        <v>18033</v>
      </c>
      <c r="D140" s="200">
        <v>44382</v>
      </c>
      <c r="E140" s="199" t="s">
        <v>18032</v>
      </c>
      <c r="I140" s="198">
        <v>1.68</v>
      </c>
      <c r="K140" s="198">
        <v>82166.23</v>
      </c>
    </row>
    <row r="141" spans="3:11" x14ac:dyDescent="0.2">
      <c r="C141" s="201" t="s">
        <v>18031</v>
      </c>
      <c r="D141" s="200">
        <v>44382</v>
      </c>
      <c r="E141" s="199" t="s">
        <v>18030</v>
      </c>
      <c r="I141" s="198">
        <v>8.3800000000000008</v>
      </c>
      <c r="K141" s="198">
        <v>82174.61</v>
      </c>
    </row>
    <row r="142" spans="3:11" x14ac:dyDescent="0.2">
      <c r="C142" s="201" t="s">
        <v>18029</v>
      </c>
      <c r="D142" s="200">
        <v>44382</v>
      </c>
      <c r="E142" s="199" t="s">
        <v>18028</v>
      </c>
      <c r="I142" s="198">
        <v>3.92</v>
      </c>
      <c r="K142" s="198">
        <v>82178.53</v>
      </c>
    </row>
    <row r="143" spans="3:11" x14ac:dyDescent="0.2">
      <c r="C143" s="201" t="s">
        <v>18027</v>
      </c>
      <c r="D143" s="200">
        <v>44382</v>
      </c>
      <c r="E143" s="199" t="s">
        <v>18026</v>
      </c>
      <c r="I143" s="198">
        <v>8.3800000000000008</v>
      </c>
      <c r="K143" s="198">
        <v>82186.91</v>
      </c>
    </row>
    <row r="144" spans="3:11" x14ac:dyDescent="0.2">
      <c r="C144" s="201" t="s">
        <v>18025</v>
      </c>
      <c r="D144" s="200">
        <v>44382</v>
      </c>
      <c r="E144" s="199" t="s">
        <v>18024</v>
      </c>
      <c r="I144" s="198">
        <v>6.94</v>
      </c>
      <c r="K144" s="198">
        <v>82193.850000000006</v>
      </c>
    </row>
    <row r="145" spans="3:11" x14ac:dyDescent="0.2">
      <c r="C145" s="201" t="s">
        <v>18023</v>
      </c>
      <c r="D145" s="200">
        <v>44382</v>
      </c>
      <c r="E145" s="199" t="s">
        <v>18022</v>
      </c>
      <c r="I145" s="198">
        <v>7.82</v>
      </c>
      <c r="K145" s="198">
        <v>82201.67</v>
      </c>
    </row>
    <row r="146" spans="3:11" x14ac:dyDescent="0.2">
      <c r="C146" s="201" t="s">
        <v>18021</v>
      </c>
      <c r="D146" s="200">
        <v>44382</v>
      </c>
      <c r="E146" s="199" t="s">
        <v>18020</v>
      </c>
      <c r="I146" s="198">
        <v>8.3800000000000008</v>
      </c>
      <c r="K146" s="198">
        <v>82210.05</v>
      </c>
    </row>
    <row r="147" spans="3:11" x14ac:dyDescent="0.2">
      <c r="C147" s="201" t="s">
        <v>18019</v>
      </c>
      <c r="D147" s="200">
        <v>44382</v>
      </c>
      <c r="E147" s="199" t="s">
        <v>18018</v>
      </c>
      <c r="I147" s="198">
        <v>3.09</v>
      </c>
      <c r="K147" s="198">
        <v>82213.14</v>
      </c>
    </row>
    <row r="148" spans="3:11" x14ac:dyDescent="0.2">
      <c r="C148" s="201" t="s">
        <v>18017</v>
      </c>
      <c r="D148" s="200">
        <v>44382</v>
      </c>
      <c r="E148" s="199" t="s">
        <v>18016</v>
      </c>
      <c r="I148" s="198">
        <v>8.3800000000000008</v>
      </c>
      <c r="K148" s="198">
        <v>82221.52</v>
      </c>
    </row>
    <row r="149" spans="3:11" x14ac:dyDescent="0.2">
      <c r="C149" s="201" t="s">
        <v>18015</v>
      </c>
      <c r="D149" s="200">
        <v>44382</v>
      </c>
      <c r="E149" s="199" t="s">
        <v>18014</v>
      </c>
      <c r="I149" s="198">
        <v>5.0599999999999996</v>
      </c>
      <c r="K149" s="198">
        <v>82226.58</v>
      </c>
    </row>
    <row r="150" spans="3:11" x14ac:dyDescent="0.2">
      <c r="C150" s="201" t="s">
        <v>18013</v>
      </c>
      <c r="D150" s="200">
        <v>44382</v>
      </c>
      <c r="E150" s="199" t="s">
        <v>18012</v>
      </c>
      <c r="I150" s="198">
        <v>8.23</v>
      </c>
      <c r="K150" s="198">
        <v>82234.81</v>
      </c>
    </row>
    <row r="151" spans="3:11" x14ac:dyDescent="0.2">
      <c r="C151" s="201" t="s">
        <v>18011</v>
      </c>
      <c r="D151" s="200">
        <v>44382</v>
      </c>
      <c r="E151" s="199" t="s">
        <v>18010</v>
      </c>
      <c r="I151" s="198">
        <v>2.11</v>
      </c>
      <c r="K151" s="198">
        <v>82236.92</v>
      </c>
    </row>
    <row r="152" spans="3:11" x14ac:dyDescent="0.2">
      <c r="C152" s="201" t="s">
        <v>18009</v>
      </c>
      <c r="D152" s="200">
        <v>44382</v>
      </c>
      <c r="E152" s="199" t="s">
        <v>18008</v>
      </c>
      <c r="I152" s="198">
        <v>3.47</v>
      </c>
      <c r="K152" s="198">
        <v>82240.39</v>
      </c>
    </row>
    <row r="153" spans="3:11" x14ac:dyDescent="0.2">
      <c r="C153" s="201" t="s">
        <v>18007</v>
      </c>
      <c r="D153" s="200">
        <v>44382</v>
      </c>
      <c r="E153" s="199" t="s">
        <v>18006</v>
      </c>
      <c r="I153" s="198">
        <v>4.1900000000000004</v>
      </c>
      <c r="K153" s="198">
        <v>82244.58</v>
      </c>
    </row>
    <row r="154" spans="3:11" x14ac:dyDescent="0.2">
      <c r="C154" s="201" t="s">
        <v>18005</v>
      </c>
      <c r="D154" s="200">
        <v>44382</v>
      </c>
      <c r="E154" s="199" t="s">
        <v>18004</v>
      </c>
      <c r="I154" s="198">
        <v>7.82</v>
      </c>
      <c r="K154" s="198">
        <v>82252.399999999994</v>
      </c>
    </row>
    <row r="155" spans="3:11" x14ac:dyDescent="0.2">
      <c r="C155" s="201" t="s">
        <v>18003</v>
      </c>
      <c r="D155" s="200">
        <v>44382</v>
      </c>
      <c r="E155" s="199" t="s">
        <v>18002</v>
      </c>
      <c r="I155" s="198">
        <v>4.1900000000000004</v>
      </c>
      <c r="K155" s="198">
        <v>82256.59</v>
      </c>
    </row>
    <row r="156" spans="3:11" x14ac:dyDescent="0.2">
      <c r="C156" s="201" t="s">
        <v>18001</v>
      </c>
      <c r="D156" s="200">
        <v>44382</v>
      </c>
      <c r="E156" s="199" t="s">
        <v>18000</v>
      </c>
      <c r="I156" s="198">
        <v>1.68</v>
      </c>
      <c r="K156" s="198">
        <v>82258.27</v>
      </c>
    </row>
    <row r="157" spans="3:11" x14ac:dyDescent="0.2">
      <c r="C157" s="201" t="s">
        <v>17999</v>
      </c>
      <c r="D157" s="200">
        <v>44382</v>
      </c>
      <c r="E157" s="199" t="s">
        <v>17998</v>
      </c>
      <c r="I157" s="198">
        <v>1.68</v>
      </c>
      <c r="K157" s="198">
        <v>82259.95</v>
      </c>
    </row>
    <row r="158" spans="3:11" x14ac:dyDescent="0.2">
      <c r="C158" s="201" t="s">
        <v>17997</v>
      </c>
      <c r="D158" s="200">
        <v>44382</v>
      </c>
      <c r="E158" s="199" t="s">
        <v>17996</v>
      </c>
      <c r="I158" s="198">
        <v>2.1800000000000002</v>
      </c>
      <c r="K158" s="198">
        <v>82262.13</v>
      </c>
    </row>
    <row r="159" spans="3:11" x14ac:dyDescent="0.2">
      <c r="C159" s="201" t="s">
        <v>17995</v>
      </c>
      <c r="D159" s="200">
        <v>44382</v>
      </c>
      <c r="E159" s="199" t="s">
        <v>17994</v>
      </c>
      <c r="I159" s="198">
        <v>7.82</v>
      </c>
      <c r="K159" s="198">
        <v>82269.95</v>
      </c>
    </row>
    <row r="160" spans="3:11" x14ac:dyDescent="0.2">
      <c r="C160" s="201" t="s">
        <v>17993</v>
      </c>
      <c r="D160" s="200">
        <v>44382</v>
      </c>
      <c r="E160" s="199" t="s">
        <v>17992</v>
      </c>
      <c r="I160" s="198">
        <v>2.13</v>
      </c>
      <c r="K160" s="198">
        <v>82272.08</v>
      </c>
    </row>
    <row r="161" spans="3:11" x14ac:dyDescent="0.2">
      <c r="C161" s="201" t="s">
        <v>17991</v>
      </c>
      <c r="D161" s="200">
        <v>44382</v>
      </c>
      <c r="E161" s="199" t="s">
        <v>17990</v>
      </c>
      <c r="I161" s="198">
        <v>12.3</v>
      </c>
      <c r="K161" s="198">
        <v>82284.38</v>
      </c>
    </row>
    <row r="162" spans="3:11" x14ac:dyDescent="0.2">
      <c r="C162" s="201" t="s">
        <v>17989</v>
      </c>
      <c r="D162" s="200">
        <v>44382</v>
      </c>
      <c r="E162" s="199" t="s">
        <v>17988</v>
      </c>
      <c r="I162" s="198">
        <v>1.68</v>
      </c>
      <c r="K162" s="198">
        <v>82286.06</v>
      </c>
    </row>
    <row r="163" spans="3:11" x14ac:dyDescent="0.2">
      <c r="C163" s="201" t="s">
        <v>17987</v>
      </c>
      <c r="D163" s="200">
        <v>44382</v>
      </c>
      <c r="E163" s="199" t="s">
        <v>17986</v>
      </c>
      <c r="I163" s="198">
        <v>8.3800000000000008</v>
      </c>
      <c r="K163" s="198">
        <v>82294.44</v>
      </c>
    </row>
    <row r="164" spans="3:11" x14ac:dyDescent="0.2">
      <c r="C164" s="201" t="s">
        <v>17985</v>
      </c>
      <c r="D164" s="200">
        <v>44382</v>
      </c>
      <c r="E164" s="199" t="s">
        <v>17984</v>
      </c>
      <c r="I164" s="198">
        <v>1.68</v>
      </c>
      <c r="K164" s="198">
        <v>82296.12</v>
      </c>
    </row>
    <row r="165" spans="3:11" x14ac:dyDescent="0.2">
      <c r="C165" s="201" t="s">
        <v>17983</v>
      </c>
      <c r="D165" s="200">
        <v>44382</v>
      </c>
      <c r="E165" s="199" t="s">
        <v>17982</v>
      </c>
      <c r="I165" s="198">
        <v>17.899999999999999</v>
      </c>
      <c r="K165" s="198">
        <v>82314.02</v>
      </c>
    </row>
    <row r="166" spans="3:11" x14ac:dyDescent="0.2">
      <c r="C166" s="201" t="s">
        <v>17981</v>
      </c>
      <c r="D166" s="200">
        <v>44382</v>
      </c>
      <c r="E166" s="199" t="s">
        <v>17980</v>
      </c>
      <c r="I166" s="198">
        <v>5.53</v>
      </c>
      <c r="K166" s="198">
        <v>82319.55</v>
      </c>
    </row>
    <row r="167" spans="3:11" x14ac:dyDescent="0.2">
      <c r="C167" s="201" t="s">
        <v>17979</v>
      </c>
      <c r="D167" s="200">
        <v>44382</v>
      </c>
      <c r="E167" s="199" t="s">
        <v>17978</v>
      </c>
      <c r="I167" s="198">
        <v>1.94</v>
      </c>
      <c r="K167" s="198">
        <v>82321.490000000005</v>
      </c>
    </row>
    <row r="168" spans="3:11" x14ac:dyDescent="0.2">
      <c r="C168" s="201" t="s">
        <v>17977</v>
      </c>
      <c r="D168" s="200">
        <v>44382</v>
      </c>
      <c r="E168" s="199" t="s">
        <v>17976</v>
      </c>
      <c r="I168" s="198">
        <v>1.95</v>
      </c>
      <c r="K168" s="198">
        <v>82323.44</v>
      </c>
    </row>
    <row r="169" spans="3:11" x14ac:dyDescent="0.2">
      <c r="C169" s="201" t="s">
        <v>17975</v>
      </c>
      <c r="D169" s="200">
        <v>44382</v>
      </c>
      <c r="E169" s="199" t="s">
        <v>17974</v>
      </c>
      <c r="I169" s="198">
        <v>1.94</v>
      </c>
      <c r="K169" s="198">
        <v>82325.38</v>
      </c>
    </row>
    <row r="170" spans="3:11" x14ac:dyDescent="0.2">
      <c r="C170" s="201" t="s">
        <v>17973</v>
      </c>
      <c r="D170" s="200">
        <v>44382</v>
      </c>
      <c r="E170" s="199" t="s">
        <v>17972</v>
      </c>
      <c r="I170" s="198">
        <v>15.3</v>
      </c>
      <c r="K170" s="198">
        <v>82340.679999999993</v>
      </c>
    </row>
    <row r="171" spans="3:11" x14ac:dyDescent="0.2">
      <c r="C171" s="201" t="s">
        <v>17971</v>
      </c>
      <c r="D171" s="200">
        <v>44382</v>
      </c>
      <c r="E171" s="199" t="s">
        <v>17970</v>
      </c>
      <c r="I171" s="198">
        <v>15.3</v>
      </c>
      <c r="K171" s="198">
        <v>82355.98</v>
      </c>
    </row>
    <row r="172" spans="3:11" x14ac:dyDescent="0.2">
      <c r="C172" s="201" t="s">
        <v>17969</v>
      </c>
      <c r="D172" s="200">
        <v>44382</v>
      </c>
      <c r="E172" s="199" t="s">
        <v>17968</v>
      </c>
      <c r="I172" s="198">
        <v>15.3</v>
      </c>
      <c r="K172" s="198">
        <v>82371.28</v>
      </c>
    </row>
    <row r="173" spans="3:11" x14ac:dyDescent="0.2">
      <c r="C173" s="201" t="s">
        <v>17967</v>
      </c>
      <c r="D173" s="200">
        <v>44382</v>
      </c>
      <c r="E173" s="199" t="s">
        <v>17966</v>
      </c>
      <c r="I173" s="198">
        <v>2.0499999999999998</v>
      </c>
      <c r="K173" s="198">
        <v>82373.33</v>
      </c>
    </row>
    <row r="174" spans="3:11" x14ac:dyDescent="0.2">
      <c r="C174" s="201" t="s">
        <v>17965</v>
      </c>
      <c r="D174" s="200">
        <v>44382</v>
      </c>
      <c r="E174" s="199" t="s">
        <v>17964</v>
      </c>
      <c r="I174" s="198">
        <v>1.94</v>
      </c>
      <c r="K174" s="198">
        <v>82375.27</v>
      </c>
    </row>
    <row r="175" spans="3:11" x14ac:dyDescent="0.2">
      <c r="C175" s="201" t="s">
        <v>17963</v>
      </c>
      <c r="D175" s="200">
        <v>44382</v>
      </c>
      <c r="E175" s="199" t="s">
        <v>17962</v>
      </c>
      <c r="I175" s="198">
        <v>15.3</v>
      </c>
      <c r="K175" s="198">
        <v>82390.570000000007</v>
      </c>
    </row>
    <row r="176" spans="3:11" x14ac:dyDescent="0.2">
      <c r="C176" s="201" t="s">
        <v>17961</v>
      </c>
      <c r="D176" s="200">
        <v>44382</v>
      </c>
      <c r="E176" s="199" t="s">
        <v>17960</v>
      </c>
      <c r="I176" s="198">
        <v>8.42</v>
      </c>
      <c r="K176" s="198">
        <v>82398.990000000005</v>
      </c>
    </row>
    <row r="177" spans="3:11" x14ac:dyDescent="0.2">
      <c r="C177" s="201" t="s">
        <v>17959</v>
      </c>
      <c r="D177" s="200">
        <v>44382</v>
      </c>
      <c r="E177" s="199" t="s">
        <v>17958</v>
      </c>
      <c r="I177" s="198">
        <v>30.6</v>
      </c>
      <c r="K177" s="198">
        <v>82429.59</v>
      </c>
    </row>
    <row r="178" spans="3:11" x14ac:dyDescent="0.2">
      <c r="C178" s="201" t="s">
        <v>17957</v>
      </c>
      <c r="D178" s="200">
        <v>44382</v>
      </c>
      <c r="E178" s="199" t="s">
        <v>17956</v>
      </c>
      <c r="I178" s="198">
        <v>3.36</v>
      </c>
      <c r="K178" s="198">
        <v>82432.95</v>
      </c>
    </row>
    <row r="179" spans="3:11" x14ac:dyDescent="0.2">
      <c r="C179" s="201" t="s">
        <v>17955</v>
      </c>
      <c r="D179" s="200">
        <v>44382</v>
      </c>
      <c r="E179" s="199" t="s">
        <v>17954</v>
      </c>
      <c r="I179" s="198">
        <v>7.85</v>
      </c>
      <c r="K179" s="198">
        <v>82440.800000000003</v>
      </c>
    </row>
    <row r="180" spans="3:11" x14ac:dyDescent="0.2">
      <c r="C180" s="201" t="s">
        <v>17953</v>
      </c>
      <c r="D180" s="200">
        <v>44382</v>
      </c>
      <c r="E180" s="199" t="s">
        <v>17952</v>
      </c>
      <c r="I180" s="198">
        <v>1.96</v>
      </c>
      <c r="K180" s="198">
        <v>82442.759999999995</v>
      </c>
    </row>
    <row r="181" spans="3:11" x14ac:dyDescent="0.2">
      <c r="C181" s="201" t="s">
        <v>17951</v>
      </c>
      <c r="D181" s="200">
        <v>44382</v>
      </c>
      <c r="E181" s="199" t="s">
        <v>17950</v>
      </c>
      <c r="I181" s="198">
        <v>1.76</v>
      </c>
      <c r="K181" s="198">
        <v>82444.52</v>
      </c>
    </row>
    <row r="182" spans="3:11" x14ac:dyDescent="0.2">
      <c r="C182" s="201" t="s">
        <v>17949</v>
      </c>
      <c r="D182" s="200">
        <v>44382</v>
      </c>
      <c r="E182" s="199" t="s">
        <v>17948</v>
      </c>
      <c r="I182" s="198">
        <v>2.13</v>
      </c>
      <c r="K182" s="198">
        <v>82446.649999999994</v>
      </c>
    </row>
    <row r="183" spans="3:11" x14ac:dyDescent="0.2">
      <c r="C183" s="201" t="s">
        <v>17947</v>
      </c>
      <c r="D183" s="200">
        <v>44382</v>
      </c>
      <c r="E183" s="199" t="s">
        <v>17946</v>
      </c>
      <c r="I183" s="198">
        <v>1.68</v>
      </c>
      <c r="K183" s="198">
        <v>82448.33</v>
      </c>
    </row>
    <row r="184" spans="3:11" x14ac:dyDescent="0.2">
      <c r="C184" s="201" t="s">
        <v>17945</v>
      </c>
      <c r="D184" s="200">
        <v>44382</v>
      </c>
      <c r="E184" s="199" t="s">
        <v>17944</v>
      </c>
      <c r="I184" s="198">
        <v>0.16</v>
      </c>
      <c r="K184" s="198">
        <v>82448.490000000005</v>
      </c>
    </row>
    <row r="185" spans="3:11" x14ac:dyDescent="0.2">
      <c r="C185" s="201" t="s">
        <v>17943</v>
      </c>
      <c r="D185" s="200">
        <v>44382</v>
      </c>
      <c r="E185" s="199" t="s">
        <v>17942</v>
      </c>
      <c r="I185" s="198">
        <v>1.68</v>
      </c>
      <c r="K185" s="198">
        <v>82450.17</v>
      </c>
    </row>
    <row r="186" spans="3:11" x14ac:dyDescent="0.2">
      <c r="C186" s="201" t="s">
        <v>17941</v>
      </c>
      <c r="D186" s="200">
        <v>44382</v>
      </c>
      <c r="E186" s="199" t="s">
        <v>17940</v>
      </c>
      <c r="I186" s="198">
        <v>8.3800000000000008</v>
      </c>
      <c r="K186" s="198">
        <v>82458.55</v>
      </c>
    </row>
    <row r="187" spans="3:11" x14ac:dyDescent="0.2">
      <c r="C187" s="201" t="s">
        <v>17939</v>
      </c>
      <c r="D187" s="200">
        <v>44382</v>
      </c>
      <c r="E187" s="199" t="s">
        <v>17938</v>
      </c>
      <c r="I187" s="198">
        <v>18.84</v>
      </c>
      <c r="K187" s="198">
        <v>82477.39</v>
      </c>
    </row>
    <row r="188" spans="3:11" x14ac:dyDescent="0.2">
      <c r="C188" s="201" t="s">
        <v>17937</v>
      </c>
      <c r="D188" s="200">
        <v>44382</v>
      </c>
      <c r="E188" s="199" t="s">
        <v>17936</v>
      </c>
      <c r="I188" s="198">
        <v>6.05</v>
      </c>
      <c r="K188" s="198">
        <v>82483.44</v>
      </c>
    </row>
    <row r="189" spans="3:11" x14ac:dyDescent="0.2">
      <c r="C189" s="201" t="s">
        <v>17935</v>
      </c>
      <c r="D189" s="200">
        <v>44382</v>
      </c>
      <c r="E189" s="199" t="s">
        <v>17934</v>
      </c>
      <c r="I189" s="198">
        <v>4.8</v>
      </c>
      <c r="K189" s="198">
        <v>82488.240000000005</v>
      </c>
    </row>
    <row r="190" spans="3:11" x14ac:dyDescent="0.2">
      <c r="C190" s="201" t="s">
        <v>17933</v>
      </c>
      <c r="D190" s="200">
        <v>44382</v>
      </c>
      <c r="E190" s="199" t="s">
        <v>17932</v>
      </c>
      <c r="I190" s="198">
        <v>8.3000000000000007</v>
      </c>
      <c r="K190" s="198">
        <v>82496.539999999994</v>
      </c>
    </row>
    <row r="191" spans="3:11" x14ac:dyDescent="0.2">
      <c r="C191" s="201" t="s">
        <v>17931</v>
      </c>
      <c r="D191" s="200">
        <v>44382</v>
      </c>
      <c r="E191" s="199" t="s">
        <v>17930</v>
      </c>
      <c r="I191" s="198">
        <v>1.9</v>
      </c>
      <c r="K191" s="198">
        <v>82498.44</v>
      </c>
    </row>
    <row r="192" spans="3:11" x14ac:dyDescent="0.2">
      <c r="C192" s="201" t="s">
        <v>17929</v>
      </c>
      <c r="D192" s="200">
        <v>44382</v>
      </c>
      <c r="E192" s="199" t="s">
        <v>17928</v>
      </c>
      <c r="I192" s="198">
        <v>2.0699999999999998</v>
      </c>
      <c r="K192" s="198">
        <v>82500.509999999995</v>
      </c>
    </row>
    <row r="193" spans="3:11" x14ac:dyDescent="0.2">
      <c r="C193" s="201" t="s">
        <v>17927</v>
      </c>
      <c r="D193" s="200">
        <v>44382</v>
      </c>
      <c r="E193" s="199" t="s">
        <v>17926</v>
      </c>
      <c r="I193" s="198">
        <v>24.36</v>
      </c>
      <c r="K193" s="198">
        <v>82524.87</v>
      </c>
    </row>
    <row r="194" spans="3:11" x14ac:dyDescent="0.2">
      <c r="C194" s="201" t="s">
        <v>17925</v>
      </c>
      <c r="D194" s="200">
        <v>44382</v>
      </c>
      <c r="E194" s="199" t="s">
        <v>17924</v>
      </c>
      <c r="I194" s="198">
        <v>7.81</v>
      </c>
      <c r="K194" s="198">
        <v>82532.679999999993</v>
      </c>
    </row>
    <row r="195" spans="3:11" x14ac:dyDescent="0.2">
      <c r="C195" s="201" t="s">
        <v>17923</v>
      </c>
      <c r="D195" s="200">
        <v>44382</v>
      </c>
      <c r="E195" s="199" t="s">
        <v>17922</v>
      </c>
      <c r="I195" s="198">
        <v>3.71</v>
      </c>
      <c r="K195" s="198">
        <v>82536.39</v>
      </c>
    </row>
    <row r="196" spans="3:11" x14ac:dyDescent="0.2">
      <c r="C196" s="201" t="s">
        <v>17921</v>
      </c>
      <c r="D196" s="200">
        <v>44382</v>
      </c>
      <c r="E196" s="199" t="s">
        <v>17920</v>
      </c>
      <c r="I196" s="198">
        <v>3.16</v>
      </c>
      <c r="K196" s="198">
        <v>82539.55</v>
      </c>
    </row>
    <row r="197" spans="3:11" x14ac:dyDescent="0.2">
      <c r="C197" s="201" t="s">
        <v>17919</v>
      </c>
      <c r="D197" s="200">
        <v>44382</v>
      </c>
      <c r="E197" s="199" t="s">
        <v>17918</v>
      </c>
      <c r="I197" s="198">
        <v>4.4000000000000004</v>
      </c>
      <c r="K197" s="198">
        <v>82543.95</v>
      </c>
    </row>
    <row r="198" spans="3:11" x14ac:dyDescent="0.2">
      <c r="C198" s="201" t="s">
        <v>17917</v>
      </c>
      <c r="D198" s="200">
        <v>44382</v>
      </c>
      <c r="E198" s="199" t="s">
        <v>17916</v>
      </c>
      <c r="I198" s="198">
        <v>1.68</v>
      </c>
      <c r="K198" s="198">
        <v>82545.63</v>
      </c>
    </row>
    <row r="199" spans="3:11" x14ac:dyDescent="0.2">
      <c r="C199" s="201" t="s">
        <v>17915</v>
      </c>
      <c r="D199" s="200">
        <v>44382</v>
      </c>
      <c r="E199" s="199" t="s">
        <v>17914</v>
      </c>
      <c r="I199" s="198">
        <v>1.46</v>
      </c>
      <c r="K199" s="198">
        <v>82547.09</v>
      </c>
    </row>
    <row r="200" spans="3:11" x14ac:dyDescent="0.2">
      <c r="C200" s="201" t="s">
        <v>17913</v>
      </c>
      <c r="D200" s="200">
        <v>44382</v>
      </c>
      <c r="E200" s="199" t="s">
        <v>17912</v>
      </c>
      <c r="I200" s="198">
        <v>1.68</v>
      </c>
      <c r="K200" s="198">
        <v>82548.77</v>
      </c>
    </row>
    <row r="201" spans="3:11" x14ac:dyDescent="0.2">
      <c r="C201" s="201" t="s">
        <v>17911</v>
      </c>
      <c r="D201" s="200">
        <v>44382</v>
      </c>
      <c r="E201" s="199" t="s">
        <v>17910</v>
      </c>
      <c r="I201" s="198">
        <v>2.2599999999999998</v>
      </c>
      <c r="K201" s="198">
        <v>82551.03</v>
      </c>
    </row>
    <row r="202" spans="3:11" x14ac:dyDescent="0.2">
      <c r="C202" s="201" t="s">
        <v>17909</v>
      </c>
      <c r="D202" s="200">
        <v>44382</v>
      </c>
      <c r="E202" s="199" t="s">
        <v>17908</v>
      </c>
      <c r="I202" s="198">
        <v>1.79</v>
      </c>
      <c r="K202" s="198">
        <v>82552.820000000007</v>
      </c>
    </row>
    <row r="203" spans="3:11" x14ac:dyDescent="0.2">
      <c r="C203" s="201" t="s">
        <v>17907</v>
      </c>
      <c r="D203" s="200">
        <v>44382</v>
      </c>
      <c r="E203" s="199" t="s">
        <v>17906</v>
      </c>
      <c r="I203" s="198">
        <v>2.65</v>
      </c>
      <c r="K203" s="198">
        <v>82555.47</v>
      </c>
    </row>
    <row r="204" spans="3:11" x14ac:dyDescent="0.2">
      <c r="C204" s="201" t="s">
        <v>17905</v>
      </c>
      <c r="D204" s="200">
        <v>44382</v>
      </c>
      <c r="E204" s="199" t="s">
        <v>17904</v>
      </c>
      <c r="I204" s="198">
        <v>3.43</v>
      </c>
      <c r="K204" s="198">
        <v>82558.899999999994</v>
      </c>
    </row>
    <row r="205" spans="3:11" x14ac:dyDescent="0.2">
      <c r="C205" s="201" t="s">
        <v>17903</v>
      </c>
      <c r="D205" s="200">
        <v>44382</v>
      </c>
      <c r="E205" s="199" t="s">
        <v>17902</v>
      </c>
      <c r="I205" s="198">
        <v>3.38</v>
      </c>
      <c r="K205" s="198">
        <v>82562.28</v>
      </c>
    </row>
    <row r="206" spans="3:11" x14ac:dyDescent="0.2">
      <c r="C206" s="201" t="s">
        <v>17901</v>
      </c>
      <c r="D206" s="200">
        <v>44382</v>
      </c>
      <c r="E206" s="199" t="s">
        <v>17900</v>
      </c>
      <c r="I206" s="198">
        <v>0.32</v>
      </c>
      <c r="K206" s="198">
        <v>82562.600000000006</v>
      </c>
    </row>
    <row r="207" spans="3:11" x14ac:dyDescent="0.2">
      <c r="C207" s="201" t="s">
        <v>17899</v>
      </c>
      <c r="D207" s="200">
        <v>44382</v>
      </c>
      <c r="E207" s="199" t="s">
        <v>17898</v>
      </c>
      <c r="I207" s="198">
        <v>5.22</v>
      </c>
      <c r="K207" s="198">
        <v>82567.820000000007</v>
      </c>
    </row>
    <row r="208" spans="3:11" x14ac:dyDescent="0.2">
      <c r="C208" s="201" t="s">
        <v>17897</v>
      </c>
      <c r="D208" s="200">
        <v>44382</v>
      </c>
      <c r="E208" s="199" t="s">
        <v>17896</v>
      </c>
      <c r="I208" s="198">
        <v>0.51</v>
      </c>
      <c r="K208" s="198">
        <v>82568.33</v>
      </c>
    </row>
    <row r="209" spans="3:11" x14ac:dyDescent="0.2">
      <c r="C209" s="201" t="s">
        <v>17895</v>
      </c>
      <c r="D209" s="200">
        <v>44382</v>
      </c>
      <c r="E209" s="199" t="s">
        <v>17894</v>
      </c>
      <c r="I209" s="198">
        <v>2.98</v>
      </c>
      <c r="K209" s="198">
        <v>82571.31</v>
      </c>
    </row>
    <row r="210" spans="3:11" x14ac:dyDescent="0.2">
      <c r="C210" s="201" t="s">
        <v>17893</v>
      </c>
      <c r="D210" s="200">
        <v>44382</v>
      </c>
      <c r="E210" s="199" t="s">
        <v>17892</v>
      </c>
      <c r="I210" s="198">
        <v>3.91</v>
      </c>
      <c r="K210" s="198">
        <v>82575.22</v>
      </c>
    </row>
    <row r="211" spans="3:11" x14ac:dyDescent="0.2">
      <c r="C211" s="201" t="s">
        <v>17891</v>
      </c>
      <c r="D211" s="200">
        <v>44382</v>
      </c>
      <c r="E211" s="199" t="s">
        <v>17890</v>
      </c>
      <c r="I211" s="198">
        <v>9.1999999999999993</v>
      </c>
      <c r="K211" s="198">
        <v>82584.42</v>
      </c>
    </row>
    <row r="212" spans="3:11" x14ac:dyDescent="0.2">
      <c r="C212" s="201" t="s">
        <v>17889</v>
      </c>
      <c r="D212" s="200">
        <v>44382</v>
      </c>
      <c r="E212" s="199" t="s">
        <v>17888</v>
      </c>
      <c r="I212" s="198">
        <v>28.45</v>
      </c>
      <c r="K212" s="198">
        <v>82612.87</v>
      </c>
    </row>
    <row r="213" spans="3:11" x14ac:dyDescent="0.2">
      <c r="C213" s="201" t="s">
        <v>17887</v>
      </c>
      <c r="D213" s="200">
        <v>44382</v>
      </c>
      <c r="E213" s="199" t="s">
        <v>17886</v>
      </c>
      <c r="I213" s="198">
        <v>1.71</v>
      </c>
      <c r="K213" s="198">
        <v>82614.58</v>
      </c>
    </row>
    <row r="214" spans="3:11" x14ac:dyDescent="0.2">
      <c r="C214" s="201" t="s">
        <v>1532</v>
      </c>
      <c r="D214" s="200">
        <v>44382</v>
      </c>
      <c r="E214" s="199" t="s">
        <v>17885</v>
      </c>
      <c r="I214" s="198">
        <v>476.85</v>
      </c>
      <c r="K214" s="198">
        <v>83091.429999999993</v>
      </c>
    </row>
    <row r="215" spans="3:11" x14ac:dyDescent="0.2">
      <c r="C215" s="201" t="s">
        <v>7217</v>
      </c>
      <c r="D215" s="200">
        <v>44382</v>
      </c>
      <c r="E215" s="199" t="s">
        <v>17884</v>
      </c>
      <c r="I215" s="198">
        <v>1.63</v>
      </c>
      <c r="K215" s="198">
        <v>83093.06</v>
      </c>
    </row>
    <row r="216" spans="3:11" x14ac:dyDescent="0.2">
      <c r="C216" s="201" t="s">
        <v>10042</v>
      </c>
      <c r="D216" s="200">
        <v>44382</v>
      </c>
      <c r="E216" s="199" t="s">
        <v>17883</v>
      </c>
      <c r="I216" s="198">
        <v>83.04</v>
      </c>
      <c r="K216" s="198">
        <v>83176.100000000006</v>
      </c>
    </row>
    <row r="217" spans="3:11" x14ac:dyDescent="0.2">
      <c r="C217" s="201" t="s">
        <v>6178</v>
      </c>
      <c r="D217" s="200">
        <v>44382</v>
      </c>
      <c r="E217" s="199" t="s">
        <v>20207</v>
      </c>
      <c r="J217" s="222">
        <v>5.32</v>
      </c>
      <c r="K217" s="198">
        <v>83170.78</v>
      </c>
    </row>
    <row r="218" spans="3:11" x14ac:dyDescent="0.2">
      <c r="C218" s="201" t="s">
        <v>17882</v>
      </c>
      <c r="D218" s="200">
        <v>44383</v>
      </c>
      <c r="E218" s="199" t="s">
        <v>17881</v>
      </c>
      <c r="I218" s="198">
        <v>10</v>
      </c>
      <c r="K218" s="198">
        <v>83180.78</v>
      </c>
    </row>
    <row r="219" spans="3:11" x14ac:dyDescent="0.2">
      <c r="C219" s="201" t="s">
        <v>17880</v>
      </c>
      <c r="D219" s="200">
        <v>44383</v>
      </c>
      <c r="E219" s="199" t="s">
        <v>17879</v>
      </c>
      <c r="I219" s="198">
        <v>115.89</v>
      </c>
      <c r="K219" s="198">
        <v>83296.67</v>
      </c>
    </row>
    <row r="220" spans="3:11" x14ac:dyDescent="0.2">
      <c r="C220" s="201" t="s">
        <v>17878</v>
      </c>
      <c r="D220" s="200">
        <v>44383</v>
      </c>
      <c r="E220" s="199" t="s">
        <v>17877</v>
      </c>
      <c r="I220" s="198">
        <v>78.61</v>
      </c>
      <c r="K220" s="198">
        <v>83375.28</v>
      </c>
    </row>
    <row r="221" spans="3:11" x14ac:dyDescent="0.2">
      <c r="C221" s="201" t="s">
        <v>17876</v>
      </c>
      <c r="D221" s="200">
        <v>44383</v>
      </c>
      <c r="E221" s="199" t="s">
        <v>17875</v>
      </c>
      <c r="I221" s="198">
        <v>1.75</v>
      </c>
      <c r="K221" s="198">
        <v>83377.03</v>
      </c>
    </row>
    <row r="222" spans="3:11" x14ac:dyDescent="0.2">
      <c r="C222" s="201" t="s">
        <v>17874</v>
      </c>
      <c r="D222" s="200">
        <v>44383</v>
      </c>
      <c r="E222" s="199" t="s">
        <v>17873</v>
      </c>
      <c r="I222" s="198">
        <v>1.68</v>
      </c>
      <c r="K222" s="198">
        <v>83378.710000000006</v>
      </c>
    </row>
    <row r="223" spans="3:11" x14ac:dyDescent="0.2">
      <c r="C223" s="201" t="s">
        <v>17872</v>
      </c>
      <c r="D223" s="200">
        <v>44383</v>
      </c>
      <c r="E223" s="199" t="s">
        <v>17871</v>
      </c>
      <c r="I223" s="198">
        <v>3.73</v>
      </c>
      <c r="K223" s="198">
        <v>83382.44</v>
      </c>
    </row>
    <row r="224" spans="3:11" x14ac:dyDescent="0.2">
      <c r="C224" s="201" t="s">
        <v>17870</v>
      </c>
      <c r="D224" s="200">
        <v>44383</v>
      </c>
      <c r="E224" s="199" t="s">
        <v>17869</v>
      </c>
      <c r="I224" s="198">
        <v>7.88</v>
      </c>
      <c r="K224" s="198">
        <v>83390.320000000007</v>
      </c>
    </row>
    <row r="225" spans="3:11" x14ac:dyDescent="0.2">
      <c r="C225" s="201" t="s">
        <v>17868</v>
      </c>
      <c r="D225" s="200">
        <v>44383</v>
      </c>
      <c r="E225" s="199" t="s">
        <v>17867</v>
      </c>
      <c r="I225" s="198">
        <v>6.27</v>
      </c>
      <c r="K225" s="198">
        <v>83396.59</v>
      </c>
    </row>
    <row r="226" spans="3:11" x14ac:dyDescent="0.2">
      <c r="C226" s="201" t="s">
        <v>17866</v>
      </c>
      <c r="D226" s="200">
        <v>44383</v>
      </c>
      <c r="E226" s="199" t="s">
        <v>17865</v>
      </c>
      <c r="I226" s="198">
        <v>1.68</v>
      </c>
      <c r="K226" s="198">
        <v>83398.27</v>
      </c>
    </row>
    <row r="227" spans="3:11" x14ac:dyDescent="0.2">
      <c r="C227" s="201" t="s">
        <v>17864</v>
      </c>
      <c r="D227" s="200">
        <v>44383</v>
      </c>
      <c r="E227" s="199" t="s">
        <v>17863</v>
      </c>
      <c r="I227" s="198">
        <v>5.91</v>
      </c>
      <c r="K227" s="198">
        <v>83404.179999999993</v>
      </c>
    </row>
    <row r="228" spans="3:11" x14ac:dyDescent="0.2">
      <c r="C228" s="201" t="s">
        <v>17862</v>
      </c>
      <c r="D228" s="200">
        <v>44383</v>
      </c>
      <c r="E228" s="199" t="s">
        <v>17861</v>
      </c>
      <c r="I228" s="198">
        <v>1.68</v>
      </c>
      <c r="K228" s="198">
        <v>83405.86</v>
      </c>
    </row>
    <row r="229" spans="3:11" x14ac:dyDescent="0.2">
      <c r="C229" s="201" t="s">
        <v>17860</v>
      </c>
      <c r="D229" s="200">
        <v>44383</v>
      </c>
      <c r="E229" s="199" t="s">
        <v>17859</v>
      </c>
      <c r="I229" s="198">
        <v>2.21</v>
      </c>
      <c r="K229" s="198">
        <v>83408.070000000007</v>
      </c>
    </row>
    <row r="230" spans="3:11" x14ac:dyDescent="0.2">
      <c r="C230" s="201" t="s">
        <v>17858</v>
      </c>
      <c r="D230" s="200">
        <v>44383</v>
      </c>
      <c r="E230" s="199" t="s">
        <v>17857</v>
      </c>
      <c r="I230" s="198">
        <v>3.88</v>
      </c>
      <c r="K230" s="198">
        <v>83411.95</v>
      </c>
    </row>
    <row r="231" spans="3:11" x14ac:dyDescent="0.2">
      <c r="C231" s="201" t="s">
        <v>17856</v>
      </c>
      <c r="D231" s="200">
        <v>44383</v>
      </c>
      <c r="E231" s="199" t="s">
        <v>17855</v>
      </c>
      <c r="I231" s="198">
        <v>61.77</v>
      </c>
      <c r="K231" s="198">
        <v>83473.72</v>
      </c>
    </row>
    <row r="232" spans="3:11" x14ac:dyDescent="0.2">
      <c r="C232" s="201" t="s">
        <v>17854</v>
      </c>
      <c r="D232" s="200">
        <v>44383</v>
      </c>
      <c r="E232" s="199" t="s">
        <v>17853</v>
      </c>
      <c r="I232" s="198">
        <v>13.18</v>
      </c>
      <c r="K232" s="198">
        <v>83486.899999999994</v>
      </c>
    </row>
    <row r="233" spans="3:11" x14ac:dyDescent="0.2">
      <c r="C233" s="201" t="s">
        <v>17852</v>
      </c>
      <c r="D233" s="200">
        <v>44383</v>
      </c>
      <c r="E233" s="199" t="s">
        <v>17851</v>
      </c>
      <c r="I233" s="198">
        <v>89.99</v>
      </c>
      <c r="K233" s="198">
        <v>83576.89</v>
      </c>
    </row>
    <row r="234" spans="3:11" x14ac:dyDescent="0.2">
      <c r="C234" s="201" t="s">
        <v>17850</v>
      </c>
      <c r="D234" s="200">
        <v>44383</v>
      </c>
      <c r="E234" s="199" t="s">
        <v>17849</v>
      </c>
      <c r="I234" s="198">
        <v>0.84</v>
      </c>
      <c r="K234" s="198">
        <v>83577.73</v>
      </c>
    </row>
    <row r="235" spans="3:11" x14ac:dyDescent="0.2">
      <c r="C235" s="201" t="s">
        <v>17848</v>
      </c>
      <c r="D235" s="200">
        <v>44383</v>
      </c>
      <c r="E235" s="199" t="s">
        <v>17847</v>
      </c>
      <c r="I235" s="198">
        <v>7.92</v>
      </c>
      <c r="K235" s="198">
        <v>83585.649999999994</v>
      </c>
    </row>
    <row r="236" spans="3:11" x14ac:dyDescent="0.2">
      <c r="C236" s="201" t="s">
        <v>17846</v>
      </c>
      <c r="D236" s="200">
        <v>44383</v>
      </c>
      <c r="E236" s="199" t="s">
        <v>17845</v>
      </c>
      <c r="I236" s="198">
        <v>1.74</v>
      </c>
      <c r="K236" s="198">
        <v>83587.39</v>
      </c>
    </row>
    <row r="237" spans="3:11" x14ac:dyDescent="0.2">
      <c r="C237" s="201" t="s">
        <v>17844</v>
      </c>
      <c r="D237" s="200">
        <v>44383</v>
      </c>
      <c r="E237" s="199" t="s">
        <v>17843</v>
      </c>
      <c r="I237" s="198">
        <v>1.78</v>
      </c>
      <c r="K237" s="198">
        <v>83589.17</v>
      </c>
    </row>
    <row r="238" spans="3:11" x14ac:dyDescent="0.2">
      <c r="C238" s="201" t="s">
        <v>17842</v>
      </c>
      <c r="D238" s="200">
        <v>44383</v>
      </c>
      <c r="E238" s="199" t="s">
        <v>17841</v>
      </c>
      <c r="I238" s="198">
        <v>14.63</v>
      </c>
      <c r="K238" s="198">
        <v>83603.8</v>
      </c>
    </row>
    <row r="239" spans="3:11" x14ac:dyDescent="0.2">
      <c r="C239" s="201" t="s">
        <v>17840</v>
      </c>
      <c r="D239" s="200">
        <v>44383</v>
      </c>
      <c r="E239" s="199" t="s">
        <v>17839</v>
      </c>
      <c r="I239" s="198">
        <v>3.23</v>
      </c>
      <c r="K239" s="198">
        <v>83607.03</v>
      </c>
    </row>
    <row r="240" spans="3:11" x14ac:dyDescent="0.2">
      <c r="C240" s="201" t="s">
        <v>17838</v>
      </c>
      <c r="D240" s="200">
        <v>44383</v>
      </c>
      <c r="E240" s="199" t="s">
        <v>17837</v>
      </c>
      <c r="I240" s="198">
        <v>2.81</v>
      </c>
      <c r="K240" s="198">
        <v>83609.84</v>
      </c>
    </row>
    <row r="241" spans="3:11" x14ac:dyDescent="0.2">
      <c r="C241" s="201" t="s">
        <v>17836</v>
      </c>
      <c r="D241" s="200">
        <v>44383</v>
      </c>
      <c r="E241" s="199" t="s">
        <v>17835</v>
      </c>
      <c r="I241" s="198">
        <v>14.52</v>
      </c>
      <c r="K241" s="198">
        <v>83624.36</v>
      </c>
    </row>
    <row r="242" spans="3:11" x14ac:dyDescent="0.2">
      <c r="C242" s="201" t="s">
        <v>17834</v>
      </c>
      <c r="D242" s="200">
        <v>44383</v>
      </c>
      <c r="E242" s="199" t="s">
        <v>17833</v>
      </c>
      <c r="I242" s="198">
        <v>10.210000000000001</v>
      </c>
      <c r="K242" s="198">
        <v>83634.570000000007</v>
      </c>
    </row>
    <row r="243" spans="3:11" x14ac:dyDescent="0.2">
      <c r="C243" s="201" t="s">
        <v>17832</v>
      </c>
      <c r="D243" s="200">
        <v>44383</v>
      </c>
      <c r="E243" s="199" t="s">
        <v>17831</v>
      </c>
      <c r="I243" s="198">
        <v>2.2400000000000002</v>
      </c>
      <c r="K243" s="198">
        <v>83636.81</v>
      </c>
    </row>
    <row r="244" spans="3:11" x14ac:dyDescent="0.2">
      <c r="C244" s="201" t="s">
        <v>17830</v>
      </c>
      <c r="D244" s="200">
        <v>44383</v>
      </c>
      <c r="E244" s="199" t="s">
        <v>17829</v>
      </c>
      <c r="I244" s="198">
        <v>6.46</v>
      </c>
      <c r="K244" s="198">
        <v>83643.27</v>
      </c>
    </row>
    <row r="245" spans="3:11" x14ac:dyDescent="0.2">
      <c r="C245" s="201" t="s">
        <v>17828</v>
      </c>
      <c r="D245" s="200">
        <v>44383</v>
      </c>
      <c r="E245" s="199" t="s">
        <v>17827</v>
      </c>
      <c r="I245" s="198">
        <v>31.76</v>
      </c>
      <c r="K245" s="198">
        <v>83675.03</v>
      </c>
    </row>
    <row r="246" spans="3:11" x14ac:dyDescent="0.2">
      <c r="C246" s="201" t="s">
        <v>17826</v>
      </c>
      <c r="D246" s="200">
        <v>44383</v>
      </c>
      <c r="E246" s="199" t="s">
        <v>17825</v>
      </c>
      <c r="I246" s="198">
        <v>2.3199999999999998</v>
      </c>
      <c r="K246" s="198">
        <v>83677.350000000006</v>
      </c>
    </row>
    <row r="247" spans="3:11" x14ac:dyDescent="0.2">
      <c r="C247" s="201" t="s">
        <v>17824</v>
      </c>
      <c r="D247" s="200">
        <v>44383</v>
      </c>
      <c r="E247" s="199" t="s">
        <v>17823</v>
      </c>
      <c r="I247" s="198">
        <v>3.45</v>
      </c>
      <c r="K247" s="198">
        <v>83680.800000000003</v>
      </c>
    </row>
    <row r="248" spans="3:11" x14ac:dyDescent="0.2">
      <c r="C248" s="201" t="s">
        <v>17822</v>
      </c>
      <c r="D248" s="200">
        <v>44383</v>
      </c>
      <c r="E248" s="199" t="s">
        <v>17821</v>
      </c>
      <c r="I248" s="198">
        <v>4.72</v>
      </c>
      <c r="K248" s="198">
        <v>83685.52</v>
      </c>
    </row>
    <row r="249" spans="3:11" x14ac:dyDescent="0.2">
      <c r="C249" s="201" t="s">
        <v>17820</v>
      </c>
      <c r="D249" s="200">
        <v>44383</v>
      </c>
      <c r="E249" s="199" t="s">
        <v>17819</v>
      </c>
      <c r="I249" s="198">
        <v>5.69</v>
      </c>
      <c r="K249" s="198">
        <v>83691.210000000006</v>
      </c>
    </row>
    <row r="250" spans="3:11" x14ac:dyDescent="0.2">
      <c r="C250" s="201" t="s">
        <v>17818</v>
      </c>
      <c r="D250" s="200">
        <v>44383</v>
      </c>
      <c r="E250" s="199" t="s">
        <v>17817</v>
      </c>
      <c r="I250" s="198">
        <v>1.68</v>
      </c>
      <c r="K250" s="198">
        <v>83692.89</v>
      </c>
    </row>
    <row r="251" spans="3:11" x14ac:dyDescent="0.2">
      <c r="C251" s="201" t="s">
        <v>17816</v>
      </c>
      <c r="D251" s="200">
        <v>44383</v>
      </c>
      <c r="E251" s="199" t="s">
        <v>17815</v>
      </c>
      <c r="I251" s="198">
        <v>15.64</v>
      </c>
      <c r="K251" s="198">
        <v>83708.53</v>
      </c>
    </row>
    <row r="252" spans="3:11" x14ac:dyDescent="0.2">
      <c r="C252" s="201" t="s">
        <v>214</v>
      </c>
      <c r="D252" s="200">
        <v>44383</v>
      </c>
      <c r="E252" s="199" t="s">
        <v>17814</v>
      </c>
      <c r="J252" s="222">
        <v>1634.38</v>
      </c>
      <c r="K252" s="198">
        <v>82074.149999999994</v>
      </c>
    </row>
    <row r="253" spans="3:11" x14ac:dyDescent="0.2">
      <c r="C253" s="201" t="s">
        <v>213</v>
      </c>
      <c r="D253" s="200">
        <v>44383</v>
      </c>
      <c r="E253" s="199" t="s">
        <v>17813</v>
      </c>
      <c r="J253" s="222">
        <v>116.99</v>
      </c>
      <c r="K253" s="198">
        <v>81957.16</v>
      </c>
    </row>
    <row r="254" spans="3:11" x14ac:dyDescent="0.2">
      <c r="C254" s="201" t="s">
        <v>1531</v>
      </c>
      <c r="D254" s="200">
        <v>44383</v>
      </c>
      <c r="E254" s="199" t="s">
        <v>17812</v>
      </c>
      <c r="J254" s="222">
        <v>306.45999999999998</v>
      </c>
      <c r="K254" s="198">
        <v>81650.7</v>
      </c>
    </row>
    <row r="255" spans="3:11" x14ac:dyDescent="0.2">
      <c r="C255" s="201" t="s">
        <v>9635</v>
      </c>
      <c r="D255" s="200">
        <v>44383</v>
      </c>
      <c r="E255" s="199" t="s">
        <v>17811</v>
      </c>
      <c r="J255" s="222">
        <v>571.01</v>
      </c>
      <c r="K255" s="198">
        <v>81079.69</v>
      </c>
    </row>
    <row r="256" spans="3:11" x14ac:dyDescent="0.2">
      <c r="C256" s="201" t="s">
        <v>9528</v>
      </c>
      <c r="D256" s="200">
        <v>44383</v>
      </c>
      <c r="E256" s="199" t="s">
        <v>17810</v>
      </c>
      <c r="J256" s="222">
        <v>88</v>
      </c>
      <c r="K256" s="198">
        <v>80991.69</v>
      </c>
    </row>
    <row r="257" spans="3:11" x14ac:dyDescent="0.2">
      <c r="C257" s="201" t="s">
        <v>1535</v>
      </c>
      <c r="D257" s="200">
        <v>44383</v>
      </c>
      <c r="E257" s="199" t="s">
        <v>17809</v>
      </c>
      <c r="J257" s="222">
        <v>15.46</v>
      </c>
      <c r="K257" s="198">
        <v>80976.23</v>
      </c>
    </row>
    <row r="258" spans="3:11" x14ac:dyDescent="0.2">
      <c r="C258" s="201" t="s">
        <v>17808</v>
      </c>
      <c r="D258" s="200">
        <v>44384</v>
      </c>
      <c r="E258" s="199" t="s">
        <v>17807</v>
      </c>
      <c r="I258" s="198">
        <v>3.56</v>
      </c>
      <c r="K258" s="198">
        <v>80979.789999999994</v>
      </c>
    </row>
    <row r="259" spans="3:11" x14ac:dyDescent="0.2">
      <c r="C259" s="201" t="s">
        <v>17806</v>
      </c>
      <c r="D259" s="200">
        <v>44384</v>
      </c>
      <c r="E259" s="199" t="s">
        <v>17805</v>
      </c>
      <c r="I259" s="198">
        <v>1.27</v>
      </c>
      <c r="K259" s="198">
        <v>80981.06</v>
      </c>
    </row>
    <row r="260" spans="3:11" x14ac:dyDescent="0.2">
      <c r="C260" s="201" t="s">
        <v>17804</v>
      </c>
      <c r="D260" s="200">
        <v>44384</v>
      </c>
      <c r="E260" s="199" t="s">
        <v>17803</v>
      </c>
      <c r="I260" s="198">
        <v>13.88</v>
      </c>
      <c r="K260" s="198">
        <v>80994.94</v>
      </c>
    </row>
    <row r="261" spans="3:11" x14ac:dyDescent="0.2">
      <c r="C261" s="201" t="s">
        <v>17802</v>
      </c>
      <c r="D261" s="200">
        <v>44384</v>
      </c>
      <c r="E261" s="199" t="s">
        <v>17801</v>
      </c>
      <c r="I261" s="198">
        <v>5.79</v>
      </c>
      <c r="K261" s="198">
        <v>81000.73</v>
      </c>
    </row>
    <row r="262" spans="3:11" x14ac:dyDescent="0.2">
      <c r="C262" s="201" t="s">
        <v>17800</v>
      </c>
      <c r="D262" s="200">
        <v>44384</v>
      </c>
      <c r="E262" s="199" t="s">
        <v>17799</v>
      </c>
      <c r="I262" s="198">
        <v>8.3800000000000008</v>
      </c>
      <c r="K262" s="198">
        <v>81009.11</v>
      </c>
    </row>
    <row r="263" spans="3:11" x14ac:dyDescent="0.2">
      <c r="C263" s="201" t="s">
        <v>17798</v>
      </c>
      <c r="D263" s="200">
        <v>44384</v>
      </c>
      <c r="E263" s="199" t="s">
        <v>17797</v>
      </c>
      <c r="I263" s="198">
        <v>5.91</v>
      </c>
      <c r="K263" s="198">
        <v>81015.02</v>
      </c>
    </row>
    <row r="264" spans="3:11" x14ac:dyDescent="0.2">
      <c r="C264" s="201" t="s">
        <v>17796</v>
      </c>
      <c r="D264" s="200">
        <v>44384</v>
      </c>
      <c r="E264" s="199" t="s">
        <v>17795</v>
      </c>
      <c r="I264" s="198">
        <v>15.51</v>
      </c>
      <c r="K264" s="198">
        <v>81030.53</v>
      </c>
    </row>
    <row r="265" spans="3:11" x14ac:dyDescent="0.2">
      <c r="C265" s="201" t="s">
        <v>17794</v>
      </c>
      <c r="D265" s="200">
        <v>44384</v>
      </c>
      <c r="E265" s="199" t="s">
        <v>17793</v>
      </c>
      <c r="I265" s="198">
        <v>1.68</v>
      </c>
      <c r="K265" s="198">
        <v>81032.210000000006</v>
      </c>
    </row>
    <row r="266" spans="3:11" x14ac:dyDescent="0.2">
      <c r="C266" s="201" t="s">
        <v>17792</v>
      </c>
      <c r="D266" s="200">
        <v>44384</v>
      </c>
      <c r="E266" s="199" t="s">
        <v>17791</v>
      </c>
      <c r="I266" s="198">
        <v>5.04</v>
      </c>
      <c r="K266" s="198">
        <v>81037.25</v>
      </c>
    </row>
    <row r="267" spans="3:11" x14ac:dyDescent="0.2">
      <c r="C267" s="201" t="s">
        <v>17790</v>
      </c>
      <c r="D267" s="200">
        <v>44384</v>
      </c>
      <c r="E267" s="199" t="s">
        <v>17789</v>
      </c>
      <c r="I267" s="198">
        <v>6.33</v>
      </c>
      <c r="K267" s="198">
        <v>81043.58</v>
      </c>
    </row>
    <row r="268" spans="3:11" x14ac:dyDescent="0.2">
      <c r="C268" s="201" t="s">
        <v>17788</v>
      </c>
      <c r="D268" s="200">
        <v>44384</v>
      </c>
      <c r="E268" s="199" t="s">
        <v>17787</v>
      </c>
      <c r="I268" s="198">
        <v>36.9</v>
      </c>
      <c r="K268" s="198">
        <v>81080.479999999996</v>
      </c>
    </row>
    <row r="269" spans="3:11" x14ac:dyDescent="0.2">
      <c r="C269" s="201" t="s">
        <v>17786</v>
      </c>
      <c r="D269" s="200">
        <v>44384</v>
      </c>
      <c r="E269" s="199" t="s">
        <v>17785</v>
      </c>
      <c r="I269" s="198">
        <v>5.08</v>
      </c>
      <c r="K269" s="198">
        <v>81085.56</v>
      </c>
    </row>
    <row r="270" spans="3:11" x14ac:dyDescent="0.2">
      <c r="C270" s="201" t="s">
        <v>17784</v>
      </c>
      <c r="D270" s="200">
        <v>44384</v>
      </c>
      <c r="E270" s="199" t="s">
        <v>17783</v>
      </c>
      <c r="I270" s="198">
        <v>3.38</v>
      </c>
      <c r="K270" s="198">
        <v>81088.94</v>
      </c>
    </row>
    <row r="271" spans="3:11" x14ac:dyDescent="0.2">
      <c r="C271" s="201" t="s">
        <v>17782</v>
      </c>
      <c r="D271" s="200">
        <v>44384</v>
      </c>
      <c r="E271" s="199" t="s">
        <v>17781</v>
      </c>
      <c r="I271" s="198">
        <v>16.760000000000002</v>
      </c>
      <c r="K271" s="198">
        <v>81105.7</v>
      </c>
    </row>
    <row r="272" spans="3:11" x14ac:dyDescent="0.2">
      <c r="C272" s="201" t="s">
        <v>17780</v>
      </c>
      <c r="D272" s="200">
        <v>44384</v>
      </c>
      <c r="E272" s="199" t="s">
        <v>17779</v>
      </c>
      <c r="I272" s="198">
        <v>6.13</v>
      </c>
      <c r="K272" s="198">
        <v>81111.83</v>
      </c>
    </row>
    <row r="273" spans="3:11" x14ac:dyDescent="0.2">
      <c r="C273" s="201" t="s">
        <v>17778</v>
      </c>
      <c r="D273" s="200">
        <v>44384</v>
      </c>
      <c r="E273" s="199" t="s">
        <v>17777</v>
      </c>
      <c r="I273" s="198">
        <v>11.95</v>
      </c>
      <c r="K273" s="198">
        <v>81123.78</v>
      </c>
    </row>
    <row r="274" spans="3:11" x14ac:dyDescent="0.2">
      <c r="C274" s="201" t="s">
        <v>17776</v>
      </c>
      <c r="D274" s="200">
        <v>44384</v>
      </c>
      <c r="E274" s="199" t="s">
        <v>17775</v>
      </c>
      <c r="I274" s="198">
        <v>3.36</v>
      </c>
      <c r="K274" s="198">
        <v>81127.14</v>
      </c>
    </row>
    <row r="275" spans="3:11" x14ac:dyDescent="0.2">
      <c r="C275" s="201" t="s">
        <v>17774</v>
      </c>
      <c r="D275" s="200">
        <v>44384</v>
      </c>
      <c r="E275" s="199" t="s">
        <v>17773</v>
      </c>
      <c r="I275" s="198">
        <v>4.33</v>
      </c>
      <c r="K275" s="198">
        <v>81131.47</v>
      </c>
    </row>
    <row r="276" spans="3:11" x14ac:dyDescent="0.2">
      <c r="C276" s="201" t="s">
        <v>17772</v>
      </c>
      <c r="D276" s="200">
        <v>44384</v>
      </c>
      <c r="E276" s="199" t="s">
        <v>17771</v>
      </c>
      <c r="I276" s="198">
        <v>17.59</v>
      </c>
      <c r="K276" s="198">
        <v>81149.06</v>
      </c>
    </row>
    <row r="277" spans="3:11" x14ac:dyDescent="0.2">
      <c r="C277" s="201" t="s">
        <v>17770</v>
      </c>
      <c r="D277" s="200">
        <v>44384</v>
      </c>
      <c r="E277" s="199" t="s">
        <v>17769</v>
      </c>
      <c r="I277" s="198">
        <v>4.13</v>
      </c>
      <c r="K277" s="198">
        <v>81153.19</v>
      </c>
    </row>
    <row r="278" spans="3:11" x14ac:dyDescent="0.2">
      <c r="C278" s="201" t="s">
        <v>17768</v>
      </c>
      <c r="D278" s="200">
        <v>44384</v>
      </c>
      <c r="E278" s="199" t="s">
        <v>17767</v>
      </c>
      <c r="I278" s="198">
        <v>5.32</v>
      </c>
      <c r="K278" s="198">
        <v>81158.509999999995</v>
      </c>
    </row>
    <row r="279" spans="3:11" x14ac:dyDescent="0.2">
      <c r="C279" s="201" t="s">
        <v>17766</v>
      </c>
      <c r="D279" s="200">
        <v>44384</v>
      </c>
      <c r="E279" s="199" t="s">
        <v>17765</v>
      </c>
      <c r="I279" s="198">
        <v>0.1</v>
      </c>
      <c r="K279" s="198">
        <v>81158.61</v>
      </c>
    </row>
    <row r="280" spans="3:11" x14ac:dyDescent="0.2">
      <c r="C280" s="201" t="s">
        <v>17764</v>
      </c>
      <c r="D280" s="200">
        <v>44384</v>
      </c>
      <c r="E280" s="199" t="s">
        <v>17763</v>
      </c>
      <c r="I280" s="198">
        <v>2.33</v>
      </c>
      <c r="K280" s="198">
        <v>81160.94</v>
      </c>
    </row>
    <row r="281" spans="3:11" x14ac:dyDescent="0.2">
      <c r="C281" s="201" t="s">
        <v>17762</v>
      </c>
      <c r="D281" s="200">
        <v>44384</v>
      </c>
      <c r="E281" s="199" t="s">
        <v>17761</v>
      </c>
      <c r="I281" s="198">
        <v>16.760000000000002</v>
      </c>
      <c r="K281" s="198">
        <v>81177.7</v>
      </c>
    </row>
    <row r="282" spans="3:11" x14ac:dyDescent="0.2">
      <c r="C282" s="201" t="s">
        <v>17760</v>
      </c>
      <c r="D282" s="200">
        <v>44384</v>
      </c>
      <c r="E282" s="199" t="s">
        <v>17759</v>
      </c>
      <c r="I282" s="198">
        <v>7.32</v>
      </c>
      <c r="K282" s="198">
        <v>81185.02</v>
      </c>
    </row>
    <row r="283" spans="3:11" x14ac:dyDescent="0.2">
      <c r="C283" s="201" t="s">
        <v>17758</v>
      </c>
      <c r="D283" s="200">
        <v>44384</v>
      </c>
      <c r="E283" s="199" t="s">
        <v>17757</v>
      </c>
      <c r="I283" s="198">
        <v>6.94</v>
      </c>
      <c r="K283" s="198">
        <v>81191.960000000006</v>
      </c>
    </row>
    <row r="284" spans="3:11" x14ac:dyDescent="0.2">
      <c r="C284" s="201" t="s">
        <v>17756</v>
      </c>
      <c r="D284" s="200">
        <v>44384</v>
      </c>
      <c r="E284" s="199" t="s">
        <v>17755</v>
      </c>
      <c r="I284" s="198">
        <v>7.15</v>
      </c>
      <c r="K284" s="198">
        <v>81199.11</v>
      </c>
    </row>
    <row r="285" spans="3:11" x14ac:dyDescent="0.2">
      <c r="C285" s="201" t="s">
        <v>17754</v>
      </c>
      <c r="D285" s="200">
        <v>44384</v>
      </c>
      <c r="E285" s="199" t="s">
        <v>17753</v>
      </c>
      <c r="I285" s="198">
        <v>5.04</v>
      </c>
      <c r="K285" s="198">
        <v>81204.149999999994</v>
      </c>
    </row>
    <row r="286" spans="3:11" x14ac:dyDescent="0.2">
      <c r="C286" s="201" t="s">
        <v>17752</v>
      </c>
      <c r="D286" s="200">
        <v>44384</v>
      </c>
      <c r="E286" s="199" t="s">
        <v>17751</v>
      </c>
      <c r="I286" s="198">
        <v>2.74</v>
      </c>
      <c r="K286" s="198">
        <v>81206.89</v>
      </c>
    </row>
    <row r="287" spans="3:11" x14ac:dyDescent="0.2">
      <c r="C287" s="201" t="s">
        <v>17750</v>
      </c>
      <c r="D287" s="200">
        <v>44384</v>
      </c>
      <c r="E287" s="199" t="s">
        <v>17749</v>
      </c>
      <c r="I287" s="198">
        <v>9.27</v>
      </c>
      <c r="K287" s="198">
        <v>81216.160000000003</v>
      </c>
    </row>
    <row r="288" spans="3:11" x14ac:dyDescent="0.2">
      <c r="C288" s="201" t="s">
        <v>17748</v>
      </c>
      <c r="D288" s="200">
        <v>44384</v>
      </c>
      <c r="E288" s="199" t="s">
        <v>17747</v>
      </c>
      <c r="I288" s="198">
        <v>7.72</v>
      </c>
      <c r="K288" s="198">
        <v>81223.88</v>
      </c>
    </row>
    <row r="289" spans="3:11" x14ac:dyDescent="0.2">
      <c r="C289" s="201" t="s">
        <v>17746</v>
      </c>
      <c r="D289" s="200">
        <v>44384</v>
      </c>
      <c r="E289" s="199" t="s">
        <v>17745</v>
      </c>
      <c r="I289" s="198">
        <v>2</v>
      </c>
      <c r="K289" s="198">
        <v>81225.88</v>
      </c>
    </row>
    <row r="290" spans="3:11" x14ac:dyDescent="0.2">
      <c r="C290" s="201" t="s">
        <v>17744</v>
      </c>
      <c r="D290" s="200">
        <v>44384</v>
      </c>
      <c r="E290" s="199" t="s">
        <v>17743</v>
      </c>
      <c r="I290" s="198">
        <v>5.28</v>
      </c>
      <c r="K290" s="198">
        <v>81231.16</v>
      </c>
    </row>
    <row r="291" spans="3:11" x14ac:dyDescent="0.2">
      <c r="C291" s="201" t="s">
        <v>17742</v>
      </c>
      <c r="D291" s="200">
        <v>44384</v>
      </c>
      <c r="E291" s="199" t="s">
        <v>17741</v>
      </c>
      <c r="I291" s="198">
        <v>5.44</v>
      </c>
      <c r="K291" s="198">
        <v>81236.600000000006</v>
      </c>
    </row>
    <row r="292" spans="3:11" x14ac:dyDescent="0.2">
      <c r="C292" s="201" t="s">
        <v>17740</v>
      </c>
      <c r="D292" s="200">
        <v>44385</v>
      </c>
      <c r="E292" s="199" t="s">
        <v>17739</v>
      </c>
      <c r="I292" s="198">
        <v>5.08</v>
      </c>
      <c r="K292" s="198">
        <v>81241.679999999993</v>
      </c>
    </row>
    <row r="293" spans="3:11" x14ac:dyDescent="0.2">
      <c r="C293" s="201" t="s">
        <v>17738</v>
      </c>
      <c r="D293" s="200">
        <v>44385</v>
      </c>
      <c r="E293" s="199" t="s">
        <v>17737</v>
      </c>
      <c r="I293" s="198">
        <v>4.37</v>
      </c>
      <c r="K293" s="198">
        <v>81246.05</v>
      </c>
    </row>
    <row r="294" spans="3:11" x14ac:dyDescent="0.2">
      <c r="C294" s="201" t="s">
        <v>17736</v>
      </c>
      <c r="D294" s="200">
        <v>44385</v>
      </c>
      <c r="E294" s="199" t="s">
        <v>17735</v>
      </c>
      <c r="I294" s="198">
        <v>2.82</v>
      </c>
      <c r="K294" s="198">
        <v>81248.87</v>
      </c>
    </row>
    <row r="295" spans="3:11" x14ac:dyDescent="0.2">
      <c r="C295" s="201" t="s">
        <v>17734</v>
      </c>
      <c r="D295" s="200">
        <v>44385</v>
      </c>
      <c r="E295" s="199" t="s">
        <v>17733</v>
      </c>
      <c r="I295" s="198">
        <v>2.69</v>
      </c>
      <c r="K295" s="198">
        <v>81251.56</v>
      </c>
    </row>
    <row r="296" spans="3:11" x14ac:dyDescent="0.2">
      <c r="C296" s="201" t="s">
        <v>17732</v>
      </c>
      <c r="D296" s="200">
        <v>44385</v>
      </c>
      <c r="E296" s="199" t="s">
        <v>17731</v>
      </c>
      <c r="I296" s="198">
        <v>2.92</v>
      </c>
      <c r="K296" s="198">
        <v>81254.48</v>
      </c>
    </row>
    <row r="297" spans="3:11" x14ac:dyDescent="0.2">
      <c r="C297" s="201" t="s">
        <v>17730</v>
      </c>
      <c r="D297" s="200">
        <v>44385</v>
      </c>
      <c r="E297" s="199" t="s">
        <v>17729</v>
      </c>
      <c r="I297" s="198">
        <v>1.68</v>
      </c>
      <c r="K297" s="198">
        <v>81256.160000000003</v>
      </c>
    </row>
    <row r="298" spans="3:11" x14ac:dyDescent="0.2">
      <c r="C298" s="201" t="s">
        <v>17728</v>
      </c>
      <c r="D298" s="200">
        <v>44385</v>
      </c>
      <c r="E298" s="199" t="s">
        <v>17727</v>
      </c>
      <c r="I298" s="198">
        <v>3.37</v>
      </c>
      <c r="K298" s="198">
        <v>81259.53</v>
      </c>
    </row>
    <row r="299" spans="3:11" x14ac:dyDescent="0.2">
      <c r="C299" s="201" t="s">
        <v>17726</v>
      </c>
      <c r="D299" s="200">
        <v>44385</v>
      </c>
      <c r="E299" s="199" t="s">
        <v>17725</v>
      </c>
      <c r="I299" s="198">
        <v>1.94</v>
      </c>
      <c r="K299" s="198">
        <v>81261.47</v>
      </c>
    </row>
    <row r="300" spans="3:11" x14ac:dyDescent="0.2">
      <c r="C300" s="201" t="s">
        <v>17724</v>
      </c>
      <c r="D300" s="200">
        <v>44385</v>
      </c>
      <c r="E300" s="199" t="s">
        <v>17723</v>
      </c>
      <c r="I300" s="198">
        <v>5.73</v>
      </c>
      <c r="K300" s="198">
        <v>81267.199999999997</v>
      </c>
    </row>
    <row r="301" spans="3:11" x14ac:dyDescent="0.2">
      <c r="C301" s="201" t="s">
        <v>17722</v>
      </c>
      <c r="D301" s="200">
        <v>44385</v>
      </c>
      <c r="E301" s="199" t="s">
        <v>17721</v>
      </c>
      <c r="I301" s="198">
        <v>4.22</v>
      </c>
      <c r="K301" s="198">
        <v>81271.42</v>
      </c>
    </row>
    <row r="302" spans="3:11" x14ac:dyDescent="0.2">
      <c r="C302" s="201" t="s">
        <v>17720</v>
      </c>
      <c r="D302" s="200">
        <v>44385</v>
      </c>
      <c r="E302" s="199" t="s">
        <v>17719</v>
      </c>
      <c r="I302" s="198">
        <v>13.82</v>
      </c>
      <c r="K302" s="198">
        <v>81285.240000000005</v>
      </c>
    </row>
    <row r="303" spans="3:11" x14ac:dyDescent="0.2">
      <c r="C303" s="201" t="s">
        <v>17718</v>
      </c>
      <c r="D303" s="200">
        <v>44385</v>
      </c>
      <c r="E303" s="199" t="s">
        <v>17717</v>
      </c>
      <c r="I303" s="198">
        <v>61.2</v>
      </c>
      <c r="K303" s="198">
        <v>81346.44</v>
      </c>
    </row>
    <row r="304" spans="3:11" x14ac:dyDescent="0.2">
      <c r="C304" s="201" t="s">
        <v>17716</v>
      </c>
      <c r="D304" s="200">
        <v>44385</v>
      </c>
      <c r="E304" s="199" t="s">
        <v>17715</v>
      </c>
      <c r="I304" s="198">
        <v>1.72</v>
      </c>
      <c r="K304" s="198">
        <v>81348.160000000003</v>
      </c>
    </row>
    <row r="305" spans="3:11" x14ac:dyDescent="0.2">
      <c r="C305" s="201" t="s">
        <v>17714</v>
      </c>
      <c r="D305" s="200">
        <v>44385</v>
      </c>
      <c r="E305" s="199" t="s">
        <v>17713</v>
      </c>
      <c r="I305" s="198">
        <v>3.54</v>
      </c>
      <c r="K305" s="198">
        <v>81351.7</v>
      </c>
    </row>
    <row r="306" spans="3:11" x14ac:dyDescent="0.2">
      <c r="C306" s="201" t="s">
        <v>17712</v>
      </c>
      <c r="D306" s="200">
        <v>44385</v>
      </c>
      <c r="E306" s="199" t="s">
        <v>17711</v>
      </c>
      <c r="I306" s="198">
        <v>2.35</v>
      </c>
      <c r="K306" s="198">
        <v>81354.05</v>
      </c>
    </row>
    <row r="307" spans="3:11" x14ac:dyDescent="0.2">
      <c r="C307" s="201" t="s">
        <v>17710</v>
      </c>
      <c r="D307" s="200">
        <v>44385</v>
      </c>
      <c r="E307" s="199" t="s">
        <v>17709</v>
      </c>
      <c r="I307" s="198">
        <v>6.55</v>
      </c>
      <c r="K307" s="198">
        <v>81360.600000000006</v>
      </c>
    </row>
    <row r="308" spans="3:11" x14ac:dyDescent="0.2">
      <c r="C308" s="201" t="s">
        <v>17708</v>
      </c>
      <c r="D308" s="200">
        <v>44385</v>
      </c>
      <c r="E308" s="199" t="s">
        <v>17707</v>
      </c>
      <c r="I308" s="198">
        <v>27.6</v>
      </c>
      <c r="K308" s="198">
        <v>81388.2</v>
      </c>
    </row>
    <row r="309" spans="3:11" x14ac:dyDescent="0.2">
      <c r="C309" s="201" t="s">
        <v>17706</v>
      </c>
      <c r="D309" s="200">
        <v>44385</v>
      </c>
      <c r="E309" s="199" t="s">
        <v>17705</v>
      </c>
      <c r="I309" s="198">
        <v>3.63</v>
      </c>
      <c r="K309" s="198">
        <v>81391.83</v>
      </c>
    </row>
    <row r="310" spans="3:11" x14ac:dyDescent="0.2">
      <c r="C310" s="201" t="s">
        <v>17704</v>
      </c>
      <c r="D310" s="200">
        <v>44385</v>
      </c>
      <c r="E310" s="199" t="s">
        <v>17703</v>
      </c>
      <c r="I310" s="198">
        <v>3.69</v>
      </c>
      <c r="K310" s="198">
        <v>81395.520000000004</v>
      </c>
    </row>
    <row r="311" spans="3:11" x14ac:dyDescent="0.2">
      <c r="C311" s="201" t="s">
        <v>17702</v>
      </c>
      <c r="D311" s="200">
        <v>44385</v>
      </c>
      <c r="E311" s="199" t="s">
        <v>17701</v>
      </c>
      <c r="I311" s="198">
        <v>5.92</v>
      </c>
      <c r="K311" s="198">
        <v>81401.440000000002</v>
      </c>
    </row>
    <row r="312" spans="3:11" x14ac:dyDescent="0.2">
      <c r="C312" s="201" t="s">
        <v>17700</v>
      </c>
      <c r="D312" s="200">
        <v>44385</v>
      </c>
      <c r="E312" s="199" t="s">
        <v>17699</v>
      </c>
      <c r="I312" s="198">
        <v>2.11</v>
      </c>
      <c r="K312" s="198">
        <v>81403.55</v>
      </c>
    </row>
    <row r="313" spans="3:11" x14ac:dyDescent="0.2">
      <c r="C313" s="201" t="s">
        <v>17698</v>
      </c>
      <c r="D313" s="200">
        <v>44385</v>
      </c>
      <c r="E313" s="199" t="s">
        <v>17697</v>
      </c>
      <c r="I313" s="198">
        <v>9.92</v>
      </c>
      <c r="K313" s="198">
        <v>81413.47</v>
      </c>
    </row>
    <row r="314" spans="3:11" x14ac:dyDescent="0.2">
      <c r="C314" s="201" t="s">
        <v>17696</v>
      </c>
      <c r="D314" s="200">
        <v>44385</v>
      </c>
      <c r="E314" s="199" t="s">
        <v>17695</v>
      </c>
      <c r="I314" s="198">
        <v>1.68</v>
      </c>
      <c r="K314" s="198">
        <v>81415.149999999994</v>
      </c>
    </row>
    <row r="315" spans="3:11" x14ac:dyDescent="0.2">
      <c r="C315" s="201" t="s">
        <v>17694</v>
      </c>
      <c r="D315" s="200">
        <v>44385</v>
      </c>
      <c r="E315" s="199" t="s">
        <v>17693</v>
      </c>
      <c r="I315" s="198">
        <v>4.5599999999999996</v>
      </c>
      <c r="K315" s="198">
        <v>81419.710000000006</v>
      </c>
    </row>
    <row r="316" spans="3:11" x14ac:dyDescent="0.2">
      <c r="C316" s="201" t="s">
        <v>17692</v>
      </c>
      <c r="D316" s="200">
        <v>44385</v>
      </c>
      <c r="E316" s="199" t="s">
        <v>17691</v>
      </c>
      <c r="I316" s="198">
        <v>26.81</v>
      </c>
      <c r="K316" s="198">
        <v>81446.52</v>
      </c>
    </row>
    <row r="317" spans="3:11" x14ac:dyDescent="0.2">
      <c r="C317" s="201" t="s">
        <v>17690</v>
      </c>
      <c r="D317" s="200">
        <v>44385</v>
      </c>
      <c r="E317" s="199" t="s">
        <v>17689</v>
      </c>
      <c r="I317" s="198">
        <v>2.31</v>
      </c>
      <c r="K317" s="198">
        <v>81448.83</v>
      </c>
    </row>
    <row r="318" spans="3:11" x14ac:dyDescent="0.2">
      <c r="C318" s="201" t="s">
        <v>17688</v>
      </c>
      <c r="D318" s="200">
        <v>44385</v>
      </c>
      <c r="E318" s="199" t="s">
        <v>17687</v>
      </c>
      <c r="I318" s="198">
        <v>10.28</v>
      </c>
      <c r="K318" s="198">
        <v>81459.11</v>
      </c>
    </row>
    <row r="319" spans="3:11" x14ac:dyDescent="0.2">
      <c r="C319" s="201" t="s">
        <v>17686</v>
      </c>
      <c r="D319" s="200">
        <v>44385</v>
      </c>
      <c r="E319" s="199" t="s">
        <v>17685</v>
      </c>
      <c r="I319" s="198">
        <v>3.08</v>
      </c>
      <c r="K319" s="198">
        <v>81462.19</v>
      </c>
    </row>
    <row r="320" spans="3:11" x14ac:dyDescent="0.2">
      <c r="C320" s="201" t="s">
        <v>17684</v>
      </c>
      <c r="D320" s="200">
        <v>44385</v>
      </c>
      <c r="E320" s="199" t="s">
        <v>17683</v>
      </c>
      <c r="I320" s="198">
        <v>7.66</v>
      </c>
      <c r="K320" s="198">
        <v>81469.850000000006</v>
      </c>
    </row>
    <row r="321" spans="3:11" x14ac:dyDescent="0.2">
      <c r="C321" s="201" t="s">
        <v>17682</v>
      </c>
      <c r="D321" s="200">
        <v>44385</v>
      </c>
      <c r="E321" s="199" t="s">
        <v>17681</v>
      </c>
      <c r="I321" s="198">
        <v>0.65</v>
      </c>
      <c r="K321" s="198">
        <v>81470.5</v>
      </c>
    </row>
    <row r="322" spans="3:11" x14ac:dyDescent="0.2">
      <c r="C322" s="201" t="s">
        <v>17680</v>
      </c>
      <c r="D322" s="200">
        <v>44385</v>
      </c>
      <c r="E322" s="199" t="s">
        <v>17679</v>
      </c>
      <c r="I322" s="198">
        <v>10.36</v>
      </c>
      <c r="K322" s="198">
        <v>81480.86</v>
      </c>
    </row>
    <row r="323" spans="3:11" x14ac:dyDescent="0.2">
      <c r="C323" s="201" t="s">
        <v>17678</v>
      </c>
      <c r="D323" s="200">
        <v>44385</v>
      </c>
      <c r="E323" s="199" t="s">
        <v>17677</v>
      </c>
      <c r="I323" s="198">
        <v>4.22</v>
      </c>
      <c r="K323" s="198">
        <v>81485.08</v>
      </c>
    </row>
    <row r="324" spans="3:11" x14ac:dyDescent="0.2">
      <c r="C324" s="201" t="s">
        <v>17676</v>
      </c>
      <c r="D324" s="200">
        <v>44385</v>
      </c>
      <c r="E324" s="199" t="s">
        <v>17675</v>
      </c>
      <c r="I324" s="198">
        <v>14.84</v>
      </c>
      <c r="K324" s="198">
        <v>81499.92</v>
      </c>
    </row>
    <row r="325" spans="3:11" x14ac:dyDescent="0.2">
      <c r="C325" s="201" t="s">
        <v>17674</v>
      </c>
      <c r="D325" s="200">
        <v>44385</v>
      </c>
      <c r="E325" s="199" t="s">
        <v>17673</v>
      </c>
      <c r="I325" s="198">
        <v>4.51</v>
      </c>
      <c r="K325" s="198">
        <v>81504.429999999993</v>
      </c>
    </row>
    <row r="326" spans="3:11" x14ac:dyDescent="0.2">
      <c r="C326" s="201" t="s">
        <v>17672</v>
      </c>
      <c r="D326" s="200">
        <v>44385</v>
      </c>
      <c r="E326" s="199" t="s">
        <v>17671</v>
      </c>
      <c r="I326" s="198">
        <v>4.4000000000000004</v>
      </c>
      <c r="K326" s="198">
        <v>81508.83</v>
      </c>
    </row>
    <row r="327" spans="3:11" x14ac:dyDescent="0.2">
      <c r="C327" s="201" t="s">
        <v>17670</v>
      </c>
      <c r="D327" s="200">
        <v>44385</v>
      </c>
      <c r="E327" s="199" t="s">
        <v>17669</v>
      </c>
      <c r="I327" s="198">
        <v>5.86</v>
      </c>
      <c r="K327" s="198">
        <v>81514.69</v>
      </c>
    </row>
    <row r="328" spans="3:11" x14ac:dyDescent="0.2">
      <c r="C328" s="201" t="s">
        <v>17668</v>
      </c>
      <c r="D328" s="200">
        <v>44385</v>
      </c>
      <c r="E328" s="199" t="s">
        <v>17667</v>
      </c>
      <c r="I328" s="198">
        <v>1.63</v>
      </c>
      <c r="K328" s="198">
        <v>81516.320000000007</v>
      </c>
    </row>
    <row r="329" spans="3:11" x14ac:dyDescent="0.2">
      <c r="C329" s="201" t="s">
        <v>17666</v>
      </c>
      <c r="D329" s="200">
        <v>44386</v>
      </c>
      <c r="E329" s="199" t="s">
        <v>17665</v>
      </c>
      <c r="I329" s="198">
        <v>2</v>
      </c>
      <c r="K329" s="198">
        <v>81518.320000000007</v>
      </c>
    </row>
    <row r="330" spans="3:11" x14ac:dyDescent="0.2">
      <c r="C330" s="201" t="s">
        <v>17664</v>
      </c>
      <c r="D330" s="200">
        <v>44386</v>
      </c>
      <c r="E330" s="199" t="s">
        <v>17663</v>
      </c>
      <c r="I330" s="198">
        <v>3.38</v>
      </c>
      <c r="K330" s="198">
        <v>81521.7</v>
      </c>
    </row>
    <row r="331" spans="3:11" x14ac:dyDescent="0.2">
      <c r="C331" s="201" t="s">
        <v>17662</v>
      </c>
      <c r="D331" s="200">
        <v>44386</v>
      </c>
      <c r="E331" s="199" t="s">
        <v>17661</v>
      </c>
      <c r="I331" s="198">
        <v>56.95</v>
      </c>
      <c r="K331" s="198">
        <v>81578.649999999994</v>
      </c>
    </row>
    <row r="332" spans="3:11" x14ac:dyDescent="0.2">
      <c r="C332" s="201" t="s">
        <v>17660</v>
      </c>
      <c r="D332" s="200">
        <v>44386</v>
      </c>
      <c r="E332" s="199" t="s">
        <v>17659</v>
      </c>
      <c r="I332" s="198">
        <v>7.69</v>
      </c>
      <c r="K332" s="198">
        <v>81586.34</v>
      </c>
    </row>
    <row r="333" spans="3:11" x14ac:dyDescent="0.2">
      <c r="C333" s="201" t="s">
        <v>17658</v>
      </c>
      <c r="D333" s="200">
        <v>44386</v>
      </c>
      <c r="E333" s="199" t="s">
        <v>17657</v>
      </c>
      <c r="I333" s="198">
        <v>4.13</v>
      </c>
      <c r="K333" s="198">
        <v>81590.47</v>
      </c>
    </row>
    <row r="334" spans="3:11" x14ac:dyDescent="0.2">
      <c r="C334" s="201" t="s">
        <v>17656</v>
      </c>
      <c r="D334" s="200">
        <v>44386</v>
      </c>
      <c r="E334" s="199" t="s">
        <v>17655</v>
      </c>
      <c r="I334" s="198">
        <v>1.68</v>
      </c>
      <c r="K334" s="198">
        <v>81592.149999999994</v>
      </c>
    </row>
    <row r="335" spans="3:11" x14ac:dyDescent="0.2">
      <c r="C335" s="201" t="s">
        <v>17654</v>
      </c>
      <c r="D335" s="200">
        <v>44386</v>
      </c>
      <c r="E335" s="199" t="s">
        <v>17653</v>
      </c>
      <c r="I335" s="198">
        <v>16.760000000000002</v>
      </c>
      <c r="K335" s="198">
        <v>81608.91</v>
      </c>
    </row>
    <row r="336" spans="3:11" x14ac:dyDescent="0.2">
      <c r="C336" s="201" t="s">
        <v>17652</v>
      </c>
      <c r="D336" s="200">
        <v>44386</v>
      </c>
      <c r="E336" s="199" t="s">
        <v>17651</v>
      </c>
      <c r="I336" s="198">
        <v>6.92</v>
      </c>
      <c r="K336" s="198">
        <v>81615.83</v>
      </c>
    </row>
    <row r="337" spans="3:11" x14ac:dyDescent="0.2">
      <c r="C337" s="201" t="s">
        <v>17650</v>
      </c>
      <c r="D337" s="200">
        <v>44386</v>
      </c>
      <c r="E337" s="199" t="s">
        <v>17649</v>
      </c>
      <c r="I337" s="198">
        <v>3.41</v>
      </c>
      <c r="K337" s="198">
        <v>81619.240000000005</v>
      </c>
    </row>
    <row r="338" spans="3:11" x14ac:dyDescent="0.2">
      <c r="C338" s="201" t="s">
        <v>17648</v>
      </c>
      <c r="D338" s="200">
        <v>44386</v>
      </c>
      <c r="E338" s="199" t="s">
        <v>17647</v>
      </c>
      <c r="I338" s="198">
        <v>4.24</v>
      </c>
      <c r="K338" s="198">
        <v>81623.48</v>
      </c>
    </row>
    <row r="339" spans="3:11" x14ac:dyDescent="0.2">
      <c r="C339" s="201" t="s">
        <v>17646</v>
      </c>
      <c r="D339" s="200">
        <v>44386</v>
      </c>
      <c r="E339" s="199" t="s">
        <v>17645</v>
      </c>
      <c r="I339" s="198">
        <v>4.2</v>
      </c>
      <c r="K339" s="198">
        <v>81627.679999999993</v>
      </c>
    </row>
    <row r="340" spans="3:11" x14ac:dyDescent="0.2">
      <c r="C340" s="201" t="s">
        <v>17644</v>
      </c>
      <c r="D340" s="200">
        <v>44386</v>
      </c>
      <c r="E340" s="199" t="s">
        <v>17643</v>
      </c>
      <c r="I340" s="198">
        <v>7.75</v>
      </c>
      <c r="K340" s="198">
        <v>81635.429999999993</v>
      </c>
    </row>
    <row r="341" spans="3:11" x14ac:dyDescent="0.2">
      <c r="C341" s="201" t="s">
        <v>17642</v>
      </c>
      <c r="D341" s="200">
        <v>44386</v>
      </c>
      <c r="E341" s="199" t="s">
        <v>17641</v>
      </c>
      <c r="I341" s="198">
        <v>1.86</v>
      </c>
      <c r="K341" s="198">
        <v>81637.289999999994</v>
      </c>
    </row>
    <row r="342" spans="3:11" x14ac:dyDescent="0.2">
      <c r="C342" s="201" t="s">
        <v>17640</v>
      </c>
      <c r="D342" s="200">
        <v>44386</v>
      </c>
      <c r="E342" s="199" t="s">
        <v>17639</v>
      </c>
      <c r="I342" s="198">
        <v>4.0999999999999996</v>
      </c>
      <c r="K342" s="198">
        <v>81641.39</v>
      </c>
    </row>
    <row r="343" spans="3:11" x14ac:dyDescent="0.2">
      <c r="C343" s="201" t="s">
        <v>17638</v>
      </c>
      <c r="D343" s="200">
        <v>44386</v>
      </c>
      <c r="E343" s="199" t="s">
        <v>17637</v>
      </c>
      <c r="I343" s="198">
        <v>16.079999999999998</v>
      </c>
      <c r="K343" s="198">
        <v>81657.47</v>
      </c>
    </row>
    <row r="344" spans="3:11" x14ac:dyDescent="0.2">
      <c r="C344" s="201" t="s">
        <v>17636</v>
      </c>
      <c r="D344" s="200">
        <v>44386</v>
      </c>
      <c r="E344" s="199" t="s">
        <v>17635</v>
      </c>
      <c r="I344" s="198">
        <v>5.0999999999999996</v>
      </c>
      <c r="K344" s="198">
        <v>81662.570000000007</v>
      </c>
    </row>
    <row r="345" spans="3:11" x14ac:dyDescent="0.2">
      <c r="C345" s="201" t="s">
        <v>17634</v>
      </c>
      <c r="D345" s="200">
        <v>44386</v>
      </c>
      <c r="E345" s="199" t="s">
        <v>17633</v>
      </c>
      <c r="I345" s="198">
        <v>8.7100000000000009</v>
      </c>
      <c r="K345" s="198">
        <v>81671.28</v>
      </c>
    </row>
    <row r="346" spans="3:11" x14ac:dyDescent="0.2">
      <c r="C346" s="201" t="s">
        <v>17632</v>
      </c>
      <c r="D346" s="200">
        <v>44386</v>
      </c>
      <c r="E346" s="199" t="s">
        <v>17631</v>
      </c>
      <c r="I346" s="198">
        <v>19.690000000000001</v>
      </c>
      <c r="K346" s="198">
        <v>81690.97</v>
      </c>
    </row>
    <row r="347" spans="3:11" x14ac:dyDescent="0.2">
      <c r="C347" s="201" t="s">
        <v>17630</v>
      </c>
      <c r="D347" s="200">
        <v>44386</v>
      </c>
      <c r="E347" s="199" t="s">
        <v>17629</v>
      </c>
      <c r="I347" s="198">
        <v>11.53</v>
      </c>
      <c r="K347" s="198">
        <v>81702.5</v>
      </c>
    </row>
    <row r="348" spans="3:11" x14ac:dyDescent="0.2">
      <c r="C348" s="201" t="s">
        <v>17628</v>
      </c>
      <c r="D348" s="200">
        <v>44386</v>
      </c>
      <c r="E348" s="199" t="s">
        <v>17627</v>
      </c>
      <c r="I348" s="198">
        <v>4.1900000000000004</v>
      </c>
      <c r="K348" s="198">
        <v>81706.69</v>
      </c>
    </row>
    <row r="349" spans="3:11" x14ac:dyDescent="0.2">
      <c r="C349" s="201" t="s">
        <v>17626</v>
      </c>
      <c r="D349" s="200">
        <v>44386</v>
      </c>
      <c r="E349" s="199" t="s">
        <v>17625</v>
      </c>
      <c r="I349" s="198">
        <v>1.68</v>
      </c>
      <c r="K349" s="198">
        <v>81708.37</v>
      </c>
    </row>
    <row r="350" spans="3:11" x14ac:dyDescent="0.2">
      <c r="C350" s="201" t="s">
        <v>17624</v>
      </c>
      <c r="D350" s="200">
        <v>44386</v>
      </c>
      <c r="E350" s="199" t="s">
        <v>17623</v>
      </c>
      <c r="I350" s="198">
        <v>4993.95</v>
      </c>
      <c r="K350" s="198">
        <v>86702.32</v>
      </c>
    </row>
    <row r="351" spans="3:11" x14ac:dyDescent="0.2">
      <c r="C351" s="201" t="s">
        <v>17622</v>
      </c>
      <c r="D351" s="200">
        <v>44386</v>
      </c>
      <c r="E351" s="199" t="s">
        <v>17621</v>
      </c>
      <c r="I351" s="198">
        <v>1.73</v>
      </c>
      <c r="K351" s="198">
        <v>86704.05</v>
      </c>
    </row>
    <row r="352" spans="3:11" x14ac:dyDescent="0.2">
      <c r="C352" s="201" t="s">
        <v>17620</v>
      </c>
      <c r="D352" s="200">
        <v>44386</v>
      </c>
      <c r="E352" s="199" t="s">
        <v>17619</v>
      </c>
      <c r="I352" s="198">
        <v>2.39</v>
      </c>
      <c r="K352" s="198">
        <v>86706.44</v>
      </c>
    </row>
    <row r="353" spans="3:11" x14ac:dyDescent="0.2">
      <c r="C353" s="201" t="s">
        <v>300</v>
      </c>
      <c r="D353" s="200">
        <v>44386</v>
      </c>
      <c r="E353" s="199" t="s">
        <v>17618</v>
      </c>
      <c r="J353" s="222">
        <v>84.08</v>
      </c>
      <c r="K353" s="198">
        <v>86622.36</v>
      </c>
    </row>
    <row r="354" spans="3:11" x14ac:dyDescent="0.2">
      <c r="C354" s="201" t="s">
        <v>17617</v>
      </c>
      <c r="D354" s="200">
        <v>44387</v>
      </c>
      <c r="E354" s="199" t="s">
        <v>17616</v>
      </c>
      <c r="I354" s="198">
        <v>3.52</v>
      </c>
      <c r="K354" s="198">
        <v>86625.88</v>
      </c>
    </row>
    <row r="355" spans="3:11" x14ac:dyDescent="0.2">
      <c r="C355" s="201" t="s">
        <v>17615</v>
      </c>
      <c r="D355" s="200">
        <v>44387</v>
      </c>
      <c r="E355" s="199" t="s">
        <v>17614</v>
      </c>
      <c r="I355" s="198">
        <v>6.99</v>
      </c>
      <c r="K355" s="198">
        <v>86632.87</v>
      </c>
    </row>
    <row r="356" spans="3:11" x14ac:dyDescent="0.2">
      <c r="C356" s="201" t="s">
        <v>17613</v>
      </c>
      <c r="D356" s="200">
        <v>44387</v>
      </c>
      <c r="E356" s="199" t="s">
        <v>17612</v>
      </c>
      <c r="I356" s="198">
        <v>3.36</v>
      </c>
      <c r="K356" s="198">
        <v>86636.23</v>
      </c>
    </row>
    <row r="357" spans="3:11" x14ac:dyDescent="0.2">
      <c r="C357" s="201" t="s">
        <v>17611</v>
      </c>
      <c r="D357" s="200">
        <v>44387</v>
      </c>
      <c r="E357" s="199" t="s">
        <v>17610</v>
      </c>
      <c r="I357" s="198">
        <v>1.76</v>
      </c>
      <c r="K357" s="198">
        <v>86637.99</v>
      </c>
    </row>
    <row r="358" spans="3:11" x14ac:dyDescent="0.2">
      <c r="C358" s="201" t="s">
        <v>17609</v>
      </c>
      <c r="D358" s="200">
        <v>44387</v>
      </c>
      <c r="E358" s="199" t="s">
        <v>17608</v>
      </c>
      <c r="I358" s="198">
        <v>34.11</v>
      </c>
      <c r="K358" s="198">
        <v>86672.1</v>
      </c>
    </row>
    <row r="359" spans="3:11" x14ac:dyDescent="0.2">
      <c r="C359" s="201" t="s">
        <v>17607</v>
      </c>
      <c r="D359" s="200">
        <v>44387</v>
      </c>
      <c r="E359" s="199" t="s">
        <v>17606</v>
      </c>
      <c r="I359" s="198">
        <v>6.94</v>
      </c>
      <c r="K359" s="198">
        <v>86679.039999999994</v>
      </c>
    </row>
    <row r="360" spans="3:11" x14ac:dyDescent="0.2">
      <c r="C360" s="201" t="s">
        <v>17605</v>
      </c>
      <c r="D360" s="200">
        <v>44387</v>
      </c>
      <c r="E360" s="199" t="s">
        <v>17604</v>
      </c>
      <c r="I360" s="198">
        <v>11.26</v>
      </c>
      <c r="K360" s="198">
        <v>86690.3</v>
      </c>
    </row>
    <row r="361" spans="3:11" x14ac:dyDescent="0.2">
      <c r="C361" s="201" t="s">
        <v>17603</v>
      </c>
      <c r="D361" s="200">
        <v>44387</v>
      </c>
      <c r="E361" s="199" t="s">
        <v>17602</v>
      </c>
      <c r="I361" s="198">
        <v>12.53</v>
      </c>
      <c r="K361" s="198">
        <v>86702.83</v>
      </c>
    </row>
    <row r="362" spans="3:11" x14ac:dyDescent="0.2">
      <c r="C362" s="201" t="s">
        <v>17601</v>
      </c>
      <c r="D362" s="200">
        <v>44387</v>
      </c>
      <c r="E362" s="199" t="s">
        <v>17600</v>
      </c>
      <c r="I362" s="198">
        <v>5.77</v>
      </c>
      <c r="K362" s="198">
        <v>86708.6</v>
      </c>
    </row>
    <row r="363" spans="3:11" x14ac:dyDescent="0.2">
      <c r="C363" s="201" t="s">
        <v>17599</v>
      </c>
      <c r="D363" s="200">
        <v>44387</v>
      </c>
      <c r="E363" s="199" t="s">
        <v>17598</v>
      </c>
      <c r="I363" s="198">
        <v>2.2599999999999998</v>
      </c>
      <c r="K363" s="198">
        <v>86710.86</v>
      </c>
    </row>
    <row r="364" spans="3:11" x14ac:dyDescent="0.2">
      <c r="C364" s="201" t="s">
        <v>17597</v>
      </c>
      <c r="D364" s="200">
        <v>44388</v>
      </c>
      <c r="E364" s="199" t="s">
        <v>17596</v>
      </c>
      <c r="I364" s="198">
        <v>11.36</v>
      </c>
      <c r="K364" s="198">
        <v>86722.22</v>
      </c>
    </row>
    <row r="365" spans="3:11" x14ac:dyDescent="0.2">
      <c r="C365" s="201" t="s">
        <v>17595</v>
      </c>
      <c r="D365" s="200">
        <v>44388</v>
      </c>
      <c r="E365" s="199" t="s">
        <v>17594</v>
      </c>
      <c r="I365" s="198">
        <v>3.37</v>
      </c>
      <c r="K365" s="198">
        <v>86725.59</v>
      </c>
    </row>
    <row r="366" spans="3:11" x14ac:dyDescent="0.2">
      <c r="C366" s="201" t="s">
        <v>17593</v>
      </c>
      <c r="D366" s="200">
        <v>44388</v>
      </c>
      <c r="E366" s="199" t="s">
        <v>17592</v>
      </c>
      <c r="I366" s="198">
        <v>3.9</v>
      </c>
      <c r="K366" s="198">
        <v>86729.49</v>
      </c>
    </row>
    <row r="367" spans="3:11" x14ac:dyDescent="0.2">
      <c r="C367" s="201" t="s">
        <v>17591</v>
      </c>
      <c r="D367" s="200">
        <v>44388</v>
      </c>
      <c r="E367" s="199" t="s">
        <v>17590</v>
      </c>
      <c r="I367" s="198">
        <v>3.62</v>
      </c>
      <c r="K367" s="198">
        <v>86733.11</v>
      </c>
    </row>
    <row r="368" spans="3:11" x14ac:dyDescent="0.2">
      <c r="C368" s="201" t="s">
        <v>17589</v>
      </c>
      <c r="D368" s="200">
        <v>44388</v>
      </c>
      <c r="E368" s="199" t="s">
        <v>17588</v>
      </c>
      <c r="I368" s="198">
        <v>3.36</v>
      </c>
      <c r="K368" s="198">
        <v>86736.47</v>
      </c>
    </row>
    <row r="369" spans="3:11" x14ac:dyDescent="0.2">
      <c r="C369" s="201" t="s">
        <v>17587</v>
      </c>
      <c r="D369" s="200">
        <v>44388</v>
      </c>
      <c r="E369" s="199" t="s">
        <v>17586</v>
      </c>
      <c r="I369" s="198">
        <v>3.93</v>
      </c>
      <c r="K369" s="198">
        <v>86740.4</v>
      </c>
    </row>
    <row r="370" spans="3:11" x14ac:dyDescent="0.2">
      <c r="C370" s="201" t="s">
        <v>17585</v>
      </c>
      <c r="D370" s="200">
        <v>44388</v>
      </c>
      <c r="E370" s="199" t="s">
        <v>17584</v>
      </c>
      <c r="I370" s="198">
        <v>22.88</v>
      </c>
      <c r="K370" s="198">
        <v>86763.28</v>
      </c>
    </row>
    <row r="371" spans="3:11" x14ac:dyDescent="0.2">
      <c r="C371" s="201" t="s">
        <v>17583</v>
      </c>
      <c r="D371" s="200">
        <v>44389</v>
      </c>
      <c r="E371" s="199" t="s">
        <v>17582</v>
      </c>
      <c r="I371" s="198">
        <v>4.97</v>
      </c>
      <c r="K371" s="198">
        <v>86768.25</v>
      </c>
    </row>
    <row r="372" spans="3:11" x14ac:dyDescent="0.2">
      <c r="C372" s="201" t="s">
        <v>17581</v>
      </c>
      <c r="D372" s="200">
        <v>44389</v>
      </c>
      <c r="E372" s="199" t="s">
        <v>17580</v>
      </c>
      <c r="I372" s="198">
        <v>5.94</v>
      </c>
      <c r="K372" s="198">
        <v>86774.19</v>
      </c>
    </row>
    <row r="373" spans="3:11" x14ac:dyDescent="0.2">
      <c r="C373" s="201" t="s">
        <v>17579</v>
      </c>
      <c r="D373" s="200">
        <v>44389</v>
      </c>
      <c r="E373" s="199" t="s">
        <v>17578</v>
      </c>
      <c r="I373" s="198">
        <v>5.79</v>
      </c>
      <c r="K373" s="198">
        <v>86779.98</v>
      </c>
    </row>
    <row r="374" spans="3:11" x14ac:dyDescent="0.2">
      <c r="C374" s="201" t="s">
        <v>17577</v>
      </c>
      <c r="D374" s="200">
        <v>44389</v>
      </c>
      <c r="E374" s="199" t="s">
        <v>17576</v>
      </c>
      <c r="I374" s="198">
        <v>5.35</v>
      </c>
      <c r="K374" s="198">
        <v>86785.33</v>
      </c>
    </row>
    <row r="375" spans="3:11" x14ac:dyDescent="0.2">
      <c r="C375" s="201" t="s">
        <v>17575</v>
      </c>
      <c r="D375" s="200">
        <v>44389</v>
      </c>
      <c r="E375" s="199" t="s">
        <v>17574</v>
      </c>
      <c r="I375" s="198">
        <v>4.72</v>
      </c>
      <c r="K375" s="198">
        <v>86790.05</v>
      </c>
    </row>
    <row r="376" spans="3:11" x14ac:dyDescent="0.2">
      <c r="C376" s="201" t="s">
        <v>17573</v>
      </c>
      <c r="D376" s="200">
        <v>44389</v>
      </c>
      <c r="E376" s="199" t="s">
        <v>17572</v>
      </c>
      <c r="I376" s="198">
        <v>5.1100000000000003</v>
      </c>
      <c r="K376" s="198">
        <v>86795.16</v>
      </c>
    </row>
    <row r="377" spans="3:11" x14ac:dyDescent="0.2">
      <c r="C377" s="201" t="s">
        <v>17571</v>
      </c>
      <c r="D377" s="200">
        <v>44389</v>
      </c>
      <c r="E377" s="199" t="s">
        <v>17570</v>
      </c>
      <c r="I377" s="198">
        <v>3.81</v>
      </c>
      <c r="K377" s="198">
        <v>86798.97</v>
      </c>
    </row>
    <row r="378" spans="3:11" x14ac:dyDescent="0.2">
      <c r="C378" s="201" t="s">
        <v>17569</v>
      </c>
      <c r="D378" s="200">
        <v>44389</v>
      </c>
      <c r="E378" s="199" t="s">
        <v>17568</v>
      </c>
      <c r="I378" s="198">
        <v>25.14</v>
      </c>
      <c r="K378" s="198">
        <v>86824.11</v>
      </c>
    </row>
    <row r="379" spans="3:11" x14ac:dyDescent="0.2">
      <c r="C379" s="201" t="s">
        <v>17567</v>
      </c>
      <c r="D379" s="200">
        <v>44389</v>
      </c>
      <c r="E379" s="199" t="s">
        <v>17566</v>
      </c>
      <c r="I379" s="198">
        <v>3.04</v>
      </c>
      <c r="K379" s="198">
        <v>86827.15</v>
      </c>
    </row>
    <row r="380" spans="3:11" x14ac:dyDescent="0.2">
      <c r="C380" s="201" t="s">
        <v>17565</v>
      </c>
      <c r="D380" s="200">
        <v>44389</v>
      </c>
      <c r="E380" s="199" t="s">
        <v>17564</v>
      </c>
      <c r="I380" s="198">
        <v>0.27</v>
      </c>
      <c r="K380" s="198">
        <v>86827.42</v>
      </c>
    </row>
    <row r="381" spans="3:11" x14ac:dyDescent="0.2">
      <c r="C381" s="201" t="s">
        <v>17563</v>
      </c>
      <c r="D381" s="200">
        <v>44389</v>
      </c>
      <c r="E381" s="199" t="s">
        <v>17562</v>
      </c>
      <c r="I381" s="198">
        <v>10.119999999999999</v>
      </c>
      <c r="K381" s="198">
        <v>86837.54</v>
      </c>
    </row>
    <row r="382" spans="3:11" x14ac:dyDescent="0.2">
      <c r="C382" s="201" t="s">
        <v>17561</v>
      </c>
      <c r="D382" s="200">
        <v>44389</v>
      </c>
      <c r="E382" s="199" t="s">
        <v>17560</v>
      </c>
      <c r="I382" s="198">
        <v>1.76</v>
      </c>
      <c r="K382" s="198">
        <v>86839.3</v>
      </c>
    </row>
    <row r="383" spans="3:11" x14ac:dyDescent="0.2">
      <c r="C383" s="201" t="s">
        <v>17559</v>
      </c>
      <c r="D383" s="200">
        <v>44389</v>
      </c>
      <c r="E383" s="199" t="s">
        <v>17558</v>
      </c>
      <c r="I383" s="198">
        <v>1.68</v>
      </c>
      <c r="K383" s="198">
        <v>86840.98</v>
      </c>
    </row>
    <row r="384" spans="3:11" x14ac:dyDescent="0.2">
      <c r="C384" s="201" t="s">
        <v>17557</v>
      </c>
      <c r="D384" s="200">
        <v>44389</v>
      </c>
      <c r="E384" s="199" t="s">
        <v>17556</v>
      </c>
      <c r="I384" s="198">
        <v>12.3</v>
      </c>
      <c r="K384" s="198">
        <v>86853.28</v>
      </c>
    </row>
    <row r="385" spans="3:11" x14ac:dyDescent="0.2">
      <c r="C385" s="201" t="s">
        <v>17555</v>
      </c>
      <c r="D385" s="200">
        <v>44389</v>
      </c>
      <c r="E385" s="199" t="s">
        <v>17554</v>
      </c>
      <c r="I385" s="198">
        <v>4.3099999999999996</v>
      </c>
      <c r="K385" s="198">
        <v>86857.59</v>
      </c>
    </row>
    <row r="386" spans="3:11" x14ac:dyDescent="0.2">
      <c r="C386" s="201" t="s">
        <v>17553</v>
      </c>
      <c r="D386" s="200">
        <v>44389</v>
      </c>
      <c r="E386" s="199" t="s">
        <v>17552</v>
      </c>
      <c r="I386" s="198">
        <v>7.43</v>
      </c>
      <c r="K386" s="198">
        <v>86865.02</v>
      </c>
    </row>
    <row r="387" spans="3:11" x14ac:dyDescent="0.2">
      <c r="C387" s="201" t="s">
        <v>17551</v>
      </c>
      <c r="D387" s="200">
        <v>44389</v>
      </c>
      <c r="E387" s="199" t="s">
        <v>17550</v>
      </c>
      <c r="I387" s="198">
        <v>2.82</v>
      </c>
      <c r="K387" s="198">
        <v>86867.839999999997</v>
      </c>
    </row>
    <row r="388" spans="3:11" x14ac:dyDescent="0.2">
      <c r="C388" s="201" t="s">
        <v>17549</v>
      </c>
      <c r="D388" s="200">
        <v>44389</v>
      </c>
      <c r="E388" s="199" t="s">
        <v>17548</v>
      </c>
      <c r="I388" s="198">
        <v>2.16</v>
      </c>
      <c r="K388" s="198">
        <v>86870</v>
      </c>
    </row>
    <row r="389" spans="3:11" x14ac:dyDescent="0.2">
      <c r="C389" s="201" t="s">
        <v>17547</v>
      </c>
      <c r="D389" s="200">
        <v>44389</v>
      </c>
      <c r="E389" s="199" t="s">
        <v>17546</v>
      </c>
      <c r="I389" s="198">
        <v>15.3</v>
      </c>
      <c r="K389" s="198">
        <v>86885.3</v>
      </c>
    </row>
    <row r="390" spans="3:11" x14ac:dyDescent="0.2">
      <c r="C390" s="201" t="s">
        <v>17545</v>
      </c>
      <c r="D390" s="200">
        <v>44389</v>
      </c>
      <c r="E390" s="199" t="s">
        <v>17544</v>
      </c>
      <c r="I390" s="198">
        <v>5.12</v>
      </c>
      <c r="K390" s="198">
        <v>86890.42</v>
      </c>
    </row>
    <row r="391" spans="3:11" x14ac:dyDescent="0.2">
      <c r="C391" s="201" t="s">
        <v>17543</v>
      </c>
      <c r="D391" s="200">
        <v>44389</v>
      </c>
      <c r="E391" s="199" t="s">
        <v>17542</v>
      </c>
      <c r="I391" s="198">
        <v>7.01</v>
      </c>
      <c r="K391" s="198">
        <v>86897.43</v>
      </c>
    </row>
    <row r="392" spans="3:11" x14ac:dyDescent="0.2">
      <c r="C392" s="201" t="s">
        <v>17541</v>
      </c>
      <c r="D392" s="200">
        <v>44389</v>
      </c>
      <c r="E392" s="199" t="s">
        <v>17540</v>
      </c>
      <c r="I392" s="198">
        <v>11.63</v>
      </c>
      <c r="K392" s="198">
        <v>86909.06</v>
      </c>
    </row>
    <row r="393" spans="3:11" x14ac:dyDescent="0.2">
      <c r="C393" s="201" t="s">
        <v>17539</v>
      </c>
      <c r="D393" s="200">
        <v>44389</v>
      </c>
      <c r="E393" s="199" t="s">
        <v>17538</v>
      </c>
      <c r="I393" s="198">
        <v>4.32</v>
      </c>
      <c r="K393" s="198">
        <v>86913.38</v>
      </c>
    </row>
    <row r="394" spans="3:11" x14ac:dyDescent="0.2">
      <c r="C394" s="201" t="s">
        <v>17537</v>
      </c>
      <c r="D394" s="200">
        <v>44389</v>
      </c>
      <c r="E394" s="199" t="s">
        <v>17536</v>
      </c>
      <c r="I394" s="198">
        <v>14.68</v>
      </c>
      <c r="K394" s="198">
        <v>86928.06</v>
      </c>
    </row>
    <row r="395" spans="3:11" x14ac:dyDescent="0.2">
      <c r="C395" s="201" t="s">
        <v>1534</v>
      </c>
      <c r="D395" s="200">
        <v>44389</v>
      </c>
      <c r="E395" s="199" t="s">
        <v>17535</v>
      </c>
      <c r="J395" s="222">
        <v>1175.1600000000001</v>
      </c>
      <c r="K395" s="198">
        <v>85752.9</v>
      </c>
    </row>
    <row r="396" spans="3:11" x14ac:dyDescent="0.2">
      <c r="C396" s="201" t="s">
        <v>17534</v>
      </c>
      <c r="D396" s="200">
        <v>44390</v>
      </c>
      <c r="E396" s="199" t="s">
        <v>17533</v>
      </c>
      <c r="I396" s="198">
        <v>72.790000000000006</v>
      </c>
      <c r="K396" s="198">
        <v>85825.69</v>
      </c>
    </row>
    <row r="397" spans="3:11" x14ac:dyDescent="0.2">
      <c r="C397" s="201" t="s">
        <v>17532</v>
      </c>
      <c r="D397" s="200">
        <v>44390</v>
      </c>
      <c r="E397" s="199" t="s">
        <v>17531</v>
      </c>
      <c r="I397" s="198">
        <v>2.81</v>
      </c>
      <c r="K397" s="198">
        <v>85828.5</v>
      </c>
    </row>
    <row r="398" spans="3:11" x14ac:dyDescent="0.2">
      <c r="C398" s="201" t="s">
        <v>17530</v>
      </c>
      <c r="D398" s="200">
        <v>44390</v>
      </c>
      <c r="E398" s="199" t="s">
        <v>17529</v>
      </c>
      <c r="I398" s="198">
        <v>7.47</v>
      </c>
      <c r="K398" s="198">
        <v>85835.97</v>
      </c>
    </row>
    <row r="399" spans="3:11" x14ac:dyDescent="0.2">
      <c r="C399" s="201" t="s">
        <v>17528</v>
      </c>
      <c r="D399" s="200">
        <v>44390</v>
      </c>
      <c r="E399" s="199" t="s">
        <v>17527</v>
      </c>
      <c r="I399" s="198">
        <v>1.85</v>
      </c>
      <c r="K399" s="198">
        <v>85837.82</v>
      </c>
    </row>
    <row r="400" spans="3:11" x14ac:dyDescent="0.2">
      <c r="C400" s="201" t="s">
        <v>17526</v>
      </c>
      <c r="D400" s="200">
        <v>44390</v>
      </c>
      <c r="E400" s="199" t="s">
        <v>17525</v>
      </c>
      <c r="I400" s="198">
        <v>18.45</v>
      </c>
      <c r="K400" s="198">
        <v>85856.27</v>
      </c>
    </row>
    <row r="401" spans="3:11" x14ac:dyDescent="0.2">
      <c r="C401" s="201" t="s">
        <v>17524</v>
      </c>
      <c r="D401" s="200">
        <v>44390</v>
      </c>
      <c r="E401" s="199" t="s">
        <v>17523</v>
      </c>
      <c r="I401" s="198">
        <v>2.3199999999999998</v>
      </c>
      <c r="K401" s="198">
        <v>85858.59</v>
      </c>
    </row>
    <row r="402" spans="3:11" x14ac:dyDescent="0.2">
      <c r="C402" s="201" t="s">
        <v>17522</v>
      </c>
      <c r="D402" s="200">
        <v>44390</v>
      </c>
      <c r="E402" s="199" t="s">
        <v>17521</v>
      </c>
      <c r="I402" s="198">
        <v>10.59</v>
      </c>
      <c r="K402" s="198">
        <v>85869.18</v>
      </c>
    </row>
    <row r="403" spans="3:11" x14ac:dyDescent="0.2">
      <c r="C403" s="201" t="s">
        <v>17520</v>
      </c>
      <c r="D403" s="200">
        <v>44390</v>
      </c>
      <c r="E403" s="199" t="s">
        <v>17519</v>
      </c>
      <c r="I403" s="198">
        <v>3.17</v>
      </c>
      <c r="K403" s="198">
        <v>85872.35</v>
      </c>
    </row>
    <row r="404" spans="3:11" x14ac:dyDescent="0.2">
      <c r="C404" s="201" t="s">
        <v>17518</v>
      </c>
      <c r="D404" s="200">
        <v>44390</v>
      </c>
      <c r="E404" s="199" t="s">
        <v>17517</v>
      </c>
      <c r="I404" s="198">
        <v>5.97</v>
      </c>
      <c r="K404" s="198">
        <v>85878.32</v>
      </c>
    </row>
    <row r="405" spans="3:11" x14ac:dyDescent="0.2">
      <c r="C405" s="201" t="s">
        <v>17516</v>
      </c>
      <c r="D405" s="200">
        <v>44390</v>
      </c>
      <c r="E405" s="199" t="s">
        <v>17515</v>
      </c>
      <c r="I405" s="198">
        <v>1.94</v>
      </c>
      <c r="K405" s="198">
        <v>85880.26</v>
      </c>
    </row>
    <row r="406" spans="3:11" x14ac:dyDescent="0.2">
      <c r="C406" s="201" t="s">
        <v>17514</v>
      </c>
      <c r="D406" s="200">
        <v>44390</v>
      </c>
      <c r="E406" s="199" t="s">
        <v>17513</v>
      </c>
      <c r="I406" s="198">
        <v>8.3800000000000008</v>
      </c>
      <c r="K406" s="198">
        <v>85888.639999999999</v>
      </c>
    </row>
    <row r="407" spans="3:11" x14ac:dyDescent="0.2">
      <c r="C407" s="201" t="s">
        <v>17512</v>
      </c>
      <c r="D407" s="200">
        <v>44390</v>
      </c>
      <c r="E407" s="199" t="s">
        <v>17511</v>
      </c>
      <c r="I407" s="198">
        <v>1.68</v>
      </c>
      <c r="K407" s="198">
        <v>85890.32</v>
      </c>
    </row>
    <row r="408" spans="3:11" x14ac:dyDescent="0.2">
      <c r="C408" s="201" t="s">
        <v>17510</v>
      </c>
      <c r="D408" s="200">
        <v>44390</v>
      </c>
      <c r="E408" s="199" t="s">
        <v>17509</v>
      </c>
      <c r="I408" s="198">
        <v>1.68</v>
      </c>
      <c r="K408" s="198">
        <v>85892</v>
      </c>
    </row>
    <row r="409" spans="3:11" x14ac:dyDescent="0.2">
      <c r="C409" s="201" t="s">
        <v>17508</v>
      </c>
      <c r="D409" s="200">
        <v>44390</v>
      </c>
      <c r="E409" s="199" t="s">
        <v>17507</v>
      </c>
      <c r="I409" s="198">
        <v>0.37</v>
      </c>
      <c r="K409" s="198">
        <v>85892.37</v>
      </c>
    </row>
    <row r="410" spans="3:11" x14ac:dyDescent="0.2">
      <c r="C410" s="201" t="s">
        <v>17506</v>
      </c>
      <c r="D410" s="200">
        <v>44390</v>
      </c>
      <c r="E410" s="199" t="s">
        <v>17505</v>
      </c>
      <c r="I410" s="198">
        <v>4.91</v>
      </c>
      <c r="K410" s="198">
        <v>85897.279999999999</v>
      </c>
    </row>
    <row r="411" spans="3:11" x14ac:dyDescent="0.2">
      <c r="C411" s="201" t="s">
        <v>17504</v>
      </c>
      <c r="D411" s="200">
        <v>44390</v>
      </c>
      <c r="E411" s="199" t="s">
        <v>17503</v>
      </c>
      <c r="I411" s="198">
        <v>6.22</v>
      </c>
      <c r="K411" s="198">
        <v>85903.5</v>
      </c>
    </row>
    <row r="412" spans="3:11" x14ac:dyDescent="0.2">
      <c r="C412" s="201" t="s">
        <v>17502</v>
      </c>
      <c r="D412" s="200">
        <v>44390</v>
      </c>
      <c r="E412" s="199" t="s">
        <v>17501</v>
      </c>
      <c r="I412" s="198">
        <v>1.1299999999999999</v>
      </c>
      <c r="K412" s="198">
        <v>85904.63</v>
      </c>
    </row>
    <row r="413" spans="3:11" x14ac:dyDescent="0.2">
      <c r="C413" s="201" t="s">
        <v>17500</v>
      </c>
      <c r="D413" s="200">
        <v>44390</v>
      </c>
      <c r="E413" s="199" t="s">
        <v>17499</v>
      </c>
      <c r="I413" s="198">
        <v>5.55</v>
      </c>
      <c r="K413" s="198">
        <v>85910.18</v>
      </c>
    </row>
    <row r="414" spans="3:11" x14ac:dyDescent="0.2">
      <c r="C414" s="201" t="s">
        <v>17498</v>
      </c>
      <c r="D414" s="200">
        <v>44390</v>
      </c>
      <c r="E414" s="199" t="s">
        <v>17497</v>
      </c>
      <c r="I414" s="198">
        <v>6.11</v>
      </c>
      <c r="K414" s="198">
        <v>85916.29</v>
      </c>
    </row>
    <row r="415" spans="3:11" x14ac:dyDescent="0.2">
      <c r="C415" s="201" t="s">
        <v>17496</v>
      </c>
      <c r="D415" s="200">
        <v>44390</v>
      </c>
      <c r="E415" s="199" t="s">
        <v>17495</v>
      </c>
      <c r="I415" s="198">
        <v>11.48</v>
      </c>
      <c r="K415" s="198">
        <v>85927.77</v>
      </c>
    </row>
    <row r="416" spans="3:11" x14ac:dyDescent="0.2">
      <c r="C416" s="201" t="s">
        <v>17494</v>
      </c>
      <c r="D416" s="200">
        <v>44390</v>
      </c>
      <c r="E416" s="199" t="s">
        <v>17493</v>
      </c>
      <c r="I416" s="198">
        <v>6.94</v>
      </c>
      <c r="K416" s="198">
        <v>85934.71</v>
      </c>
    </row>
    <row r="417" spans="3:11" x14ac:dyDescent="0.2">
      <c r="C417" s="201" t="s">
        <v>17492</v>
      </c>
      <c r="D417" s="200">
        <v>44390</v>
      </c>
      <c r="E417" s="199" t="s">
        <v>17491</v>
      </c>
      <c r="I417" s="198">
        <v>1.96</v>
      </c>
      <c r="K417" s="198">
        <v>85936.67</v>
      </c>
    </row>
    <row r="418" spans="3:11" x14ac:dyDescent="0.2">
      <c r="C418" s="201" t="s">
        <v>17490</v>
      </c>
      <c r="D418" s="200">
        <v>44390</v>
      </c>
      <c r="E418" s="199" t="s">
        <v>17489</v>
      </c>
      <c r="I418" s="198">
        <v>1.68</v>
      </c>
      <c r="K418" s="198">
        <v>85938.35</v>
      </c>
    </row>
    <row r="419" spans="3:11" x14ac:dyDescent="0.2">
      <c r="C419" s="201" t="s">
        <v>215</v>
      </c>
      <c r="D419" s="200">
        <v>44390</v>
      </c>
      <c r="E419" s="199" t="s">
        <v>17488</v>
      </c>
      <c r="J419" s="222">
        <v>665.76</v>
      </c>
      <c r="K419" s="198">
        <v>85272.59</v>
      </c>
    </row>
    <row r="420" spans="3:11" x14ac:dyDescent="0.2">
      <c r="C420" s="201" t="s">
        <v>17487</v>
      </c>
      <c r="D420" s="200">
        <v>44391</v>
      </c>
      <c r="E420" s="199" t="s">
        <v>17486</v>
      </c>
      <c r="I420" s="198">
        <v>2.48</v>
      </c>
      <c r="K420" s="198">
        <v>85275.07</v>
      </c>
    </row>
    <row r="421" spans="3:11" x14ac:dyDescent="0.2">
      <c r="C421" s="201" t="s">
        <v>17485</v>
      </c>
      <c r="D421" s="200">
        <v>44391</v>
      </c>
      <c r="E421" s="199" t="s">
        <v>17484</v>
      </c>
      <c r="I421" s="198">
        <v>3.98</v>
      </c>
      <c r="K421" s="198">
        <v>85279.05</v>
      </c>
    </row>
    <row r="422" spans="3:11" x14ac:dyDescent="0.2">
      <c r="C422" s="201" t="s">
        <v>17483</v>
      </c>
      <c r="D422" s="200">
        <v>44391</v>
      </c>
      <c r="E422" s="199" t="s">
        <v>17482</v>
      </c>
      <c r="I422" s="198">
        <v>2.25</v>
      </c>
      <c r="K422" s="198">
        <v>85281.3</v>
      </c>
    </row>
    <row r="423" spans="3:11" x14ac:dyDescent="0.2">
      <c r="C423" s="201" t="s">
        <v>17481</v>
      </c>
      <c r="D423" s="200">
        <v>44391</v>
      </c>
      <c r="E423" s="199" t="s">
        <v>17480</v>
      </c>
      <c r="I423" s="198">
        <v>1.81</v>
      </c>
      <c r="K423" s="198">
        <v>85283.11</v>
      </c>
    </row>
    <row r="424" spans="3:11" x14ac:dyDescent="0.2">
      <c r="C424" s="201" t="s">
        <v>17479</v>
      </c>
      <c r="D424" s="200">
        <v>44391</v>
      </c>
      <c r="E424" s="199" t="s">
        <v>17478</v>
      </c>
      <c r="I424" s="198">
        <v>5.84</v>
      </c>
      <c r="K424" s="198">
        <v>85288.95</v>
      </c>
    </row>
    <row r="425" spans="3:11" x14ac:dyDescent="0.2">
      <c r="C425" s="201" t="s">
        <v>17477</v>
      </c>
      <c r="D425" s="200">
        <v>44391</v>
      </c>
      <c r="E425" s="199" t="s">
        <v>17476</v>
      </c>
      <c r="I425" s="198">
        <v>9.6199999999999992</v>
      </c>
      <c r="K425" s="198">
        <v>85298.57</v>
      </c>
    </row>
    <row r="426" spans="3:11" x14ac:dyDescent="0.2">
      <c r="C426" s="201" t="s">
        <v>17475</v>
      </c>
      <c r="D426" s="200">
        <v>44391</v>
      </c>
      <c r="E426" s="199" t="s">
        <v>17474</v>
      </c>
      <c r="I426" s="198">
        <v>6.33</v>
      </c>
      <c r="K426" s="198">
        <v>85304.9</v>
      </c>
    </row>
    <row r="427" spans="3:11" x14ac:dyDescent="0.2">
      <c r="C427" s="201" t="s">
        <v>17473</v>
      </c>
      <c r="D427" s="200">
        <v>44391</v>
      </c>
      <c r="E427" s="199" t="s">
        <v>17472</v>
      </c>
      <c r="I427" s="198">
        <v>7.54</v>
      </c>
      <c r="K427" s="198">
        <v>85312.44</v>
      </c>
    </row>
    <row r="428" spans="3:11" x14ac:dyDescent="0.2">
      <c r="C428" s="201" t="s">
        <v>17471</v>
      </c>
      <c r="D428" s="200">
        <v>44391</v>
      </c>
      <c r="E428" s="199" t="s">
        <v>17470</v>
      </c>
      <c r="I428" s="198">
        <v>1.61</v>
      </c>
      <c r="K428" s="198">
        <v>85314.05</v>
      </c>
    </row>
    <row r="429" spans="3:11" x14ac:dyDescent="0.2">
      <c r="C429" s="201" t="s">
        <v>17469</v>
      </c>
      <c r="D429" s="200">
        <v>44391</v>
      </c>
      <c r="E429" s="199" t="s">
        <v>17468</v>
      </c>
      <c r="I429" s="198">
        <v>1.68</v>
      </c>
      <c r="K429" s="198">
        <v>85315.73</v>
      </c>
    </row>
    <row r="430" spans="3:11" x14ac:dyDescent="0.2">
      <c r="C430" s="201" t="s">
        <v>17467</v>
      </c>
      <c r="D430" s="200">
        <v>44391</v>
      </c>
      <c r="E430" s="199" t="s">
        <v>17466</v>
      </c>
      <c r="I430" s="198">
        <v>3.4</v>
      </c>
      <c r="K430" s="198">
        <v>85319.13</v>
      </c>
    </row>
    <row r="431" spans="3:11" x14ac:dyDescent="0.2">
      <c r="C431" s="201" t="s">
        <v>17465</v>
      </c>
      <c r="D431" s="200">
        <v>44391</v>
      </c>
      <c r="E431" s="199" t="s">
        <v>17464</v>
      </c>
      <c r="I431" s="198">
        <v>8.3000000000000007</v>
      </c>
      <c r="K431" s="198">
        <v>85327.43</v>
      </c>
    </row>
    <row r="432" spans="3:11" x14ac:dyDescent="0.2">
      <c r="C432" s="201" t="s">
        <v>17463</v>
      </c>
      <c r="D432" s="200">
        <v>44391</v>
      </c>
      <c r="E432" s="199" t="s">
        <v>17462</v>
      </c>
      <c r="I432" s="198">
        <v>15.3</v>
      </c>
      <c r="K432" s="198">
        <v>85342.73</v>
      </c>
    </row>
    <row r="433" spans="3:11" x14ac:dyDescent="0.2">
      <c r="C433" s="201" t="s">
        <v>17461</v>
      </c>
      <c r="D433" s="200">
        <v>44391</v>
      </c>
      <c r="E433" s="199" t="s">
        <v>17460</v>
      </c>
      <c r="I433" s="198">
        <v>4.6100000000000003</v>
      </c>
      <c r="K433" s="198">
        <v>85347.34</v>
      </c>
    </row>
    <row r="434" spans="3:11" x14ac:dyDescent="0.2">
      <c r="C434" s="201" t="s">
        <v>17459</v>
      </c>
      <c r="D434" s="200">
        <v>44391</v>
      </c>
      <c r="E434" s="199" t="s">
        <v>17458</v>
      </c>
      <c r="I434" s="198">
        <v>5.31</v>
      </c>
      <c r="K434" s="198">
        <v>85352.65</v>
      </c>
    </row>
    <row r="435" spans="3:11" x14ac:dyDescent="0.2">
      <c r="C435" s="201" t="s">
        <v>17457</v>
      </c>
      <c r="D435" s="200">
        <v>44391</v>
      </c>
      <c r="E435" s="199" t="s">
        <v>17456</v>
      </c>
      <c r="I435" s="198">
        <v>7.17</v>
      </c>
      <c r="K435" s="198">
        <v>85359.82</v>
      </c>
    </row>
    <row r="436" spans="3:11" x14ac:dyDescent="0.2">
      <c r="C436" s="201" t="s">
        <v>17455</v>
      </c>
      <c r="D436" s="200">
        <v>44391</v>
      </c>
      <c r="E436" s="199" t="s">
        <v>17454</v>
      </c>
      <c r="I436" s="198">
        <v>8.3800000000000008</v>
      </c>
      <c r="K436" s="198">
        <v>85368.2</v>
      </c>
    </row>
    <row r="437" spans="3:11" x14ac:dyDescent="0.2">
      <c r="C437" s="201" t="s">
        <v>17453</v>
      </c>
      <c r="D437" s="200">
        <v>44391</v>
      </c>
      <c r="E437" s="199" t="s">
        <v>17452</v>
      </c>
      <c r="I437" s="198">
        <v>20.82</v>
      </c>
      <c r="K437" s="198">
        <v>85389.02</v>
      </c>
    </row>
    <row r="438" spans="3:11" x14ac:dyDescent="0.2">
      <c r="C438" s="201" t="s">
        <v>17451</v>
      </c>
      <c r="D438" s="200">
        <v>44391</v>
      </c>
      <c r="E438" s="199" t="s">
        <v>17450</v>
      </c>
      <c r="I438" s="198">
        <v>3.94</v>
      </c>
      <c r="K438" s="198">
        <v>85392.960000000006</v>
      </c>
    </row>
    <row r="439" spans="3:11" x14ac:dyDescent="0.2">
      <c r="C439" s="201" t="s">
        <v>17449</v>
      </c>
      <c r="D439" s="200">
        <v>44391</v>
      </c>
      <c r="E439" s="199" t="s">
        <v>17448</v>
      </c>
      <c r="I439" s="198">
        <v>2.97</v>
      </c>
      <c r="K439" s="198">
        <v>85395.93</v>
      </c>
    </row>
    <row r="440" spans="3:11" x14ac:dyDescent="0.2">
      <c r="C440" s="201" t="s">
        <v>17447</v>
      </c>
      <c r="D440" s="200">
        <v>44392</v>
      </c>
      <c r="E440" s="199" t="s">
        <v>17446</v>
      </c>
      <c r="I440" s="198">
        <v>3.15</v>
      </c>
      <c r="K440" s="198">
        <v>85399.08</v>
      </c>
    </row>
    <row r="441" spans="3:11" x14ac:dyDescent="0.2">
      <c r="C441" s="201" t="s">
        <v>17445</v>
      </c>
      <c r="D441" s="200">
        <v>44392</v>
      </c>
      <c r="E441" s="199" t="s">
        <v>17444</v>
      </c>
      <c r="I441" s="198">
        <v>5.17</v>
      </c>
      <c r="K441" s="198">
        <v>85404.25</v>
      </c>
    </row>
    <row r="442" spans="3:11" x14ac:dyDescent="0.2">
      <c r="C442" s="201" t="s">
        <v>17443</v>
      </c>
      <c r="D442" s="200">
        <v>44392</v>
      </c>
      <c r="E442" s="199" t="s">
        <v>17442</v>
      </c>
      <c r="I442" s="198">
        <v>3.07</v>
      </c>
      <c r="K442" s="198">
        <v>85407.32</v>
      </c>
    </row>
    <row r="443" spans="3:11" x14ac:dyDescent="0.2">
      <c r="C443" s="201" t="s">
        <v>17441</v>
      </c>
      <c r="D443" s="200">
        <v>44392</v>
      </c>
      <c r="E443" s="199" t="s">
        <v>17440</v>
      </c>
      <c r="I443" s="198">
        <v>1.96</v>
      </c>
      <c r="K443" s="198">
        <v>85409.279999999999</v>
      </c>
    </row>
    <row r="444" spans="3:11" x14ac:dyDescent="0.2">
      <c r="C444" s="201" t="s">
        <v>17439</v>
      </c>
      <c r="D444" s="200">
        <v>44392</v>
      </c>
      <c r="E444" s="199" t="s">
        <v>17438</v>
      </c>
      <c r="I444" s="198">
        <v>8.3800000000000008</v>
      </c>
      <c r="K444" s="198">
        <v>85417.66</v>
      </c>
    </row>
    <row r="445" spans="3:11" x14ac:dyDescent="0.2">
      <c r="C445" s="201" t="s">
        <v>17437</v>
      </c>
      <c r="D445" s="200">
        <v>44392</v>
      </c>
      <c r="E445" s="199" t="s">
        <v>17436</v>
      </c>
      <c r="I445" s="198">
        <v>28.17</v>
      </c>
      <c r="K445" s="198">
        <v>85445.83</v>
      </c>
    </row>
    <row r="446" spans="3:11" x14ac:dyDescent="0.2">
      <c r="C446" s="201" t="s">
        <v>17435</v>
      </c>
      <c r="D446" s="200">
        <v>44392</v>
      </c>
      <c r="E446" s="199" t="s">
        <v>17434</v>
      </c>
      <c r="I446" s="198">
        <v>30.38</v>
      </c>
      <c r="K446" s="198">
        <v>85476.21</v>
      </c>
    </row>
    <row r="447" spans="3:11" x14ac:dyDescent="0.2">
      <c r="C447" s="201" t="s">
        <v>17433</v>
      </c>
      <c r="D447" s="200">
        <v>44392</v>
      </c>
      <c r="E447" s="199" t="s">
        <v>17432</v>
      </c>
      <c r="I447" s="198">
        <v>8.3800000000000008</v>
      </c>
      <c r="K447" s="198">
        <v>85484.59</v>
      </c>
    </row>
    <row r="448" spans="3:11" x14ac:dyDescent="0.2">
      <c r="C448" s="201" t="s">
        <v>17431</v>
      </c>
      <c r="D448" s="200">
        <v>44392</v>
      </c>
      <c r="E448" s="199" t="s">
        <v>17430</v>
      </c>
      <c r="I448" s="198">
        <v>12.44</v>
      </c>
      <c r="K448" s="198">
        <v>85497.03</v>
      </c>
    </row>
    <row r="449" spans="3:11" x14ac:dyDescent="0.2">
      <c r="C449" s="201" t="s">
        <v>17429</v>
      </c>
      <c r="D449" s="200">
        <v>44392</v>
      </c>
      <c r="E449" s="199" t="s">
        <v>17428</v>
      </c>
      <c r="I449" s="198">
        <v>1.68</v>
      </c>
      <c r="K449" s="198">
        <v>85498.71</v>
      </c>
    </row>
    <row r="450" spans="3:11" x14ac:dyDescent="0.2">
      <c r="C450" s="201" t="s">
        <v>17427</v>
      </c>
      <c r="D450" s="200">
        <v>44392</v>
      </c>
      <c r="E450" s="199" t="s">
        <v>17426</v>
      </c>
      <c r="I450" s="198">
        <v>4.63</v>
      </c>
      <c r="K450" s="198">
        <v>85503.34</v>
      </c>
    </row>
    <row r="451" spans="3:11" x14ac:dyDescent="0.2">
      <c r="C451" s="201" t="s">
        <v>17425</v>
      </c>
      <c r="D451" s="200">
        <v>44392</v>
      </c>
      <c r="E451" s="199" t="s">
        <v>17424</v>
      </c>
      <c r="I451" s="198">
        <v>1.88</v>
      </c>
      <c r="K451" s="198">
        <v>85505.22</v>
      </c>
    </row>
    <row r="452" spans="3:11" x14ac:dyDescent="0.2">
      <c r="C452" s="201" t="s">
        <v>17423</v>
      </c>
      <c r="D452" s="200">
        <v>44392</v>
      </c>
      <c r="E452" s="199" t="s">
        <v>17422</v>
      </c>
      <c r="I452" s="198">
        <v>4.25</v>
      </c>
      <c r="K452" s="198">
        <v>85509.47</v>
      </c>
    </row>
    <row r="453" spans="3:11" x14ac:dyDescent="0.2">
      <c r="C453" s="201" t="s">
        <v>17421</v>
      </c>
      <c r="D453" s="200">
        <v>44392</v>
      </c>
      <c r="E453" s="199" t="s">
        <v>17420</v>
      </c>
      <c r="I453" s="198">
        <v>3.61</v>
      </c>
      <c r="K453" s="198">
        <v>85513.08</v>
      </c>
    </row>
    <row r="454" spans="3:11" x14ac:dyDescent="0.2">
      <c r="C454" s="201" t="s">
        <v>17419</v>
      </c>
      <c r="D454" s="200">
        <v>44392</v>
      </c>
      <c r="E454" s="199" t="s">
        <v>17418</v>
      </c>
      <c r="I454" s="198">
        <v>4.4400000000000004</v>
      </c>
      <c r="K454" s="198">
        <v>85517.52</v>
      </c>
    </row>
    <row r="455" spans="3:11" x14ac:dyDescent="0.2">
      <c r="C455" s="201" t="s">
        <v>17417</v>
      </c>
      <c r="D455" s="200">
        <v>44392</v>
      </c>
      <c r="E455" s="199" t="s">
        <v>17416</v>
      </c>
      <c r="I455" s="198">
        <v>4.13</v>
      </c>
      <c r="K455" s="198">
        <v>85521.65</v>
      </c>
    </row>
    <row r="456" spans="3:11" x14ac:dyDescent="0.2">
      <c r="C456" s="201" t="s">
        <v>17415</v>
      </c>
      <c r="D456" s="200">
        <v>44392</v>
      </c>
      <c r="E456" s="199" t="s">
        <v>17414</v>
      </c>
      <c r="I456" s="198">
        <v>8.3800000000000008</v>
      </c>
      <c r="K456" s="198">
        <v>85530.03</v>
      </c>
    </row>
    <row r="457" spans="3:11" x14ac:dyDescent="0.2">
      <c r="C457" s="201" t="s">
        <v>17413</v>
      </c>
      <c r="D457" s="200">
        <v>44392</v>
      </c>
      <c r="E457" s="199" t="s">
        <v>17412</v>
      </c>
      <c r="I457" s="198">
        <v>6.37</v>
      </c>
      <c r="K457" s="198">
        <v>85536.4</v>
      </c>
    </row>
    <row r="458" spans="3:11" x14ac:dyDescent="0.2">
      <c r="C458" s="201" t="s">
        <v>17411</v>
      </c>
      <c r="D458" s="200">
        <v>44392</v>
      </c>
      <c r="E458" s="199" t="s">
        <v>17410</v>
      </c>
      <c r="I458" s="198">
        <v>17.07</v>
      </c>
      <c r="K458" s="198">
        <v>85553.47</v>
      </c>
    </row>
    <row r="459" spans="3:11" x14ac:dyDescent="0.2">
      <c r="C459" s="201" t="s">
        <v>17409</v>
      </c>
      <c r="D459" s="200">
        <v>44392</v>
      </c>
      <c r="E459" s="199" t="s">
        <v>17408</v>
      </c>
      <c r="I459" s="198">
        <v>13.04</v>
      </c>
      <c r="K459" s="198">
        <v>85566.51</v>
      </c>
    </row>
    <row r="460" spans="3:11" x14ac:dyDescent="0.2">
      <c r="C460" s="201" t="s">
        <v>17407</v>
      </c>
      <c r="D460" s="200">
        <v>44392</v>
      </c>
      <c r="E460" s="199" t="s">
        <v>17406</v>
      </c>
      <c r="I460" s="198">
        <v>1.68</v>
      </c>
      <c r="K460" s="198">
        <v>85568.19</v>
      </c>
    </row>
    <row r="461" spans="3:11" x14ac:dyDescent="0.2">
      <c r="C461" s="201" t="s">
        <v>17405</v>
      </c>
      <c r="D461" s="200">
        <v>44392</v>
      </c>
      <c r="E461" s="199" t="s">
        <v>17404</v>
      </c>
      <c r="I461" s="198">
        <v>2.88</v>
      </c>
      <c r="K461" s="198">
        <v>85571.07</v>
      </c>
    </row>
    <row r="462" spans="3:11" x14ac:dyDescent="0.2">
      <c r="C462" s="201" t="s">
        <v>17403</v>
      </c>
      <c r="D462" s="200">
        <v>44392</v>
      </c>
      <c r="E462" s="199" t="s">
        <v>17402</v>
      </c>
      <c r="I462" s="198">
        <v>1.85</v>
      </c>
      <c r="K462" s="198">
        <v>85572.92</v>
      </c>
    </row>
    <row r="463" spans="3:11" x14ac:dyDescent="0.2">
      <c r="C463" s="201" t="s">
        <v>17401</v>
      </c>
      <c r="D463" s="200">
        <v>44392</v>
      </c>
      <c r="E463" s="199" t="s">
        <v>17400</v>
      </c>
      <c r="I463" s="198">
        <v>2.0299999999999998</v>
      </c>
      <c r="K463" s="198">
        <v>85574.95</v>
      </c>
    </row>
    <row r="464" spans="3:11" x14ac:dyDescent="0.2">
      <c r="C464" s="201" t="s">
        <v>17399</v>
      </c>
      <c r="D464" s="200">
        <v>44392</v>
      </c>
      <c r="E464" s="199" t="s">
        <v>17398</v>
      </c>
      <c r="I464" s="198">
        <v>1.88</v>
      </c>
      <c r="K464" s="198">
        <v>85576.83</v>
      </c>
    </row>
    <row r="465" spans="3:11" x14ac:dyDescent="0.2">
      <c r="C465" s="201" t="s">
        <v>17397</v>
      </c>
      <c r="D465" s="200">
        <v>44392</v>
      </c>
      <c r="E465" s="199" t="s">
        <v>17396</v>
      </c>
      <c r="I465" s="198">
        <v>13.37</v>
      </c>
      <c r="K465" s="198">
        <v>85590.2</v>
      </c>
    </row>
    <row r="466" spans="3:11" x14ac:dyDescent="0.2">
      <c r="C466" s="201" t="s">
        <v>17395</v>
      </c>
      <c r="D466" s="200">
        <v>44392</v>
      </c>
      <c r="E466" s="199" t="s">
        <v>17394</v>
      </c>
      <c r="I466" s="198">
        <v>1.68</v>
      </c>
      <c r="K466" s="198">
        <v>85591.88</v>
      </c>
    </row>
    <row r="467" spans="3:11" x14ac:dyDescent="0.2">
      <c r="C467" s="201" t="s">
        <v>17393</v>
      </c>
      <c r="D467" s="200">
        <v>44392</v>
      </c>
      <c r="E467" s="199" t="s">
        <v>17392</v>
      </c>
      <c r="I467" s="198">
        <v>5.04</v>
      </c>
      <c r="K467" s="198">
        <v>85596.92</v>
      </c>
    </row>
    <row r="468" spans="3:11" x14ac:dyDescent="0.2">
      <c r="C468" s="201" t="s">
        <v>8280</v>
      </c>
      <c r="D468" s="200">
        <v>44392</v>
      </c>
      <c r="E468" s="199" t="s">
        <v>17391</v>
      </c>
      <c r="J468" s="222">
        <v>2860</v>
      </c>
      <c r="K468" s="198">
        <v>82736.92</v>
      </c>
    </row>
    <row r="469" spans="3:11" x14ac:dyDescent="0.2">
      <c r="C469" s="201" t="s">
        <v>7049</v>
      </c>
      <c r="D469" s="200">
        <v>44392</v>
      </c>
      <c r="E469" s="199" t="s">
        <v>17390</v>
      </c>
      <c r="J469" s="222">
        <v>1800</v>
      </c>
      <c r="K469" s="198">
        <v>80936.92</v>
      </c>
    </row>
    <row r="470" spans="3:11" x14ac:dyDescent="0.2">
      <c r="C470" s="201" t="s">
        <v>6751</v>
      </c>
      <c r="D470" s="200">
        <v>44392</v>
      </c>
      <c r="E470" s="199" t="s">
        <v>17389</v>
      </c>
      <c r="J470" s="222">
        <v>513.33000000000004</v>
      </c>
      <c r="K470" s="198">
        <v>80423.59</v>
      </c>
    </row>
    <row r="471" spans="3:11" x14ac:dyDescent="0.2">
      <c r="C471" s="201" t="s">
        <v>1537</v>
      </c>
      <c r="D471" s="200">
        <v>44392</v>
      </c>
      <c r="E471" s="199" t="s">
        <v>17388</v>
      </c>
      <c r="J471" s="222">
        <v>140</v>
      </c>
      <c r="K471" s="198">
        <v>80283.59</v>
      </c>
    </row>
    <row r="472" spans="3:11" x14ac:dyDescent="0.2">
      <c r="C472" s="201" t="s">
        <v>17387</v>
      </c>
      <c r="D472" s="200">
        <v>44393</v>
      </c>
      <c r="E472" s="199" t="s">
        <v>17386</v>
      </c>
      <c r="I472" s="198">
        <v>8.3800000000000008</v>
      </c>
      <c r="K472" s="198">
        <v>80291.97</v>
      </c>
    </row>
    <row r="473" spans="3:11" x14ac:dyDescent="0.2">
      <c r="C473" s="201" t="s">
        <v>17385</v>
      </c>
      <c r="D473" s="200">
        <v>44393</v>
      </c>
      <c r="E473" s="199" t="s">
        <v>17384</v>
      </c>
      <c r="I473" s="198">
        <v>11334.47</v>
      </c>
      <c r="K473" s="198">
        <v>91626.44</v>
      </c>
    </row>
    <row r="474" spans="3:11" x14ac:dyDescent="0.2">
      <c r="C474" s="201" t="s">
        <v>17383</v>
      </c>
      <c r="D474" s="200">
        <v>44393</v>
      </c>
      <c r="E474" s="199" t="s">
        <v>17382</v>
      </c>
      <c r="I474" s="198">
        <v>0.35</v>
      </c>
      <c r="K474" s="198">
        <v>91626.79</v>
      </c>
    </row>
    <row r="475" spans="3:11" x14ac:dyDescent="0.2">
      <c r="C475" s="201" t="s">
        <v>17381</v>
      </c>
      <c r="D475" s="200">
        <v>44393</v>
      </c>
      <c r="E475" s="199" t="s">
        <v>17380</v>
      </c>
      <c r="I475" s="198">
        <v>1.94</v>
      </c>
      <c r="K475" s="198">
        <v>91628.73</v>
      </c>
    </row>
    <row r="476" spans="3:11" x14ac:dyDescent="0.2">
      <c r="C476" s="201" t="s">
        <v>17379</v>
      </c>
      <c r="D476" s="200">
        <v>44393</v>
      </c>
      <c r="E476" s="199" t="s">
        <v>17378</v>
      </c>
      <c r="I476" s="198">
        <v>13.88</v>
      </c>
      <c r="K476" s="198">
        <v>91642.61</v>
      </c>
    </row>
    <row r="477" spans="3:11" x14ac:dyDescent="0.2">
      <c r="C477" s="201" t="s">
        <v>17377</v>
      </c>
      <c r="D477" s="200">
        <v>44393</v>
      </c>
      <c r="E477" s="199" t="s">
        <v>17376</v>
      </c>
      <c r="I477" s="198">
        <v>12.3</v>
      </c>
      <c r="K477" s="198">
        <v>91654.91</v>
      </c>
    </row>
    <row r="478" spans="3:11" x14ac:dyDescent="0.2">
      <c r="C478" s="201" t="s">
        <v>17375</v>
      </c>
      <c r="D478" s="200">
        <v>44393</v>
      </c>
      <c r="E478" s="199" t="s">
        <v>17374</v>
      </c>
      <c r="I478" s="198">
        <v>3.21</v>
      </c>
      <c r="K478" s="198">
        <v>91658.12</v>
      </c>
    </row>
    <row r="479" spans="3:11" x14ac:dyDescent="0.2">
      <c r="C479" s="201" t="s">
        <v>17373</v>
      </c>
      <c r="D479" s="200">
        <v>44393</v>
      </c>
      <c r="E479" s="199" t="s">
        <v>17372</v>
      </c>
      <c r="I479" s="198">
        <v>1.88</v>
      </c>
      <c r="K479" s="198">
        <v>91660</v>
      </c>
    </row>
    <row r="480" spans="3:11" x14ac:dyDescent="0.2">
      <c r="C480" s="201" t="s">
        <v>17371</v>
      </c>
      <c r="D480" s="200">
        <v>44393</v>
      </c>
      <c r="E480" s="199" t="s">
        <v>17370</v>
      </c>
      <c r="I480" s="198">
        <v>8.9499999999999993</v>
      </c>
      <c r="K480" s="198">
        <v>91668.95</v>
      </c>
    </row>
    <row r="481" spans="3:11" x14ac:dyDescent="0.2">
      <c r="C481" s="201" t="s">
        <v>17369</v>
      </c>
      <c r="D481" s="200">
        <v>44393</v>
      </c>
      <c r="E481" s="199" t="s">
        <v>17368</v>
      </c>
      <c r="I481" s="198">
        <v>12.3</v>
      </c>
      <c r="K481" s="198">
        <v>91681.25</v>
      </c>
    </row>
    <row r="482" spans="3:11" x14ac:dyDescent="0.2">
      <c r="C482" s="201" t="s">
        <v>17367</v>
      </c>
      <c r="D482" s="200">
        <v>44393</v>
      </c>
      <c r="E482" s="199" t="s">
        <v>17366</v>
      </c>
      <c r="I482" s="198">
        <v>5.04</v>
      </c>
      <c r="K482" s="198">
        <v>91686.29</v>
      </c>
    </row>
    <row r="483" spans="3:11" x14ac:dyDescent="0.2">
      <c r="C483" s="201" t="s">
        <v>17365</v>
      </c>
      <c r="D483" s="200">
        <v>44393</v>
      </c>
      <c r="E483" s="199" t="s">
        <v>17364</v>
      </c>
      <c r="I483" s="198">
        <v>95.35</v>
      </c>
      <c r="K483" s="198">
        <v>91781.64</v>
      </c>
    </row>
    <row r="484" spans="3:11" x14ac:dyDescent="0.2">
      <c r="C484" s="201" t="s">
        <v>17363</v>
      </c>
      <c r="D484" s="200">
        <v>44393</v>
      </c>
      <c r="E484" s="199" t="s">
        <v>17362</v>
      </c>
      <c r="I484" s="198">
        <v>1.7</v>
      </c>
      <c r="K484" s="198">
        <v>91783.34</v>
      </c>
    </row>
    <row r="485" spans="3:11" x14ac:dyDescent="0.2">
      <c r="C485" s="201" t="s">
        <v>17361</v>
      </c>
      <c r="D485" s="200">
        <v>44393</v>
      </c>
      <c r="E485" s="199" t="s">
        <v>17360</v>
      </c>
      <c r="I485" s="198">
        <v>5.53</v>
      </c>
      <c r="K485" s="198">
        <v>91788.87</v>
      </c>
    </row>
    <row r="486" spans="3:11" x14ac:dyDescent="0.2">
      <c r="C486" s="201" t="s">
        <v>17359</v>
      </c>
      <c r="D486" s="200">
        <v>44393</v>
      </c>
      <c r="E486" s="199" t="s">
        <v>17358</v>
      </c>
      <c r="I486" s="198">
        <v>3.08</v>
      </c>
      <c r="K486" s="198">
        <v>91791.95</v>
      </c>
    </row>
    <row r="487" spans="3:11" x14ac:dyDescent="0.2">
      <c r="C487" s="201" t="s">
        <v>17357</v>
      </c>
      <c r="D487" s="200">
        <v>44393</v>
      </c>
      <c r="E487" s="199" t="s">
        <v>17356</v>
      </c>
      <c r="I487" s="198">
        <v>10.7</v>
      </c>
      <c r="K487" s="198">
        <v>91802.65</v>
      </c>
    </row>
    <row r="488" spans="3:11" x14ac:dyDescent="0.2">
      <c r="C488" s="201" t="s">
        <v>17355</v>
      </c>
      <c r="D488" s="200">
        <v>44393</v>
      </c>
      <c r="E488" s="199" t="s">
        <v>17354</v>
      </c>
      <c r="I488" s="198">
        <v>5.47</v>
      </c>
      <c r="K488" s="198">
        <v>91808.12</v>
      </c>
    </row>
    <row r="489" spans="3:11" x14ac:dyDescent="0.2">
      <c r="C489" s="201" t="s">
        <v>17353</v>
      </c>
      <c r="D489" s="200">
        <v>44393</v>
      </c>
      <c r="E489" s="199" t="s">
        <v>17352</v>
      </c>
      <c r="I489" s="198">
        <v>7.88</v>
      </c>
      <c r="K489" s="198">
        <v>91816</v>
      </c>
    </row>
    <row r="490" spans="3:11" x14ac:dyDescent="0.2">
      <c r="C490" s="201" t="s">
        <v>17351</v>
      </c>
      <c r="D490" s="200">
        <v>44393</v>
      </c>
      <c r="E490" s="199" t="s">
        <v>17350</v>
      </c>
      <c r="I490" s="198">
        <v>5.04</v>
      </c>
      <c r="K490" s="198">
        <v>91821.04</v>
      </c>
    </row>
    <row r="491" spans="3:11" x14ac:dyDescent="0.2">
      <c r="C491" s="201" t="s">
        <v>17349</v>
      </c>
      <c r="D491" s="200">
        <v>44393</v>
      </c>
      <c r="E491" s="199" t="s">
        <v>17348</v>
      </c>
      <c r="I491" s="198">
        <v>13.88</v>
      </c>
      <c r="K491" s="198">
        <v>91834.92</v>
      </c>
    </row>
    <row r="492" spans="3:11" x14ac:dyDescent="0.2">
      <c r="C492" s="201" t="s">
        <v>17347</v>
      </c>
      <c r="D492" s="200">
        <v>44393</v>
      </c>
      <c r="E492" s="199" t="s">
        <v>17346</v>
      </c>
      <c r="I492" s="198">
        <v>5.44</v>
      </c>
      <c r="K492" s="198">
        <v>91840.36</v>
      </c>
    </row>
    <row r="493" spans="3:11" x14ac:dyDescent="0.2">
      <c r="C493" s="201" t="s">
        <v>17345</v>
      </c>
      <c r="D493" s="200">
        <v>44393</v>
      </c>
      <c r="E493" s="199" t="s">
        <v>17344</v>
      </c>
      <c r="I493" s="198">
        <v>17.329999999999998</v>
      </c>
      <c r="K493" s="198">
        <v>91857.69</v>
      </c>
    </row>
    <row r="494" spans="3:11" x14ac:dyDescent="0.2">
      <c r="C494" s="201" t="s">
        <v>17343</v>
      </c>
      <c r="D494" s="200">
        <v>44393</v>
      </c>
      <c r="E494" s="199" t="s">
        <v>17342</v>
      </c>
      <c r="I494" s="198">
        <v>1.72</v>
      </c>
      <c r="K494" s="198">
        <v>91859.41</v>
      </c>
    </row>
    <row r="495" spans="3:11" x14ac:dyDescent="0.2">
      <c r="C495" s="201" t="s">
        <v>17341</v>
      </c>
      <c r="D495" s="200">
        <v>44393</v>
      </c>
      <c r="E495" s="199" t="s">
        <v>17340</v>
      </c>
      <c r="I495" s="198">
        <v>4.45</v>
      </c>
      <c r="K495" s="198">
        <v>91863.86</v>
      </c>
    </row>
    <row r="496" spans="3:11" x14ac:dyDescent="0.2">
      <c r="C496" s="201" t="s">
        <v>17339</v>
      </c>
      <c r="D496" s="200">
        <v>44393</v>
      </c>
      <c r="E496" s="199" t="s">
        <v>17338</v>
      </c>
      <c r="I496" s="198">
        <v>0.76</v>
      </c>
      <c r="K496" s="198">
        <v>91864.62</v>
      </c>
    </row>
    <row r="497" spans="3:11" x14ac:dyDescent="0.2">
      <c r="C497" s="201" t="s">
        <v>17337</v>
      </c>
      <c r="D497" s="200">
        <v>44393</v>
      </c>
      <c r="E497" s="199" t="s">
        <v>17336</v>
      </c>
      <c r="I497" s="198">
        <v>6.05</v>
      </c>
      <c r="K497" s="198">
        <v>91870.67</v>
      </c>
    </row>
    <row r="498" spans="3:11" x14ac:dyDescent="0.2">
      <c r="C498" s="201" t="s">
        <v>17335</v>
      </c>
      <c r="D498" s="200">
        <v>44393</v>
      </c>
      <c r="E498" s="199" t="s">
        <v>17334</v>
      </c>
      <c r="I498" s="198">
        <v>23.25</v>
      </c>
      <c r="K498" s="198">
        <v>91893.92</v>
      </c>
    </row>
    <row r="499" spans="3:11" x14ac:dyDescent="0.2">
      <c r="C499" s="201" t="s">
        <v>17333</v>
      </c>
      <c r="D499" s="200">
        <v>44393</v>
      </c>
      <c r="E499" s="199" t="s">
        <v>17332</v>
      </c>
      <c r="I499" s="198">
        <v>11.88</v>
      </c>
      <c r="K499" s="198">
        <v>91905.8</v>
      </c>
    </row>
    <row r="500" spans="3:11" x14ac:dyDescent="0.2">
      <c r="C500" s="201" t="s">
        <v>17331</v>
      </c>
      <c r="D500" s="200">
        <v>44393</v>
      </c>
      <c r="E500" s="199" t="s">
        <v>17330</v>
      </c>
      <c r="I500" s="198">
        <v>200.5</v>
      </c>
      <c r="K500" s="198">
        <v>92106.3</v>
      </c>
    </row>
    <row r="501" spans="3:11" x14ac:dyDescent="0.2">
      <c r="C501" s="201" t="s">
        <v>17329</v>
      </c>
      <c r="D501" s="200">
        <v>44394</v>
      </c>
      <c r="E501" s="199" t="s">
        <v>17328</v>
      </c>
      <c r="I501" s="198">
        <v>3.01</v>
      </c>
      <c r="K501" s="198">
        <v>92109.31</v>
      </c>
    </row>
    <row r="502" spans="3:11" x14ac:dyDescent="0.2">
      <c r="C502" s="201" t="s">
        <v>17327</v>
      </c>
      <c r="D502" s="200">
        <v>44394</v>
      </c>
      <c r="E502" s="199" t="s">
        <v>17326</v>
      </c>
      <c r="I502" s="198">
        <v>1.68</v>
      </c>
      <c r="K502" s="198">
        <v>92110.99</v>
      </c>
    </row>
    <row r="503" spans="3:11" x14ac:dyDescent="0.2">
      <c r="C503" s="201" t="s">
        <v>17325</v>
      </c>
      <c r="D503" s="200">
        <v>44394</v>
      </c>
      <c r="E503" s="199" t="s">
        <v>17324</v>
      </c>
      <c r="I503" s="198">
        <v>9.18</v>
      </c>
      <c r="K503" s="198">
        <v>92120.17</v>
      </c>
    </row>
    <row r="504" spans="3:11" x14ac:dyDescent="0.2">
      <c r="C504" s="201" t="s">
        <v>17323</v>
      </c>
      <c r="D504" s="200">
        <v>44394</v>
      </c>
      <c r="E504" s="199" t="s">
        <v>17322</v>
      </c>
      <c r="I504" s="198">
        <v>13.27</v>
      </c>
      <c r="K504" s="198">
        <v>92133.440000000002</v>
      </c>
    </row>
    <row r="505" spans="3:11" x14ac:dyDescent="0.2">
      <c r="C505" s="201" t="s">
        <v>17321</v>
      </c>
      <c r="D505" s="200">
        <v>44394</v>
      </c>
      <c r="E505" s="199" t="s">
        <v>17320</v>
      </c>
      <c r="I505" s="198">
        <v>3.32</v>
      </c>
      <c r="K505" s="198">
        <v>92136.76</v>
      </c>
    </row>
    <row r="506" spans="3:11" x14ac:dyDescent="0.2">
      <c r="C506" s="201" t="s">
        <v>17319</v>
      </c>
      <c r="D506" s="200">
        <v>44394</v>
      </c>
      <c r="E506" s="199" t="s">
        <v>17318</v>
      </c>
      <c r="I506" s="198">
        <v>13.32</v>
      </c>
      <c r="K506" s="198">
        <v>92150.080000000002</v>
      </c>
    </row>
    <row r="507" spans="3:11" x14ac:dyDescent="0.2">
      <c r="C507" s="201" t="s">
        <v>17317</v>
      </c>
      <c r="D507" s="200">
        <v>44394</v>
      </c>
      <c r="E507" s="199" t="s">
        <v>17316</v>
      </c>
      <c r="I507" s="198">
        <v>2.5299999999999998</v>
      </c>
      <c r="K507" s="198">
        <v>92152.61</v>
      </c>
    </row>
    <row r="508" spans="3:11" x14ac:dyDescent="0.2">
      <c r="C508" s="201" t="s">
        <v>17315</v>
      </c>
      <c r="D508" s="200">
        <v>44394</v>
      </c>
      <c r="E508" s="199" t="s">
        <v>17314</v>
      </c>
      <c r="I508" s="198">
        <v>1.68</v>
      </c>
      <c r="K508" s="198">
        <v>92154.29</v>
      </c>
    </row>
    <row r="509" spans="3:11" x14ac:dyDescent="0.2">
      <c r="C509" s="201" t="s">
        <v>17313</v>
      </c>
      <c r="D509" s="200">
        <v>44394</v>
      </c>
      <c r="E509" s="199" t="s">
        <v>17312</v>
      </c>
      <c r="I509" s="198">
        <v>14.02</v>
      </c>
      <c r="K509" s="198">
        <v>92168.31</v>
      </c>
    </row>
    <row r="510" spans="3:11" x14ac:dyDescent="0.2">
      <c r="C510" s="201" t="s">
        <v>17311</v>
      </c>
      <c r="D510" s="200">
        <v>44394</v>
      </c>
      <c r="E510" s="199" t="s">
        <v>17310</v>
      </c>
      <c r="I510" s="198">
        <v>3.58</v>
      </c>
      <c r="K510" s="198">
        <v>92171.89</v>
      </c>
    </row>
    <row r="511" spans="3:11" x14ac:dyDescent="0.2">
      <c r="C511" s="201" t="s">
        <v>17309</v>
      </c>
      <c r="D511" s="200">
        <v>44394</v>
      </c>
      <c r="E511" s="199" t="s">
        <v>17308</v>
      </c>
      <c r="I511" s="198">
        <v>3.36</v>
      </c>
      <c r="K511" s="198">
        <v>92175.25</v>
      </c>
    </row>
    <row r="512" spans="3:11" x14ac:dyDescent="0.2">
      <c r="C512" s="201" t="s">
        <v>17307</v>
      </c>
      <c r="D512" s="200">
        <v>44394</v>
      </c>
      <c r="E512" s="199" t="s">
        <v>17306</v>
      </c>
      <c r="I512" s="198">
        <v>11.26</v>
      </c>
      <c r="K512" s="198">
        <v>92186.51</v>
      </c>
    </row>
    <row r="513" spans="3:11" x14ac:dyDescent="0.2">
      <c r="C513" s="201" t="s">
        <v>17305</v>
      </c>
      <c r="D513" s="200">
        <v>44395</v>
      </c>
      <c r="E513" s="199" t="s">
        <v>17304</v>
      </c>
      <c r="I513" s="198">
        <v>1.68</v>
      </c>
      <c r="K513" s="198">
        <v>92188.19</v>
      </c>
    </row>
    <row r="514" spans="3:11" x14ac:dyDescent="0.2">
      <c r="C514" s="201" t="s">
        <v>17303</v>
      </c>
      <c r="D514" s="200">
        <v>44395</v>
      </c>
      <c r="E514" s="199" t="s">
        <v>17302</v>
      </c>
      <c r="I514" s="198">
        <v>19.2</v>
      </c>
      <c r="K514" s="198">
        <v>92207.39</v>
      </c>
    </row>
    <row r="515" spans="3:11" x14ac:dyDescent="0.2">
      <c r="C515" s="201" t="s">
        <v>17301</v>
      </c>
      <c r="D515" s="200">
        <v>44395</v>
      </c>
      <c r="E515" s="199" t="s">
        <v>17300</v>
      </c>
      <c r="I515" s="198">
        <v>5.88</v>
      </c>
      <c r="K515" s="198">
        <v>92213.27</v>
      </c>
    </row>
    <row r="516" spans="3:11" x14ac:dyDescent="0.2">
      <c r="C516" s="201" t="s">
        <v>17299</v>
      </c>
      <c r="D516" s="200">
        <v>44395</v>
      </c>
      <c r="E516" s="199" t="s">
        <v>17298</v>
      </c>
      <c r="I516" s="198">
        <v>10.6</v>
      </c>
      <c r="K516" s="198">
        <v>92223.87</v>
      </c>
    </row>
    <row r="517" spans="3:11" x14ac:dyDescent="0.2">
      <c r="C517" s="201" t="s">
        <v>17297</v>
      </c>
      <c r="D517" s="200">
        <v>44396</v>
      </c>
      <c r="E517" s="199" t="s">
        <v>17296</v>
      </c>
      <c r="I517" s="198">
        <v>41.89</v>
      </c>
      <c r="K517" s="198">
        <v>92265.76</v>
      </c>
    </row>
    <row r="518" spans="3:11" x14ac:dyDescent="0.2">
      <c r="C518" s="201" t="s">
        <v>17295</v>
      </c>
      <c r="D518" s="200">
        <v>44396</v>
      </c>
      <c r="E518" s="199" t="s">
        <v>17294</v>
      </c>
      <c r="I518" s="198">
        <v>38.64</v>
      </c>
      <c r="K518" s="198">
        <v>92304.4</v>
      </c>
    </row>
    <row r="519" spans="3:11" x14ac:dyDescent="0.2">
      <c r="C519" s="201" t="s">
        <v>17293</v>
      </c>
      <c r="D519" s="200">
        <v>44396</v>
      </c>
      <c r="E519" s="199" t="s">
        <v>17292</v>
      </c>
      <c r="I519" s="198">
        <v>1.86</v>
      </c>
      <c r="K519" s="198">
        <v>92306.26</v>
      </c>
    </row>
    <row r="520" spans="3:11" x14ac:dyDescent="0.2">
      <c r="C520" s="201" t="s">
        <v>17291</v>
      </c>
      <c r="D520" s="200">
        <v>44396</v>
      </c>
      <c r="E520" s="199" t="s">
        <v>17290</v>
      </c>
      <c r="I520" s="198">
        <v>8.3800000000000008</v>
      </c>
      <c r="K520" s="198">
        <v>92314.64</v>
      </c>
    </row>
    <row r="521" spans="3:11" x14ac:dyDescent="0.2">
      <c r="C521" s="201" t="s">
        <v>17289</v>
      </c>
      <c r="D521" s="200">
        <v>44396</v>
      </c>
      <c r="E521" s="199" t="s">
        <v>17288</v>
      </c>
      <c r="I521" s="198">
        <v>10.43</v>
      </c>
      <c r="K521" s="198">
        <v>92325.07</v>
      </c>
    </row>
    <row r="522" spans="3:11" x14ac:dyDescent="0.2">
      <c r="C522" s="201" t="s">
        <v>17287</v>
      </c>
      <c r="D522" s="200">
        <v>44396</v>
      </c>
      <c r="E522" s="199" t="s">
        <v>17286</v>
      </c>
      <c r="I522" s="198">
        <v>1.68</v>
      </c>
      <c r="K522" s="198">
        <v>92326.75</v>
      </c>
    </row>
    <row r="523" spans="3:11" x14ac:dyDescent="0.2">
      <c r="C523" s="201" t="s">
        <v>17285</v>
      </c>
      <c r="D523" s="200">
        <v>44396</v>
      </c>
      <c r="E523" s="199" t="s">
        <v>17284</v>
      </c>
      <c r="I523" s="198">
        <v>2.36</v>
      </c>
      <c r="K523" s="198">
        <v>92329.11</v>
      </c>
    </row>
    <row r="524" spans="3:11" x14ac:dyDescent="0.2">
      <c r="C524" s="201" t="s">
        <v>17283</v>
      </c>
      <c r="D524" s="200">
        <v>44396</v>
      </c>
      <c r="E524" s="199" t="s">
        <v>17282</v>
      </c>
      <c r="I524" s="198">
        <v>3.71</v>
      </c>
      <c r="K524" s="198">
        <v>92332.82</v>
      </c>
    </row>
    <row r="525" spans="3:11" x14ac:dyDescent="0.2">
      <c r="C525" s="201" t="s">
        <v>17281</v>
      </c>
      <c r="D525" s="200">
        <v>44396</v>
      </c>
      <c r="E525" s="199" t="s">
        <v>17280</v>
      </c>
      <c r="I525" s="198">
        <v>1.94</v>
      </c>
      <c r="K525" s="198">
        <v>92334.76</v>
      </c>
    </row>
    <row r="526" spans="3:11" x14ac:dyDescent="0.2">
      <c r="C526" s="201" t="s">
        <v>17279</v>
      </c>
      <c r="D526" s="200">
        <v>44396</v>
      </c>
      <c r="E526" s="199" t="s">
        <v>17278</v>
      </c>
      <c r="I526" s="198">
        <v>4.42</v>
      </c>
      <c r="K526" s="198">
        <v>92339.18</v>
      </c>
    </row>
    <row r="527" spans="3:11" x14ac:dyDescent="0.2">
      <c r="C527" s="201" t="s">
        <v>17277</v>
      </c>
      <c r="D527" s="200">
        <v>44396</v>
      </c>
      <c r="E527" s="199" t="s">
        <v>17276</v>
      </c>
      <c r="I527" s="198">
        <v>2.74</v>
      </c>
      <c r="K527" s="198">
        <v>92341.92</v>
      </c>
    </row>
    <row r="528" spans="3:11" x14ac:dyDescent="0.2">
      <c r="C528" s="201" t="s">
        <v>17275</v>
      </c>
      <c r="D528" s="200">
        <v>44396</v>
      </c>
      <c r="E528" s="199" t="s">
        <v>17274</v>
      </c>
      <c r="I528" s="198">
        <v>2.65</v>
      </c>
      <c r="K528" s="198">
        <v>92344.57</v>
      </c>
    </row>
    <row r="529" spans="3:11" x14ac:dyDescent="0.2">
      <c r="C529" s="201" t="s">
        <v>17273</v>
      </c>
      <c r="D529" s="200">
        <v>44396</v>
      </c>
      <c r="E529" s="199" t="s">
        <v>17272</v>
      </c>
      <c r="I529" s="198">
        <v>3.76</v>
      </c>
      <c r="K529" s="198">
        <v>92348.33</v>
      </c>
    </row>
    <row r="530" spans="3:11" x14ac:dyDescent="0.2">
      <c r="C530" s="201" t="s">
        <v>17271</v>
      </c>
      <c r="D530" s="200">
        <v>44396</v>
      </c>
      <c r="E530" s="199" t="s">
        <v>17270</v>
      </c>
      <c r="I530" s="198">
        <v>1.68</v>
      </c>
      <c r="K530" s="198">
        <v>92350.01</v>
      </c>
    </row>
    <row r="531" spans="3:11" x14ac:dyDescent="0.2">
      <c r="C531" s="201" t="s">
        <v>17269</v>
      </c>
      <c r="D531" s="200">
        <v>44396</v>
      </c>
      <c r="E531" s="199" t="s">
        <v>17268</v>
      </c>
      <c r="I531" s="198">
        <v>1.68</v>
      </c>
      <c r="K531" s="198">
        <v>92351.69</v>
      </c>
    </row>
    <row r="532" spans="3:11" x14ac:dyDescent="0.2">
      <c r="C532" s="201" t="s">
        <v>17267</v>
      </c>
      <c r="D532" s="200">
        <v>44396</v>
      </c>
      <c r="E532" s="199" t="s">
        <v>17266</v>
      </c>
      <c r="I532" s="198">
        <v>10.62</v>
      </c>
      <c r="K532" s="198">
        <v>92362.31</v>
      </c>
    </row>
    <row r="533" spans="3:11" x14ac:dyDescent="0.2">
      <c r="C533" s="201" t="s">
        <v>17265</v>
      </c>
      <c r="D533" s="200">
        <v>44396</v>
      </c>
      <c r="E533" s="199" t="s">
        <v>17264</v>
      </c>
      <c r="I533" s="198">
        <v>1.94</v>
      </c>
      <c r="K533" s="198">
        <v>92364.25</v>
      </c>
    </row>
    <row r="534" spans="3:11" x14ac:dyDescent="0.2">
      <c r="C534" s="201" t="s">
        <v>17263</v>
      </c>
      <c r="D534" s="200">
        <v>44396</v>
      </c>
      <c r="E534" s="199" t="s">
        <v>17262</v>
      </c>
      <c r="I534" s="198">
        <v>1.94</v>
      </c>
      <c r="K534" s="198">
        <v>92366.19</v>
      </c>
    </row>
    <row r="535" spans="3:11" x14ac:dyDescent="0.2">
      <c r="C535" s="201" t="s">
        <v>17261</v>
      </c>
      <c r="D535" s="200">
        <v>44396</v>
      </c>
      <c r="E535" s="199" t="s">
        <v>17260</v>
      </c>
      <c r="I535" s="198">
        <v>3.84</v>
      </c>
      <c r="K535" s="198">
        <v>92370.03</v>
      </c>
    </row>
    <row r="536" spans="3:11" x14ac:dyDescent="0.2">
      <c r="C536" s="201" t="s">
        <v>17259</v>
      </c>
      <c r="D536" s="200">
        <v>44396</v>
      </c>
      <c r="E536" s="199" t="s">
        <v>17258</v>
      </c>
      <c r="I536" s="198">
        <v>3.87</v>
      </c>
      <c r="K536" s="198">
        <v>92373.9</v>
      </c>
    </row>
    <row r="537" spans="3:11" x14ac:dyDescent="0.2">
      <c r="C537" s="201" t="s">
        <v>17257</v>
      </c>
      <c r="D537" s="200">
        <v>44396</v>
      </c>
      <c r="E537" s="199" t="s">
        <v>17256</v>
      </c>
      <c r="I537" s="198">
        <v>2.5299999999999998</v>
      </c>
      <c r="K537" s="198">
        <v>92376.43</v>
      </c>
    </row>
    <row r="538" spans="3:11" x14ac:dyDescent="0.2">
      <c r="C538" s="201" t="s">
        <v>17255</v>
      </c>
      <c r="D538" s="200">
        <v>44396</v>
      </c>
      <c r="E538" s="199" t="s">
        <v>17254</v>
      </c>
      <c r="I538" s="198">
        <v>2.79</v>
      </c>
      <c r="K538" s="198">
        <v>92379.22</v>
      </c>
    </row>
    <row r="539" spans="3:11" x14ac:dyDescent="0.2">
      <c r="C539" s="201" t="s">
        <v>17253</v>
      </c>
      <c r="D539" s="200">
        <v>44396</v>
      </c>
      <c r="E539" s="199" t="s">
        <v>17252</v>
      </c>
      <c r="I539" s="198">
        <v>1.93</v>
      </c>
      <c r="K539" s="198">
        <v>92381.15</v>
      </c>
    </row>
    <row r="540" spans="3:11" x14ac:dyDescent="0.2">
      <c r="C540" s="201" t="s">
        <v>17251</v>
      </c>
      <c r="D540" s="200">
        <v>44396</v>
      </c>
      <c r="E540" s="199" t="s">
        <v>17250</v>
      </c>
      <c r="I540" s="198">
        <v>1.68</v>
      </c>
      <c r="K540" s="198">
        <v>92382.83</v>
      </c>
    </row>
    <row r="541" spans="3:11" x14ac:dyDescent="0.2">
      <c r="C541" s="201" t="s">
        <v>17249</v>
      </c>
      <c r="D541" s="200">
        <v>44396</v>
      </c>
      <c r="E541" s="199" t="s">
        <v>17248</v>
      </c>
      <c r="I541" s="198">
        <v>12.25</v>
      </c>
      <c r="K541" s="198">
        <v>92395.08</v>
      </c>
    </row>
    <row r="542" spans="3:11" x14ac:dyDescent="0.2">
      <c r="C542" s="201" t="s">
        <v>17247</v>
      </c>
      <c r="D542" s="200">
        <v>44396</v>
      </c>
      <c r="E542" s="199" t="s">
        <v>17246</v>
      </c>
      <c r="I542" s="198">
        <v>3.33</v>
      </c>
      <c r="K542" s="198">
        <v>92398.41</v>
      </c>
    </row>
    <row r="543" spans="3:11" x14ac:dyDescent="0.2">
      <c r="C543" s="201" t="s">
        <v>17245</v>
      </c>
      <c r="D543" s="200">
        <v>44396</v>
      </c>
      <c r="E543" s="199" t="s">
        <v>17244</v>
      </c>
      <c r="I543" s="198">
        <v>5.22</v>
      </c>
      <c r="K543" s="198">
        <v>92403.63</v>
      </c>
    </row>
    <row r="544" spans="3:11" x14ac:dyDescent="0.2">
      <c r="C544" s="201" t="s">
        <v>17243</v>
      </c>
      <c r="D544" s="200">
        <v>44396</v>
      </c>
      <c r="E544" s="199" t="s">
        <v>17242</v>
      </c>
      <c r="I544" s="198">
        <v>25.62</v>
      </c>
      <c r="K544" s="198">
        <v>92429.25</v>
      </c>
    </row>
    <row r="545" spans="3:11" x14ac:dyDescent="0.2">
      <c r="C545" s="201" t="s">
        <v>17241</v>
      </c>
      <c r="D545" s="200">
        <v>44397</v>
      </c>
      <c r="E545" s="199" t="s">
        <v>17240</v>
      </c>
      <c r="I545" s="198">
        <v>6.53</v>
      </c>
      <c r="K545" s="198">
        <v>92435.78</v>
      </c>
    </row>
    <row r="546" spans="3:11" x14ac:dyDescent="0.2">
      <c r="C546" s="201" t="s">
        <v>17239</v>
      </c>
      <c r="D546" s="200">
        <v>44397</v>
      </c>
      <c r="E546" s="199" t="s">
        <v>17238</v>
      </c>
      <c r="I546" s="198">
        <v>8.3800000000000008</v>
      </c>
      <c r="K546" s="198">
        <v>92444.160000000003</v>
      </c>
    </row>
    <row r="547" spans="3:11" x14ac:dyDescent="0.2">
      <c r="C547" s="201" t="s">
        <v>17237</v>
      </c>
      <c r="D547" s="200">
        <v>44397</v>
      </c>
      <c r="E547" s="199" t="s">
        <v>17236</v>
      </c>
      <c r="I547" s="198">
        <v>3.38</v>
      </c>
      <c r="K547" s="198">
        <v>92447.54</v>
      </c>
    </row>
    <row r="548" spans="3:11" x14ac:dyDescent="0.2">
      <c r="C548" s="201" t="s">
        <v>17235</v>
      </c>
      <c r="D548" s="200">
        <v>44397</v>
      </c>
      <c r="E548" s="199" t="s">
        <v>17234</v>
      </c>
      <c r="I548" s="198">
        <v>2.23</v>
      </c>
      <c r="K548" s="198">
        <v>92449.77</v>
      </c>
    </row>
    <row r="549" spans="3:11" x14ac:dyDescent="0.2">
      <c r="C549" s="201" t="s">
        <v>17233</v>
      </c>
      <c r="D549" s="200">
        <v>44397</v>
      </c>
      <c r="E549" s="199" t="s">
        <v>17232</v>
      </c>
      <c r="I549" s="198">
        <v>19.73</v>
      </c>
      <c r="K549" s="198">
        <v>92469.5</v>
      </c>
    </row>
    <row r="550" spans="3:11" x14ac:dyDescent="0.2">
      <c r="C550" s="201" t="s">
        <v>17231</v>
      </c>
      <c r="D550" s="200">
        <v>44397</v>
      </c>
      <c r="E550" s="199" t="s">
        <v>17230</v>
      </c>
      <c r="I550" s="198">
        <v>8.3800000000000008</v>
      </c>
      <c r="K550" s="198">
        <v>92477.88</v>
      </c>
    </row>
    <row r="551" spans="3:11" x14ac:dyDescent="0.2">
      <c r="C551" s="201" t="s">
        <v>17229</v>
      </c>
      <c r="D551" s="200">
        <v>44397</v>
      </c>
      <c r="E551" s="199" t="s">
        <v>17228</v>
      </c>
      <c r="I551" s="198">
        <v>3.38</v>
      </c>
      <c r="K551" s="198">
        <v>92481.26</v>
      </c>
    </row>
    <row r="552" spans="3:11" x14ac:dyDescent="0.2">
      <c r="C552" s="201" t="s">
        <v>17227</v>
      </c>
      <c r="D552" s="200">
        <v>44397</v>
      </c>
      <c r="E552" s="199" t="s">
        <v>17226</v>
      </c>
      <c r="I552" s="198">
        <v>3.48</v>
      </c>
      <c r="K552" s="198">
        <v>92484.74</v>
      </c>
    </row>
    <row r="553" spans="3:11" x14ac:dyDescent="0.2">
      <c r="C553" s="201" t="s">
        <v>17225</v>
      </c>
      <c r="D553" s="200">
        <v>44397</v>
      </c>
      <c r="E553" s="199" t="s">
        <v>17224</v>
      </c>
      <c r="I553" s="198">
        <v>1.38</v>
      </c>
      <c r="K553" s="198">
        <v>92486.12</v>
      </c>
    </row>
    <row r="554" spans="3:11" x14ac:dyDescent="0.2">
      <c r="C554" s="201" t="s">
        <v>17223</v>
      </c>
      <c r="D554" s="200">
        <v>44397</v>
      </c>
      <c r="E554" s="199" t="s">
        <v>17222</v>
      </c>
      <c r="I554" s="198">
        <v>5.04</v>
      </c>
      <c r="K554" s="198">
        <v>92491.16</v>
      </c>
    </row>
    <row r="555" spans="3:11" x14ac:dyDescent="0.2">
      <c r="C555" s="201" t="s">
        <v>17221</v>
      </c>
      <c r="D555" s="200">
        <v>44397</v>
      </c>
      <c r="E555" s="199" t="s">
        <v>17220</v>
      </c>
      <c r="I555" s="198">
        <v>0.49</v>
      </c>
      <c r="K555" s="198">
        <v>92491.65</v>
      </c>
    </row>
    <row r="556" spans="3:11" x14ac:dyDescent="0.2">
      <c r="C556" s="201" t="s">
        <v>17219</v>
      </c>
      <c r="D556" s="200">
        <v>44397</v>
      </c>
      <c r="E556" s="199" t="s">
        <v>17218</v>
      </c>
      <c r="I556" s="198">
        <v>2.12</v>
      </c>
      <c r="K556" s="198">
        <v>92493.77</v>
      </c>
    </row>
    <row r="557" spans="3:11" x14ac:dyDescent="0.2">
      <c r="C557" s="201" t="s">
        <v>17217</v>
      </c>
      <c r="D557" s="200">
        <v>44397</v>
      </c>
      <c r="E557" s="199" t="s">
        <v>17216</v>
      </c>
      <c r="I557" s="198">
        <v>6.95</v>
      </c>
      <c r="K557" s="198">
        <v>92500.72</v>
      </c>
    </row>
    <row r="558" spans="3:11" x14ac:dyDescent="0.2">
      <c r="C558" s="201" t="s">
        <v>17215</v>
      </c>
      <c r="D558" s="200">
        <v>44397</v>
      </c>
      <c r="E558" s="199" t="s">
        <v>17214</v>
      </c>
      <c r="I558" s="198">
        <v>32.57</v>
      </c>
      <c r="K558" s="198">
        <v>92533.29</v>
      </c>
    </row>
    <row r="559" spans="3:11" x14ac:dyDescent="0.2">
      <c r="C559" s="201" t="s">
        <v>17213</v>
      </c>
      <c r="D559" s="200">
        <v>44397</v>
      </c>
      <c r="E559" s="199" t="s">
        <v>17212</v>
      </c>
      <c r="I559" s="198">
        <v>4.78</v>
      </c>
      <c r="K559" s="198">
        <v>92538.07</v>
      </c>
    </row>
    <row r="560" spans="3:11" x14ac:dyDescent="0.2">
      <c r="C560" s="201" t="s">
        <v>17211</v>
      </c>
      <c r="D560" s="200">
        <v>44397</v>
      </c>
      <c r="E560" s="199" t="s">
        <v>17210</v>
      </c>
      <c r="I560" s="198">
        <v>8.3800000000000008</v>
      </c>
      <c r="K560" s="198">
        <v>92546.45</v>
      </c>
    </row>
    <row r="561" spans="3:11" x14ac:dyDescent="0.2">
      <c r="C561" s="201" t="s">
        <v>17209</v>
      </c>
      <c r="D561" s="200">
        <v>44397</v>
      </c>
      <c r="E561" s="199" t="s">
        <v>17208</v>
      </c>
      <c r="I561" s="198">
        <v>3.06</v>
      </c>
      <c r="K561" s="198">
        <v>92549.51</v>
      </c>
    </row>
    <row r="562" spans="3:11" x14ac:dyDescent="0.2">
      <c r="C562" s="201" t="s">
        <v>17207</v>
      </c>
      <c r="D562" s="200">
        <v>44397</v>
      </c>
      <c r="E562" s="199" t="s">
        <v>17206</v>
      </c>
      <c r="I562" s="198">
        <v>6.28</v>
      </c>
      <c r="K562" s="198">
        <v>92555.79</v>
      </c>
    </row>
    <row r="563" spans="3:11" x14ac:dyDescent="0.2">
      <c r="C563" s="201" t="s">
        <v>17205</v>
      </c>
      <c r="D563" s="200">
        <v>44397</v>
      </c>
      <c r="E563" s="199" t="s">
        <v>17204</v>
      </c>
      <c r="I563" s="198">
        <v>6.04</v>
      </c>
      <c r="K563" s="198">
        <v>92561.83</v>
      </c>
    </row>
    <row r="564" spans="3:11" x14ac:dyDescent="0.2">
      <c r="C564" s="201" t="s">
        <v>17203</v>
      </c>
      <c r="D564" s="200">
        <v>44397</v>
      </c>
      <c r="E564" s="199" t="s">
        <v>17202</v>
      </c>
      <c r="I564" s="198">
        <v>58.66</v>
      </c>
      <c r="K564" s="198">
        <v>92620.49</v>
      </c>
    </row>
    <row r="565" spans="3:11" x14ac:dyDescent="0.2">
      <c r="C565" s="201" t="s">
        <v>17201</v>
      </c>
      <c r="D565" s="200">
        <v>44397</v>
      </c>
      <c r="E565" s="199" t="s">
        <v>17200</v>
      </c>
      <c r="I565" s="198">
        <v>25.14</v>
      </c>
      <c r="K565" s="198">
        <v>92645.63</v>
      </c>
    </row>
    <row r="566" spans="3:11" x14ac:dyDescent="0.2">
      <c r="C566" s="201" t="s">
        <v>17199</v>
      </c>
      <c r="D566" s="200">
        <v>44398</v>
      </c>
      <c r="E566" s="199" t="s">
        <v>17198</v>
      </c>
      <c r="I566" s="198">
        <v>18.170000000000002</v>
      </c>
      <c r="K566" s="198">
        <v>92663.8</v>
      </c>
    </row>
    <row r="567" spans="3:11" x14ac:dyDescent="0.2">
      <c r="C567" s="201" t="s">
        <v>17197</v>
      </c>
      <c r="D567" s="200">
        <v>44398</v>
      </c>
      <c r="E567" s="199" t="s">
        <v>17196</v>
      </c>
      <c r="I567" s="198">
        <v>10</v>
      </c>
      <c r="K567" s="198">
        <v>92673.8</v>
      </c>
    </row>
    <row r="568" spans="3:11" x14ac:dyDescent="0.2">
      <c r="C568" s="201" t="s">
        <v>17195</v>
      </c>
      <c r="D568" s="200">
        <v>44398</v>
      </c>
      <c r="E568" s="199" t="s">
        <v>17194</v>
      </c>
      <c r="I568" s="198">
        <v>5.04</v>
      </c>
      <c r="K568" s="198">
        <v>92678.84</v>
      </c>
    </row>
    <row r="569" spans="3:11" x14ac:dyDescent="0.2">
      <c r="C569" s="201" t="s">
        <v>17193</v>
      </c>
      <c r="D569" s="200">
        <v>44398</v>
      </c>
      <c r="E569" s="199" t="s">
        <v>17192</v>
      </c>
      <c r="I569" s="198">
        <v>3.49</v>
      </c>
      <c r="K569" s="198">
        <v>92682.33</v>
      </c>
    </row>
    <row r="570" spans="3:11" x14ac:dyDescent="0.2">
      <c r="C570" s="201" t="s">
        <v>17191</v>
      </c>
      <c r="D570" s="200">
        <v>44398</v>
      </c>
      <c r="E570" s="199" t="s">
        <v>17190</v>
      </c>
      <c r="I570" s="198">
        <v>4.13</v>
      </c>
      <c r="K570" s="198">
        <v>92686.46</v>
      </c>
    </row>
    <row r="571" spans="3:11" x14ac:dyDescent="0.2">
      <c r="C571" s="201" t="s">
        <v>17189</v>
      </c>
      <c r="D571" s="200">
        <v>44398</v>
      </c>
      <c r="E571" s="199" t="s">
        <v>17188</v>
      </c>
      <c r="I571" s="198">
        <v>8.3800000000000008</v>
      </c>
      <c r="K571" s="198">
        <v>92694.84</v>
      </c>
    </row>
    <row r="572" spans="3:11" x14ac:dyDescent="0.2">
      <c r="C572" s="201" t="s">
        <v>9100</v>
      </c>
      <c r="D572" s="200">
        <v>44398</v>
      </c>
      <c r="E572" s="199" t="s">
        <v>17187</v>
      </c>
      <c r="J572" s="222">
        <v>43.42</v>
      </c>
      <c r="K572" s="198">
        <v>92651.42</v>
      </c>
    </row>
    <row r="573" spans="3:11" x14ac:dyDescent="0.2">
      <c r="C573" s="201" t="s">
        <v>17186</v>
      </c>
      <c r="D573" s="200">
        <v>44399</v>
      </c>
      <c r="E573" s="199" t="s">
        <v>17185</v>
      </c>
      <c r="I573" s="198">
        <v>25</v>
      </c>
      <c r="K573" s="198">
        <v>92676.42</v>
      </c>
    </row>
    <row r="574" spans="3:11" x14ac:dyDescent="0.2">
      <c r="C574" s="201" t="s">
        <v>17184</v>
      </c>
      <c r="D574" s="200">
        <v>44399</v>
      </c>
      <c r="E574" s="199" t="s">
        <v>17183</v>
      </c>
      <c r="I574" s="198">
        <v>2.21</v>
      </c>
      <c r="K574" s="198">
        <v>92678.63</v>
      </c>
    </row>
    <row r="575" spans="3:11" x14ac:dyDescent="0.2">
      <c r="C575" s="201" t="s">
        <v>17182</v>
      </c>
      <c r="D575" s="200">
        <v>44399</v>
      </c>
      <c r="E575" s="199" t="s">
        <v>17181</v>
      </c>
      <c r="I575" s="198">
        <v>2.2200000000000002</v>
      </c>
      <c r="K575" s="198">
        <v>92680.85</v>
      </c>
    </row>
    <row r="576" spans="3:11" x14ac:dyDescent="0.2">
      <c r="C576" s="201" t="s">
        <v>17180</v>
      </c>
      <c r="D576" s="200">
        <v>44399</v>
      </c>
      <c r="E576" s="199" t="s">
        <v>17179</v>
      </c>
      <c r="I576" s="198">
        <v>2.4500000000000002</v>
      </c>
      <c r="K576" s="198">
        <v>92683.3</v>
      </c>
    </row>
    <row r="577" spans="3:11" x14ac:dyDescent="0.2">
      <c r="C577" s="201" t="s">
        <v>17178</v>
      </c>
      <c r="D577" s="200">
        <v>44400</v>
      </c>
      <c r="E577" s="199" t="s">
        <v>17177</v>
      </c>
      <c r="I577" s="198">
        <v>3</v>
      </c>
      <c r="K577" s="198">
        <v>92686.3</v>
      </c>
    </row>
    <row r="578" spans="3:11" x14ac:dyDescent="0.2">
      <c r="C578" s="201" t="s">
        <v>17176</v>
      </c>
      <c r="D578" s="200">
        <v>44400</v>
      </c>
      <c r="E578" s="199" t="s">
        <v>17175</v>
      </c>
      <c r="I578" s="198">
        <v>13.82</v>
      </c>
      <c r="K578" s="198">
        <v>92700.12</v>
      </c>
    </row>
    <row r="579" spans="3:11" x14ac:dyDescent="0.2">
      <c r="C579" s="201" t="s">
        <v>17174</v>
      </c>
      <c r="D579" s="200">
        <v>44400</v>
      </c>
      <c r="E579" s="199" t="s">
        <v>17173</v>
      </c>
      <c r="I579" s="198">
        <v>317.89</v>
      </c>
      <c r="K579" s="198">
        <v>93018.01</v>
      </c>
    </row>
    <row r="580" spans="3:11" x14ac:dyDescent="0.2">
      <c r="C580" s="201" t="s">
        <v>17172</v>
      </c>
      <c r="D580" s="200">
        <v>44401</v>
      </c>
      <c r="E580" s="199" t="s">
        <v>17171</v>
      </c>
      <c r="I580" s="198">
        <v>5.14</v>
      </c>
      <c r="K580" s="198">
        <v>93023.15</v>
      </c>
    </row>
    <row r="581" spans="3:11" x14ac:dyDescent="0.2">
      <c r="C581" s="201" t="s">
        <v>17170</v>
      </c>
      <c r="D581" s="200">
        <v>44401</v>
      </c>
      <c r="E581" s="199" t="s">
        <v>17169</v>
      </c>
      <c r="I581" s="198">
        <v>6.9</v>
      </c>
      <c r="K581" s="198">
        <v>93030.05</v>
      </c>
    </row>
    <row r="582" spans="3:11" x14ac:dyDescent="0.2">
      <c r="C582" s="201" t="s">
        <v>17168</v>
      </c>
      <c r="D582" s="200">
        <v>44401</v>
      </c>
      <c r="E582" s="199" t="s">
        <v>17167</v>
      </c>
      <c r="I582" s="198">
        <v>2.76</v>
      </c>
      <c r="K582" s="198">
        <v>93032.81</v>
      </c>
    </row>
    <row r="583" spans="3:11" x14ac:dyDescent="0.2">
      <c r="C583" s="201" t="s">
        <v>17166</v>
      </c>
      <c r="D583" s="200">
        <v>44401</v>
      </c>
      <c r="E583" s="199" t="s">
        <v>17165</v>
      </c>
      <c r="I583" s="198">
        <v>5.13</v>
      </c>
      <c r="K583" s="198">
        <v>93037.94</v>
      </c>
    </row>
    <row r="584" spans="3:11" x14ac:dyDescent="0.2">
      <c r="C584" s="201" t="s">
        <v>17164</v>
      </c>
      <c r="D584" s="200">
        <v>44401</v>
      </c>
      <c r="E584" s="199" t="s">
        <v>17163</v>
      </c>
      <c r="I584" s="198">
        <v>1.68</v>
      </c>
      <c r="K584" s="198">
        <v>93039.62</v>
      </c>
    </row>
    <row r="585" spans="3:11" x14ac:dyDescent="0.2">
      <c r="C585" s="201" t="s">
        <v>17162</v>
      </c>
      <c r="D585" s="200">
        <v>44401</v>
      </c>
      <c r="E585" s="199" t="s">
        <v>17161</v>
      </c>
      <c r="I585" s="198">
        <v>4.78</v>
      </c>
      <c r="K585" s="198">
        <v>93044.4</v>
      </c>
    </row>
    <row r="586" spans="3:11" x14ac:dyDescent="0.2">
      <c r="C586" s="201" t="s">
        <v>17160</v>
      </c>
      <c r="D586" s="200">
        <v>44401</v>
      </c>
      <c r="E586" s="199" t="s">
        <v>17159</v>
      </c>
      <c r="I586" s="198">
        <v>2.42</v>
      </c>
      <c r="K586" s="198">
        <v>93046.82</v>
      </c>
    </row>
    <row r="587" spans="3:11" x14ac:dyDescent="0.2">
      <c r="C587" s="201" t="s">
        <v>17158</v>
      </c>
      <c r="D587" s="200">
        <v>44401</v>
      </c>
      <c r="E587" s="199" t="s">
        <v>17157</v>
      </c>
      <c r="I587" s="198">
        <v>3.56</v>
      </c>
      <c r="K587" s="198">
        <v>93050.38</v>
      </c>
    </row>
    <row r="588" spans="3:11" x14ac:dyDescent="0.2">
      <c r="C588" s="201" t="s">
        <v>17156</v>
      </c>
      <c r="D588" s="200">
        <v>44401</v>
      </c>
      <c r="E588" s="199" t="s">
        <v>17155</v>
      </c>
      <c r="I588" s="198">
        <v>6.99</v>
      </c>
      <c r="K588" s="198">
        <v>93057.37</v>
      </c>
    </row>
    <row r="589" spans="3:11" x14ac:dyDescent="0.2">
      <c r="C589" s="201" t="s">
        <v>17154</v>
      </c>
      <c r="D589" s="200">
        <v>44401</v>
      </c>
      <c r="E589" s="199" t="s">
        <v>17153</v>
      </c>
      <c r="I589" s="198">
        <v>1.79</v>
      </c>
      <c r="K589" s="198">
        <v>93059.16</v>
      </c>
    </row>
    <row r="590" spans="3:11" x14ac:dyDescent="0.2">
      <c r="C590" s="201" t="s">
        <v>17152</v>
      </c>
      <c r="D590" s="200">
        <v>44401</v>
      </c>
      <c r="E590" s="199" t="s">
        <v>17151</v>
      </c>
      <c r="I590" s="198">
        <v>5.0599999999999996</v>
      </c>
      <c r="K590" s="198">
        <v>93064.22</v>
      </c>
    </row>
    <row r="591" spans="3:11" x14ac:dyDescent="0.2">
      <c r="C591" s="201" t="s">
        <v>17150</v>
      </c>
      <c r="D591" s="200">
        <v>44401</v>
      </c>
      <c r="E591" s="199" t="s">
        <v>17149</v>
      </c>
      <c r="I591" s="198">
        <v>2.77</v>
      </c>
      <c r="K591" s="198">
        <v>93066.99</v>
      </c>
    </row>
    <row r="592" spans="3:11" x14ac:dyDescent="0.2">
      <c r="C592" s="201" t="s">
        <v>17148</v>
      </c>
      <c r="D592" s="200">
        <v>44401</v>
      </c>
      <c r="E592" s="199" t="s">
        <v>17147</v>
      </c>
      <c r="I592" s="198">
        <v>1.68</v>
      </c>
      <c r="K592" s="198">
        <v>93068.67</v>
      </c>
    </row>
    <row r="593" spans="3:11" x14ac:dyDescent="0.2">
      <c r="C593" s="201" t="s">
        <v>17146</v>
      </c>
      <c r="D593" s="200">
        <v>44401</v>
      </c>
      <c r="E593" s="199" t="s">
        <v>17145</v>
      </c>
      <c r="I593" s="198">
        <v>13.07</v>
      </c>
      <c r="K593" s="198">
        <v>93081.74</v>
      </c>
    </row>
    <row r="594" spans="3:11" x14ac:dyDescent="0.2">
      <c r="C594" s="201" t="s">
        <v>17144</v>
      </c>
      <c r="D594" s="200">
        <v>44401</v>
      </c>
      <c r="E594" s="199" t="s">
        <v>17143</v>
      </c>
      <c r="I594" s="198">
        <v>33.4</v>
      </c>
      <c r="K594" s="198">
        <v>93115.14</v>
      </c>
    </row>
    <row r="595" spans="3:11" x14ac:dyDescent="0.2">
      <c r="C595" s="201" t="s">
        <v>17142</v>
      </c>
      <c r="D595" s="200">
        <v>44401</v>
      </c>
      <c r="E595" s="199" t="s">
        <v>17141</v>
      </c>
      <c r="I595" s="198">
        <v>3.1</v>
      </c>
      <c r="K595" s="198">
        <v>93118.24</v>
      </c>
    </row>
    <row r="596" spans="3:11" x14ac:dyDescent="0.2">
      <c r="C596" s="201" t="s">
        <v>17140</v>
      </c>
      <c r="D596" s="200">
        <v>44401</v>
      </c>
      <c r="E596" s="199" t="s">
        <v>17139</v>
      </c>
      <c r="I596" s="198">
        <v>13.88</v>
      </c>
      <c r="K596" s="198">
        <v>93132.12</v>
      </c>
    </row>
    <row r="597" spans="3:11" x14ac:dyDescent="0.2">
      <c r="C597" s="201" t="s">
        <v>17138</v>
      </c>
      <c r="D597" s="200">
        <v>44401</v>
      </c>
      <c r="E597" s="199" t="s">
        <v>17137</v>
      </c>
      <c r="I597" s="198">
        <v>1.0900000000000001</v>
      </c>
      <c r="K597" s="198">
        <v>93133.21</v>
      </c>
    </row>
    <row r="598" spans="3:11" x14ac:dyDescent="0.2">
      <c r="C598" s="201" t="s">
        <v>17136</v>
      </c>
      <c r="D598" s="200">
        <v>44401</v>
      </c>
      <c r="E598" s="199" t="s">
        <v>17135</v>
      </c>
      <c r="I598" s="198">
        <v>9.99</v>
      </c>
      <c r="K598" s="198">
        <v>93143.2</v>
      </c>
    </row>
    <row r="599" spans="3:11" x14ac:dyDescent="0.2">
      <c r="C599" s="201" t="s">
        <v>17134</v>
      </c>
      <c r="D599" s="200">
        <v>44402</v>
      </c>
      <c r="E599" s="199" t="s">
        <v>17133</v>
      </c>
      <c r="I599" s="198">
        <v>9.27</v>
      </c>
      <c r="K599" s="198">
        <v>93152.47</v>
      </c>
    </row>
    <row r="600" spans="3:11" x14ac:dyDescent="0.2">
      <c r="C600" s="201" t="s">
        <v>17132</v>
      </c>
      <c r="D600" s="200">
        <v>44402</v>
      </c>
      <c r="E600" s="199" t="s">
        <v>17131</v>
      </c>
      <c r="I600" s="198">
        <v>1.68</v>
      </c>
      <c r="K600" s="198">
        <v>93154.15</v>
      </c>
    </row>
    <row r="601" spans="3:11" x14ac:dyDescent="0.2">
      <c r="C601" s="201" t="s">
        <v>17130</v>
      </c>
      <c r="D601" s="200">
        <v>44402</v>
      </c>
      <c r="E601" s="199" t="s">
        <v>17129</v>
      </c>
      <c r="I601" s="198">
        <v>21.33</v>
      </c>
      <c r="K601" s="198">
        <v>93175.48</v>
      </c>
    </row>
    <row r="602" spans="3:11" x14ac:dyDescent="0.2">
      <c r="C602" s="201" t="s">
        <v>17128</v>
      </c>
      <c r="D602" s="200">
        <v>44402</v>
      </c>
      <c r="E602" s="199" t="s">
        <v>17127</v>
      </c>
      <c r="I602" s="198">
        <v>10.43</v>
      </c>
      <c r="K602" s="198">
        <v>93185.91</v>
      </c>
    </row>
    <row r="603" spans="3:11" x14ac:dyDescent="0.2">
      <c r="C603" s="201" t="s">
        <v>17126</v>
      </c>
      <c r="D603" s="200">
        <v>44402</v>
      </c>
      <c r="E603" s="199" t="s">
        <v>17125</v>
      </c>
      <c r="I603" s="198">
        <v>1.68</v>
      </c>
      <c r="K603" s="198">
        <v>93187.59</v>
      </c>
    </row>
    <row r="604" spans="3:11" x14ac:dyDescent="0.2">
      <c r="C604" s="201" t="s">
        <v>17124</v>
      </c>
      <c r="D604" s="200">
        <v>44402</v>
      </c>
      <c r="E604" s="199" t="s">
        <v>17123</v>
      </c>
      <c r="I604" s="198">
        <v>3.36</v>
      </c>
      <c r="K604" s="198">
        <v>93190.95</v>
      </c>
    </row>
    <row r="605" spans="3:11" x14ac:dyDescent="0.2">
      <c r="C605" s="201" t="s">
        <v>17122</v>
      </c>
      <c r="D605" s="200">
        <v>44403</v>
      </c>
      <c r="E605" s="199" t="s">
        <v>17121</v>
      </c>
      <c r="I605" s="198">
        <v>8528.02</v>
      </c>
      <c r="K605" s="198">
        <v>101718.97</v>
      </c>
    </row>
    <row r="606" spans="3:11" x14ac:dyDescent="0.2">
      <c r="C606" s="201" t="s">
        <v>17120</v>
      </c>
      <c r="D606" s="200">
        <v>44403</v>
      </c>
      <c r="E606" s="199" t="s">
        <v>17119</v>
      </c>
      <c r="I606" s="198">
        <v>23.57</v>
      </c>
      <c r="K606" s="198">
        <v>101742.54</v>
      </c>
    </row>
    <row r="607" spans="3:11" x14ac:dyDescent="0.2">
      <c r="C607" s="201" t="s">
        <v>17118</v>
      </c>
      <c r="D607" s="200">
        <v>44403</v>
      </c>
      <c r="E607" s="199" t="s">
        <v>17117</v>
      </c>
      <c r="I607" s="198">
        <v>16.760000000000002</v>
      </c>
      <c r="K607" s="198">
        <v>101759.3</v>
      </c>
    </row>
    <row r="608" spans="3:11" x14ac:dyDescent="0.2">
      <c r="C608" s="201" t="s">
        <v>17116</v>
      </c>
      <c r="D608" s="200">
        <v>44403</v>
      </c>
      <c r="E608" s="199" t="s">
        <v>17115</v>
      </c>
      <c r="I608" s="198">
        <v>1.75</v>
      </c>
      <c r="K608" s="198">
        <v>101761.05</v>
      </c>
    </row>
    <row r="609" spans="3:11" x14ac:dyDescent="0.2">
      <c r="C609" s="201" t="s">
        <v>17114</v>
      </c>
      <c r="D609" s="200">
        <v>44403</v>
      </c>
      <c r="E609" s="199" t="s">
        <v>17113</v>
      </c>
      <c r="I609" s="198">
        <v>5.13</v>
      </c>
      <c r="K609" s="198">
        <v>101766.18</v>
      </c>
    </row>
    <row r="610" spans="3:11" x14ac:dyDescent="0.2">
      <c r="C610" s="201" t="s">
        <v>17112</v>
      </c>
      <c r="D610" s="200">
        <v>44403</v>
      </c>
      <c r="E610" s="199" t="s">
        <v>17111</v>
      </c>
      <c r="I610" s="198">
        <v>4</v>
      </c>
      <c r="K610" s="198">
        <v>101770.18</v>
      </c>
    </row>
    <row r="611" spans="3:11" x14ac:dyDescent="0.2">
      <c r="C611" s="201" t="s">
        <v>17110</v>
      </c>
      <c r="D611" s="200">
        <v>44403</v>
      </c>
      <c r="E611" s="199" t="s">
        <v>17109</v>
      </c>
      <c r="I611" s="198">
        <v>1.1299999999999999</v>
      </c>
      <c r="K611" s="198">
        <v>101771.31</v>
      </c>
    </row>
    <row r="612" spans="3:11" x14ac:dyDescent="0.2">
      <c r="C612" s="201" t="s">
        <v>17108</v>
      </c>
      <c r="D612" s="200">
        <v>44403</v>
      </c>
      <c r="E612" s="199" t="s">
        <v>17107</v>
      </c>
      <c r="I612" s="198">
        <v>1.79</v>
      </c>
      <c r="K612" s="198">
        <v>101773.1</v>
      </c>
    </row>
    <row r="613" spans="3:11" x14ac:dyDescent="0.2">
      <c r="C613" s="201" t="s">
        <v>17106</v>
      </c>
      <c r="D613" s="200">
        <v>44403</v>
      </c>
      <c r="E613" s="199" t="s">
        <v>17105</v>
      </c>
      <c r="I613" s="198">
        <v>2.02</v>
      </c>
      <c r="K613" s="198">
        <v>101775.12</v>
      </c>
    </row>
    <row r="614" spans="3:11" x14ac:dyDescent="0.2">
      <c r="C614" s="201" t="s">
        <v>17104</v>
      </c>
      <c r="D614" s="200">
        <v>44403</v>
      </c>
      <c r="E614" s="199" t="s">
        <v>17103</v>
      </c>
      <c r="I614" s="198">
        <v>5.4</v>
      </c>
      <c r="K614" s="198">
        <v>101780.52</v>
      </c>
    </row>
    <row r="615" spans="3:11" x14ac:dyDescent="0.2">
      <c r="C615" s="201" t="s">
        <v>17102</v>
      </c>
      <c r="D615" s="200">
        <v>44403</v>
      </c>
      <c r="E615" s="199" t="s">
        <v>17101</v>
      </c>
      <c r="I615" s="198">
        <v>5.26</v>
      </c>
      <c r="K615" s="198">
        <v>101785.78</v>
      </c>
    </row>
    <row r="616" spans="3:11" x14ac:dyDescent="0.2">
      <c r="C616" s="201" t="s">
        <v>17100</v>
      </c>
      <c r="D616" s="200">
        <v>44403</v>
      </c>
      <c r="E616" s="199" t="s">
        <v>17099</v>
      </c>
      <c r="I616" s="198">
        <v>4.91</v>
      </c>
      <c r="K616" s="198">
        <v>101790.69</v>
      </c>
    </row>
    <row r="617" spans="3:11" x14ac:dyDescent="0.2">
      <c r="C617" s="201" t="s">
        <v>17098</v>
      </c>
      <c r="D617" s="200">
        <v>44403</v>
      </c>
      <c r="E617" s="199" t="s">
        <v>17097</v>
      </c>
      <c r="I617" s="198">
        <v>6.94</v>
      </c>
      <c r="K617" s="198">
        <v>101797.63</v>
      </c>
    </row>
    <row r="618" spans="3:11" x14ac:dyDescent="0.2">
      <c r="C618" s="201" t="s">
        <v>17096</v>
      </c>
      <c r="D618" s="200">
        <v>44403</v>
      </c>
      <c r="E618" s="199" t="s">
        <v>17095</v>
      </c>
      <c r="I618" s="198">
        <v>3.76</v>
      </c>
      <c r="K618" s="198">
        <v>101801.39</v>
      </c>
    </row>
    <row r="619" spans="3:11" x14ac:dyDescent="0.2">
      <c r="C619" s="201" t="s">
        <v>17094</v>
      </c>
      <c r="D619" s="200">
        <v>44403</v>
      </c>
      <c r="E619" s="199" t="s">
        <v>17093</v>
      </c>
      <c r="I619" s="198">
        <v>1.68</v>
      </c>
      <c r="K619" s="198">
        <v>101803.07</v>
      </c>
    </row>
    <row r="620" spans="3:11" x14ac:dyDescent="0.2">
      <c r="C620" s="201" t="s">
        <v>17092</v>
      </c>
      <c r="D620" s="200">
        <v>44403</v>
      </c>
      <c r="E620" s="199" t="s">
        <v>17091</v>
      </c>
      <c r="I620" s="198">
        <v>2.35</v>
      </c>
      <c r="K620" s="198">
        <v>101805.42</v>
      </c>
    </row>
    <row r="621" spans="3:11" x14ac:dyDescent="0.2">
      <c r="C621" s="201" t="s">
        <v>17090</v>
      </c>
      <c r="D621" s="200">
        <v>44403</v>
      </c>
      <c r="E621" s="199" t="s">
        <v>17089</v>
      </c>
      <c r="I621" s="198">
        <v>8.3800000000000008</v>
      </c>
      <c r="K621" s="198">
        <v>101813.8</v>
      </c>
    </row>
    <row r="622" spans="3:11" x14ac:dyDescent="0.2">
      <c r="C622" s="201" t="s">
        <v>17088</v>
      </c>
      <c r="D622" s="200">
        <v>44403</v>
      </c>
      <c r="E622" s="199" t="s">
        <v>17087</v>
      </c>
      <c r="I622" s="198">
        <v>2.41</v>
      </c>
      <c r="K622" s="198">
        <v>101816.21</v>
      </c>
    </row>
    <row r="623" spans="3:11" x14ac:dyDescent="0.2">
      <c r="C623" s="201" t="s">
        <v>17086</v>
      </c>
      <c r="D623" s="200">
        <v>44403</v>
      </c>
      <c r="E623" s="199" t="s">
        <v>17085</v>
      </c>
      <c r="I623" s="198">
        <v>5.45</v>
      </c>
      <c r="K623" s="198">
        <v>101821.66</v>
      </c>
    </row>
    <row r="624" spans="3:11" x14ac:dyDescent="0.2">
      <c r="C624" s="201" t="s">
        <v>17084</v>
      </c>
      <c r="D624" s="200">
        <v>44403</v>
      </c>
      <c r="E624" s="199" t="s">
        <v>17083</v>
      </c>
      <c r="I624" s="198">
        <v>3.45</v>
      </c>
      <c r="K624" s="198">
        <v>101825.11</v>
      </c>
    </row>
    <row r="625" spans="3:11" x14ac:dyDescent="0.2">
      <c r="C625" s="201" t="s">
        <v>17082</v>
      </c>
      <c r="D625" s="200">
        <v>44403</v>
      </c>
      <c r="E625" s="199" t="s">
        <v>17081</v>
      </c>
      <c r="I625" s="198">
        <v>6.98</v>
      </c>
      <c r="K625" s="198">
        <v>101832.09</v>
      </c>
    </row>
    <row r="626" spans="3:11" x14ac:dyDescent="0.2">
      <c r="C626" s="201" t="s">
        <v>17080</v>
      </c>
      <c r="D626" s="200">
        <v>44403</v>
      </c>
      <c r="E626" s="199" t="s">
        <v>17079</v>
      </c>
      <c r="I626" s="198">
        <v>3.7</v>
      </c>
      <c r="K626" s="198">
        <v>101835.79</v>
      </c>
    </row>
    <row r="627" spans="3:11" x14ac:dyDescent="0.2">
      <c r="C627" s="201" t="s">
        <v>17078</v>
      </c>
      <c r="D627" s="200">
        <v>44403</v>
      </c>
      <c r="E627" s="199" t="s">
        <v>17077</v>
      </c>
      <c r="I627" s="198">
        <v>6.24</v>
      </c>
      <c r="K627" s="198">
        <v>101842.03</v>
      </c>
    </row>
    <row r="628" spans="3:11" x14ac:dyDescent="0.2">
      <c r="C628" s="201" t="s">
        <v>17076</v>
      </c>
      <c r="D628" s="200">
        <v>44403</v>
      </c>
      <c r="E628" s="199" t="s">
        <v>17075</v>
      </c>
      <c r="I628" s="198">
        <v>8.7899999999999991</v>
      </c>
      <c r="K628" s="198">
        <v>101850.82</v>
      </c>
    </row>
    <row r="629" spans="3:11" x14ac:dyDescent="0.2">
      <c r="C629" s="201" t="s">
        <v>17074</v>
      </c>
      <c r="D629" s="200">
        <v>44403</v>
      </c>
      <c r="E629" s="199" t="s">
        <v>17073</v>
      </c>
      <c r="I629" s="198">
        <v>3309.15</v>
      </c>
      <c r="K629" s="198">
        <v>105159.97</v>
      </c>
    </row>
    <row r="630" spans="3:11" x14ac:dyDescent="0.2">
      <c r="C630" s="201" t="s">
        <v>17072</v>
      </c>
      <c r="D630" s="200">
        <v>44404</v>
      </c>
      <c r="E630" s="199" t="s">
        <v>17071</v>
      </c>
      <c r="I630" s="198">
        <v>2.2799999999999998</v>
      </c>
      <c r="K630" s="198">
        <v>105162.25</v>
      </c>
    </row>
    <row r="631" spans="3:11" x14ac:dyDescent="0.2">
      <c r="C631" s="201" t="s">
        <v>17070</v>
      </c>
      <c r="D631" s="200">
        <v>44404</v>
      </c>
      <c r="E631" s="199" t="s">
        <v>17069</v>
      </c>
      <c r="I631" s="198">
        <v>2.9</v>
      </c>
      <c r="K631" s="198">
        <v>105165.15</v>
      </c>
    </row>
    <row r="632" spans="3:11" x14ac:dyDescent="0.2">
      <c r="C632" s="201" t="s">
        <v>17068</v>
      </c>
      <c r="D632" s="200">
        <v>44404</v>
      </c>
      <c r="E632" s="199" t="s">
        <v>17067</v>
      </c>
      <c r="I632" s="198">
        <v>8.3800000000000008</v>
      </c>
      <c r="K632" s="198">
        <v>105173.53</v>
      </c>
    </row>
    <row r="633" spans="3:11" x14ac:dyDescent="0.2">
      <c r="C633" s="201" t="s">
        <v>17066</v>
      </c>
      <c r="D633" s="200">
        <v>44404</v>
      </c>
      <c r="E633" s="199" t="s">
        <v>17065</v>
      </c>
      <c r="I633" s="198">
        <v>0.18</v>
      </c>
      <c r="K633" s="198">
        <v>105173.71</v>
      </c>
    </row>
    <row r="634" spans="3:11" x14ac:dyDescent="0.2">
      <c r="C634" s="201" t="s">
        <v>17064</v>
      </c>
      <c r="D634" s="200">
        <v>44404</v>
      </c>
      <c r="E634" s="199" t="s">
        <v>17063</v>
      </c>
      <c r="I634" s="198">
        <v>3.2</v>
      </c>
      <c r="K634" s="198">
        <v>105176.91</v>
      </c>
    </row>
    <row r="635" spans="3:11" x14ac:dyDescent="0.2">
      <c r="C635" s="201" t="s">
        <v>17062</v>
      </c>
      <c r="D635" s="200">
        <v>44404</v>
      </c>
      <c r="E635" s="199" t="s">
        <v>17061</v>
      </c>
      <c r="I635" s="198">
        <v>5.28</v>
      </c>
      <c r="K635" s="198">
        <v>105182.19</v>
      </c>
    </row>
    <row r="636" spans="3:11" x14ac:dyDescent="0.2">
      <c r="C636" s="201" t="s">
        <v>17060</v>
      </c>
      <c r="D636" s="200">
        <v>44404</v>
      </c>
      <c r="E636" s="199" t="s">
        <v>17059</v>
      </c>
      <c r="I636" s="198">
        <v>2.87</v>
      </c>
      <c r="K636" s="198">
        <v>105185.06</v>
      </c>
    </row>
    <row r="637" spans="3:11" x14ac:dyDescent="0.2">
      <c r="C637" s="201" t="s">
        <v>17058</v>
      </c>
      <c r="D637" s="200">
        <v>44404</v>
      </c>
      <c r="E637" s="199" t="s">
        <v>17057</v>
      </c>
      <c r="I637" s="198">
        <v>5.21</v>
      </c>
      <c r="K637" s="198">
        <v>105190.27</v>
      </c>
    </row>
    <row r="638" spans="3:11" x14ac:dyDescent="0.2">
      <c r="C638" s="201" t="s">
        <v>17056</v>
      </c>
      <c r="D638" s="200">
        <v>44404</v>
      </c>
      <c r="E638" s="199" t="s">
        <v>17055</v>
      </c>
      <c r="I638" s="198">
        <v>6.24</v>
      </c>
      <c r="K638" s="198">
        <v>105196.51</v>
      </c>
    </row>
    <row r="639" spans="3:11" x14ac:dyDescent="0.2">
      <c r="C639" s="201" t="s">
        <v>17054</v>
      </c>
      <c r="D639" s="200">
        <v>44404</v>
      </c>
      <c r="E639" s="199" t="s">
        <v>17053</v>
      </c>
      <c r="I639" s="198">
        <v>2.2999999999999998</v>
      </c>
      <c r="K639" s="198">
        <v>105198.81</v>
      </c>
    </row>
    <row r="640" spans="3:11" x14ac:dyDescent="0.2">
      <c r="C640" s="201" t="s">
        <v>17052</v>
      </c>
      <c r="D640" s="200">
        <v>44404</v>
      </c>
      <c r="E640" s="199" t="s">
        <v>17051</v>
      </c>
      <c r="I640" s="198">
        <v>2.5099999999999998</v>
      </c>
      <c r="K640" s="198">
        <v>105201.32</v>
      </c>
    </row>
    <row r="641" spans="3:11" x14ac:dyDescent="0.2">
      <c r="C641" s="201" t="s">
        <v>17050</v>
      </c>
      <c r="D641" s="200">
        <v>44404</v>
      </c>
      <c r="E641" s="199" t="s">
        <v>17049</v>
      </c>
      <c r="I641" s="198">
        <v>0.6</v>
      </c>
      <c r="K641" s="198">
        <v>105201.92</v>
      </c>
    </row>
    <row r="642" spans="3:11" x14ac:dyDescent="0.2">
      <c r="C642" s="201" t="s">
        <v>17048</v>
      </c>
      <c r="D642" s="200">
        <v>44404</v>
      </c>
      <c r="E642" s="199" t="s">
        <v>17047</v>
      </c>
      <c r="I642" s="198">
        <v>5.35</v>
      </c>
      <c r="K642" s="198">
        <v>105207.27</v>
      </c>
    </row>
    <row r="643" spans="3:11" x14ac:dyDescent="0.2">
      <c r="C643" s="201" t="s">
        <v>17046</v>
      </c>
      <c r="D643" s="200">
        <v>44404</v>
      </c>
      <c r="E643" s="199" t="s">
        <v>17045</v>
      </c>
      <c r="I643" s="198">
        <v>8.35</v>
      </c>
      <c r="K643" s="198">
        <v>105215.62</v>
      </c>
    </row>
    <row r="644" spans="3:11" x14ac:dyDescent="0.2">
      <c r="C644" s="201" t="s">
        <v>17044</v>
      </c>
      <c r="D644" s="200">
        <v>44404</v>
      </c>
      <c r="E644" s="199" t="s">
        <v>17043</v>
      </c>
      <c r="I644" s="198">
        <v>6.94</v>
      </c>
      <c r="K644" s="198">
        <v>105222.56</v>
      </c>
    </row>
    <row r="645" spans="3:11" x14ac:dyDescent="0.2">
      <c r="C645" s="201" t="s">
        <v>17042</v>
      </c>
      <c r="D645" s="200">
        <v>44404</v>
      </c>
      <c r="E645" s="199" t="s">
        <v>17041</v>
      </c>
      <c r="I645" s="198">
        <v>5.72</v>
      </c>
      <c r="K645" s="198">
        <v>105228.28</v>
      </c>
    </row>
    <row r="646" spans="3:11" x14ac:dyDescent="0.2">
      <c r="C646" s="201" t="s">
        <v>17040</v>
      </c>
      <c r="D646" s="200">
        <v>44404</v>
      </c>
      <c r="E646" s="199" t="s">
        <v>17039</v>
      </c>
      <c r="I646" s="198">
        <v>2.34</v>
      </c>
      <c r="K646" s="198">
        <v>105230.62</v>
      </c>
    </row>
    <row r="647" spans="3:11" x14ac:dyDescent="0.2">
      <c r="C647" s="201" t="s">
        <v>17038</v>
      </c>
      <c r="D647" s="200">
        <v>44404</v>
      </c>
      <c r="E647" s="199" t="s">
        <v>17037</v>
      </c>
      <c r="I647" s="198">
        <v>1.75</v>
      </c>
      <c r="K647" s="198">
        <v>105232.37</v>
      </c>
    </row>
    <row r="648" spans="3:11" x14ac:dyDescent="0.2">
      <c r="C648" s="201" t="s">
        <v>17036</v>
      </c>
      <c r="D648" s="200">
        <v>44404</v>
      </c>
      <c r="E648" s="199" t="s">
        <v>17035</v>
      </c>
      <c r="I648" s="198">
        <v>1.65</v>
      </c>
      <c r="K648" s="198">
        <v>105234.02</v>
      </c>
    </row>
    <row r="649" spans="3:11" x14ac:dyDescent="0.2">
      <c r="C649" s="201" t="s">
        <v>17034</v>
      </c>
      <c r="D649" s="200">
        <v>44404</v>
      </c>
      <c r="E649" s="199" t="s">
        <v>17033</v>
      </c>
      <c r="I649" s="198">
        <v>0.09</v>
      </c>
      <c r="K649" s="198">
        <v>105234.11</v>
      </c>
    </row>
    <row r="650" spans="3:11" x14ac:dyDescent="0.2">
      <c r="C650" s="201" t="s">
        <v>17032</v>
      </c>
      <c r="D650" s="200">
        <v>44404</v>
      </c>
      <c r="E650" s="199" t="s">
        <v>17031</v>
      </c>
      <c r="I650" s="198">
        <v>13.1</v>
      </c>
      <c r="K650" s="198">
        <v>105247.21</v>
      </c>
    </row>
    <row r="651" spans="3:11" x14ac:dyDescent="0.2">
      <c r="C651" s="201" t="s">
        <v>17030</v>
      </c>
      <c r="D651" s="200">
        <v>44404</v>
      </c>
      <c r="E651" s="199" t="s">
        <v>17029</v>
      </c>
      <c r="I651" s="198">
        <v>17.52</v>
      </c>
      <c r="K651" s="198">
        <v>105264.73</v>
      </c>
    </row>
    <row r="652" spans="3:11" x14ac:dyDescent="0.2">
      <c r="C652" s="201" t="s">
        <v>17028</v>
      </c>
      <c r="D652" s="200">
        <v>44404</v>
      </c>
      <c r="E652" s="199" t="s">
        <v>17027</v>
      </c>
      <c r="I652" s="198">
        <v>28.82</v>
      </c>
      <c r="K652" s="198">
        <v>105293.55</v>
      </c>
    </row>
    <row r="653" spans="3:11" x14ac:dyDescent="0.2">
      <c r="C653" s="201" t="s">
        <v>17026</v>
      </c>
      <c r="D653" s="200">
        <v>44404</v>
      </c>
      <c r="E653" s="199" t="s">
        <v>17025</v>
      </c>
      <c r="I653" s="198">
        <v>2.12</v>
      </c>
      <c r="K653" s="198">
        <v>105295.67</v>
      </c>
    </row>
    <row r="654" spans="3:11" x14ac:dyDescent="0.2">
      <c r="C654" s="201" t="s">
        <v>17024</v>
      </c>
      <c r="D654" s="200">
        <v>44404</v>
      </c>
      <c r="E654" s="199" t="s">
        <v>17023</v>
      </c>
      <c r="I654" s="198">
        <v>1.85</v>
      </c>
      <c r="K654" s="198">
        <v>105297.52</v>
      </c>
    </row>
    <row r="655" spans="3:11" x14ac:dyDescent="0.2">
      <c r="C655" s="201" t="s">
        <v>17022</v>
      </c>
      <c r="D655" s="200">
        <v>44404</v>
      </c>
      <c r="E655" s="199" t="s">
        <v>17021</v>
      </c>
      <c r="I655" s="198">
        <v>4.1900000000000004</v>
      </c>
      <c r="K655" s="198">
        <v>105301.71</v>
      </c>
    </row>
    <row r="656" spans="3:11" x14ac:dyDescent="0.2">
      <c r="C656" s="201" t="s">
        <v>17020</v>
      </c>
      <c r="D656" s="200">
        <v>44404</v>
      </c>
      <c r="E656" s="199" t="s">
        <v>17019</v>
      </c>
      <c r="I656" s="198">
        <v>3.09</v>
      </c>
      <c r="K656" s="198">
        <v>105304.8</v>
      </c>
    </row>
    <row r="657" spans="3:11" x14ac:dyDescent="0.2">
      <c r="C657" s="201" t="s">
        <v>17018</v>
      </c>
      <c r="D657" s="200">
        <v>44404</v>
      </c>
      <c r="E657" s="199" t="s">
        <v>17017</v>
      </c>
      <c r="I657" s="198">
        <v>0.06</v>
      </c>
      <c r="K657" s="198">
        <v>105304.86</v>
      </c>
    </row>
    <row r="658" spans="3:11" x14ac:dyDescent="0.2">
      <c r="C658" s="201" t="s">
        <v>17016</v>
      </c>
      <c r="D658" s="200">
        <v>44404</v>
      </c>
      <c r="E658" s="199" t="s">
        <v>17015</v>
      </c>
      <c r="I658" s="198">
        <v>3.37</v>
      </c>
      <c r="K658" s="198">
        <v>105308.23</v>
      </c>
    </row>
    <row r="659" spans="3:11" x14ac:dyDescent="0.2">
      <c r="C659" s="201" t="s">
        <v>17014</v>
      </c>
      <c r="D659" s="200">
        <v>44404</v>
      </c>
      <c r="E659" s="199" t="s">
        <v>17013</v>
      </c>
      <c r="I659" s="198">
        <v>8.3800000000000008</v>
      </c>
      <c r="K659" s="198">
        <v>105316.61</v>
      </c>
    </row>
    <row r="660" spans="3:11" x14ac:dyDescent="0.2">
      <c r="C660" s="201" t="s">
        <v>17012</v>
      </c>
      <c r="D660" s="200">
        <v>44404</v>
      </c>
      <c r="E660" s="199" t="s">
        <v>17011</v>
      </c>
      <c r="I660" s="198">
        <v>7.95</v>
      </c>
      <c r="K660" s="198">
        <v>105324.56</v>
      </c>
    </row>
    <row r="661" spans="3:11" x14ac:dyDescent="0.2">
      <c r="C661" s="201" t="s">
        <v>17010</v>
      </c>
      <c r="D661" s="200">
        <v>44404</v>
      </c>
      <c r="E661" s="199" t="s">
        <v>17009</v>
      </c>
      <c r="I661" s="198">
        <v>3.48</v>
      </c>
      <c r="K661" s="198">
        <v>105328.04</v>
      </c>
    </row>
    <row r="662" spans="3:11" x14ac:dyDescent="0.2">
      <c r="C662" s="201" t="s">
        <v>17008</v>
      </c>
      <c r="D662" s="200">
        <v>44404</v>
      </c>
      <c r="E662" s="199" t="s">
        <v>17007</v>
      </c>
      <c r="I662" s="198">
        <v>11.51</v>
      </c>
      <c r="K662" s="198">
        <v>105339.55</v>
      </c>
    </row>
    <row r="663" spans="3:11" x14ac:dyDescent="0.2">
      <c r="C663" s="201" t="s">
        <v>17006</v>
      </c>
      <c r="D663" s="200">
        <v>44404</v>
      </c>
      <c r="E663" s="199" t="s">
        <v>17005</v>
      </c>
      <c r="I663" s="198">
        <v>1.85</v>
      </c>
      <c r="K663" s="198">
        <v>105341.4</v>
      </c>
    </row>
    <row r="664" spans="3:11" x14ac:dyDescent="0.2">
      <c r="C664" s="201" t="s">
        <v>17004</v>
      </c>
      <c r="D664" s="200">
        <v>44404</v>
      </c>
      <c r="E664" s="199" t="s">
        <v>17003</v>
      </c>
      <c r="I664" s="198">
        <v>3.56</v>
      </c>
      <c r="K664" s="198">
        <v>105344.96000000001</v>
      </c>
    </row>
    <row r="665" spans="3:11" x14ac:dyDescent="0.2">
      <c r="C665" s="201" t="s">
        <v>17002</v>
      </c>
      <c r="D665" s="200">
        <v>44404</v>
      </c>
      <c r="E665" s="199" t="s">
        <v>17001</v>
      </c>
      <c r="I665" s="198">
        <v>0.1</v>
      </c>
      <c r="K665" s="198">
        <v>105345.06</v>
      </c>
    </row>
    <row r="666" spans="3:11" x14ac:dyDescent="0.2">
      <c r="C666" s="201" t="s">
        <v>17000</v>
      </c>
      <c r="D666" s="200">
        <v>44404</v>
      </c>
      <c r="E666" s="199" t="s">
        <v>16999</v>
      </c>
      <c r="I666" s="198">
        <v>2.2999999999999998</v>
      </c>
      <c r="K666" s="198">
        <v>105347.36</v>
      </c>
    </row>
    <row r="667" spans="3:11" x14ac:dyDescent="0.2">
      <c r="C667" s="201" t="s">
        <v>16998</v>
      </c>
      <c r="D667" s="200">
        <v>44405</v>
      </c>
      <c r="E667" s="199" t="s">
        <v>16997</v>
      </c>
      <c r="I667" s="198">
        <v>3.24</v>
      </c>
      <c r="K667" s="198">
        <v>105350.6</v>
      </c>
    </row>
    <row r="668" spans="3:11" x14ac:dyDescent="0.2">
      <c r="C668" s="201" t="s">
        <v>16996</v>
      </c>
      <c r="D668" s="200">
        <v>44405</v>
      </c>
      <c r="E668" s="199" t="s">
        <v>16995</v>
      </c>
      <c r="I668" s="198">
        <v>1.68</v>
      </c>
      <c r="K668" s="198">
        <v>105352.28</v>
      </c>
    </row>
    <row r="669" spans="3:11" x14ac:dyDescent="0.2">
      <c r="C669" s="201" t="s">
        <v>16994</v>
      </c>
      <c r="D669" s="200">
        <v>44405</v>
      </c>
      <c r="E669" s="199" t="s">
        <v>16993</v>
      </c>
      <c r="I669" s="198">
        <v>1.96</v>
      </c>
      <c r="K669" s="198">
        <v>105354.24000000001</v>
      </c>
    </row>
    <row r="670" spans="3:11" x14ac:dyDescent="0.2">
      <c r="C670" s="201" t="s">
        <v>16992</v>
      </c>
      <c r="D670" s="200">
        <v>44405</v>
      </c>
      <c r="E670" s="199" t="s">
        <v>16991</v>
      </c>
      <c r="I670" s="198">
        <v>3.43</v>
      </c>
      <c r="K670" s="198">
        <v>105357.67</v>
      </c>
    </row>
    <row r="671" spans="3:11" x14ac:dyDescent="0.2">
      <c r="C671" s="201" t="s">
        <v>16990</v>
      </c>
      <c r="D671" s="200">
        <v>44405</v>
      </c>
      <c r="E671" s="199" t="s">
        <v>16989</v>
      </c>
      <c r="I671" s="198">
        <v>2.02</v>
      </c>
      <c r="K671" s="198">
        <v>105359.69</v>
      </c>
    </row>
    <row r="672" spans="3:11" x14ac:dyDescent="0.2">
      <c r="C672" s="201" t="s">
        <v>16988</v>
      </c>
      <c r="D672" s="200">
        <v>44405</v>
      </c>
      <c r="E672" s="199" t="s">
        <v>16987</v>
      </c>
      <c r="I672" s="198">
        <v>30</v>
      </c>
      <c r="K672" s="198">
        <v>105389.69</v>
      </c>
    </row>
    <row r="673" spans="3:11" x14ac:dyDescent="0.2">
      <c r="C673" s="201" t="s">
        <v>16986</v>
      </c>
      <c r="D673" s="200">
        <v>44405</v>
      </c>
      <c r="E673" s="199" t="s">
        <v>16985</v>
      </c>
      <c r="I673" s="198">
        <v>0.42</v>
      </c>
      <c r="K673" s="198">
        <v>105390.11</v>
      </c>
    </row>
    <row r="674" spans="3:11" x14ac:dyDescent="0.2">
      <c r="C674" s="201" t="s">
        <v>16984</v>
      </c>
      <c r="D674" s="200">
        <v>44405</v>
      </c>
      <c r="E674" s="199" t="s">
        <v>16983</v>
      </c>
      <c r="I674" s="198">
        <v>5.04</v>
      </c>
      <c r="K674" s="198">
        <v>105395.15</v>
      </c>
    </row>
    <row r="675" spans="3:11" x14ac:dyDescent="0.2">
      <c r="C675" s="201" t="s">
        <v>16982</v>
      </c>
      <c r="D675" s="200">
        <v>44405</v>
      </c>
      <c r="E675" s="199" t="s">
        <v>16981</v>
      </c>
      <c r="I675" s="198">
        <v>1.98</v>
      </c>
      <c r="K675" s="198">
        <v>105397.13</v>
      </c>
    </row>
    <row r="676" spans="3:11" x14ac:dyDescent="0.2">
      <c r="C676" s="201" t="s">
        <v>16980</v>
      </c>
      <c r="D676" s="200">
        <v>44405</v>
      </c>
      <c r="E676" s="199" t="s">
        <v>16979</v>
      </c>
      <c r="I676" s="198">
        <v>4.2</v>
      </c>
      <c r="K676" s="198">
        <v>105401.33</v>
      </c>
    </row>
    <row r="677" spans="3:11" x14ac:dyDescent="0.2">
      <c r="C677" s="201" t="s">
        <v>16978</v>
      </c>
      <c r="D677" s="200">
        <v>44405</v>
      </c>
      <c r="E677" s="199" t="s">
        <v>16977</v>
      </c>
      <c r="I677" s="198">
        <v>17.190000000000001</v>
      </c>
      <c r="K677" s="198">
        <v>105418.52</v>
      </c>
    </row>
    <row r="678" spans="3:11" x14ac:dyDescent="0.2">
      <c r="C678" s="201" t="s">
        <v>16976</v>
      </c>
      <c r="D678" s="200">
        <v>44405</v>
      </c>
      <c r="E678" s="199" t="s">
        <v>16975</v>
      </c>
      <c r="I678" s="198">
        <v>37.340000000000003</v>
      </c>
      <c r="K678" s="198">
        <v>105455.86</v>
      </c>
    </row>
    <row r="679" spans="3:11" x14ac:dyDescent="0.2">
      <c r="C679" s="201" t="s">
        <v>16974</v>
      </c>
      <c r="D679" s="200">
        <v>44405</v>
      </c>
      <c r="E679" s="199" t="s">
        <v>16973</v>
      </c>
      <c r="I679" s="198">
        <v>6.94</v>
      </c>
      <c r="K679" s="198">
        <v>105462.8</v>
      </c>
    </row>
    <row r="680" spans="3:11" x14ac:dyDescent="0.2">
      <c r="C680" s="201" t="s">
        <v>16972</v>
      </c>
      <c r="D680" s="200">
        <v>44405</v>
      </c>
      <c r="E680" s="199" t="s">
        <v>16971</v>
      </c>
      <c r="I680" s="198">
        <v>0.7</v>
      </c>
      <c r="K680" s="198">
        <v>105463.5</v>
      </c>
    </row>
    <row r="681" spans="3:11" x14ac:dyDescent="0.2">
      <c r="C681" s="201" t="s">
        <v>16970</v>
      </c>
      <c r="D681" s="200">
        <v>44405</v>
      </c>
      <c r="E681" s="199" t="s">
        <v>16969</v>
      </c>
      <c r="I681" s="198">
        <v>2.17</v>
      </c>
      <c r="K681" s="198">
        <v>105465.67</v>
      </c>
    </row>
    <row r="682" spans="3:11" x14ac:dyDescent="0.2">
      <c r="C682" s="201" t="s">
        <v>16968</v>
      </c>
      <c r="D682" s="200">
        <v>44405</v>
      </c>
      <c r="E682" s="199" t="s">
        <v>16967</v>
      </c>
      <c r="I682" s="198">
        <v>1.68</v>
      </c>
      <c r="K682" s="198">
        <v>105467.35</v>
      </c>
    </row>
    <row r="683" spans="3:11" x14ac:dyDescent="0.2">
      <c r="C683" s="201" t="s">
        <v>16966</v>
      </c>
      <c r="D683" s="200">
        <v>44405</v>
      </c>
      <c r="E683" s="199" t="s">
        <v>16965</v>
      </c>
      <c r="I683" s="198">
        <v>5.55</v>
      </c>
      <c r="K683" s="198">
        <v>105472.9</v>
      </c>
    </row>
    <row r="684" spans="3:11" x14ac:dyDescent="0.2">
      <c r="C684" s="201" t="s">
        <v>16964</v>
      </c>
      <c r="D684" s="200">
        <v>44405</v>
      </c>
      <c r="E684" s="199" t="s">
        <v>16963</v>
      </c>
      <c r="I684" s="198">
        <v>32.14</v>
      </c>
      <c r="K684" s="198">
        <v>105505.04</v>
      </c>
    </row>
    <row r="685" spans="3:11" x14ac:dyDescent="0.2">
      <c r="C685" s="201" t="s">
        <v>16962</v>
      </c>
      <c r="D685" s="200">
        <v>44405</v>
      </c>
      <c r="E685" s="199" t="s">
        <v>16961</v>
      </c>
      <c r="I685" s="198">
        <v>8.4600000000000009</v>
      </c>
      <c r="K685" s="198">
        <v>105513.5</v>
      </c>
    </row>
    <row r="686" spans="3:11" x14ac:dyDescent="0.2">
      <c r="C686" s="201" t="s">
        <v>16960</v>
      </c>
      <c r="D686" s="200">
        <v>44405</v>
      </c>
      <c r="E686" s="199" t="s">
        <v>16959</v>
      </c>
      <c r="I686" s="198">
        <v>3.24</v>
      </c>
      <c r="K686" s="198">
        <v>105516.74</v>
      </c>
    </row>
    <row r="687" spans="3:11" x14ac:dyDescent="0.2">
      <c r="C687" s="201" t="s">
        <v>16958</v>
      </c>
      <c r="D687" s="200">
        <v>44405</v>
      </c>
      <c r="E687" s="199" t="s">
        <v>16957</v>
      </c>
      <c r="I687" s="198">
        <v>1.94</v>
      </c>
      <c r="K687" s="198">
        <v>105518.68</v>
      </c>
    </row>
    <row r="688" spans="3:11" x14ac:dyDescent="0.2">
      <c r="C688" s="201" t="s">
        <v>16956</v>
      </c>
      <c r="D688" s="200">
        <v>44405</v>
      </c>
      <c r="E688" s="199" t="s">
        <v>16955</v>
      </c>
      <c r="I688" s="198">
        <v>17.25</v>
      </c>
      <c r="K688" s="198">
        <v>105535.93</v>
      </c>
    </row>
    <row r="689" spans="3:11" x14ac:dyDescent="0.2">
      <c r="C689" s="201" t="s">
        <v>16954</v>
      </c>
      <c r="D689" s="200">
        <v>44405</v>
      </c>
      <c r="E689" s="199" t="s">
        <v>16953</v>
      </c>
      <c r="I689" s="198">
        <v>5.58</v>
      </c>
      <c r="K689" s="198">
        <v>105541.51</v>
      </c>
    </row>
    <row r="690" spans="3:11" x14ac:dyDescent="0.2">
      <c r="C690" s="201" t="s">
        <v>16952</v>
      </c>
      <c r="D690" s="200">
        <v>44405</v>
      </c>
      <c r="E690" s="199" t="s">
        <v>16951</v>
      </c>
      <c r="I690" s="198">
        <v>3.6</v>
      </c>
      <c r="K690" s="198">
        <v>105545.11</v>
      </c>
    </row>
    <row r="691" spans="3:11" x14ac:dyDescent="0.2">
      <c r="C691" s="201" t="s">
        <v>16950</v>
      </c>
      <c r="D691" s="200">
        <v>44405</v>
      </c>
      <c r="E691" s="199" t="s">
        <v>16949</v>
      </c>
      <c r="I691" s="198">
        <v>8.3800000000000008</v>
      </c>
      <c r="K691" s="198">
        <v>105553.49</v>
      </c>
    </row>
    <row r="692" spans="3:11" x14ac:dyDescent="0.2">
      <c r="C692" s="201" t="s">
        <v>16948</v>
      </c>
      <c r="D692" s="200">
        <v>44405</v>
      </c>
      <c r="E692" s="199" t="s">
        <v>16947</v>
      </c>
      <c r="I692" s="198">
        <v>8.3800000000000008</v>
      </c>
      <c r="K692" s="198">
        <v>105561.87</v>
      </c>
    </row>
    <row r="693" spans="3:11" x14ac:dyDescent="0.2">
      <c r="C693" s="201" t="s">
        <v>16946</v>
      </c>
      <c r="D693" s="200">
        <v>44405</v>
      </c>
      <c r="E693" s="199" t="s">
        <v>16945</v>
      </c>
      <c r="I693" s="198">
        <v>2.2799999999999998</v>
      </c>
      <c r="K693" s="198">
        <v>105564.15</v>
      </c>
    </row>
    <row r="694" spans="3:11" x14ac:dyDescent="0.2">
      <c r="C694" s="201" t="s">
        <v>16944</v>
      </c>
      <c r="D694" s="200">
        <v>44405</v>
      </c>
      <c r="E694" s="199" t="s">
        <v>16943</v>
      </c>
      <c r="I694" s="198">
        <v>9.94</v>
      </c>
      <c r="K694" s="198">
        <v>105574.09</v>
      </c>
    </row>
    <row r="695" spans="3:11" x14ac:dyDescent="0.2">
      <c r="C695" s="201" t="s">
        <v>16942</v>
      </c>
      <c r="D695" s="200">
        <v>44405</v>
      </c>
      <c r="E695" s="199" t="s">
        <v>16941</v>
      </c>
      <c r="I695" s="198">
        <v>1.68</v>
      </c>
      <c r="K695" s="198">
        <v>105575.77</v>
      </c>
    </row>
    <row r="696" spans="3:11" x14ac:dyDescent="0.2">
      <c r="C696" s="201" t="s">
        <v>16940</v>
      </c>
      <c r="D696" s="200">
        <v>44405</v>
      </c>
      <c r="E696" s="199" t="s">
        <v>16939</v>
      </c>
      <c r="I696" s="198">
        <v>8.3800000000000008</v>
      </c>
      <c r="K696" s="198">
        <v>105584.15</v>
      </c>
    </row>
    <row r="697" spans="3:11" x14ac:dyDescent="0.2">
      <c r="C697" s="201" t="s">
        <v>16938</v>
      </c>
      <c r="D697" s="200">
        <v>44405</v>
      </c>
      <c r="E697" s="199" t="s">
        <v>16937</v>
      </c>
      <c r="I697" s="198">
        <v>8.3800000000000008</v>
      </c>
      <c r="K697" s="198">
        <v>105592.53</v>
      </c>
    </row>
    <row r="698" spans="3:11" x14ac:dyDescent="0.2">
      <c r="C698" s="201" t="s">
        <v>16936</v>
      </c>
      <c r="D698" s="200">
        <v>44405</v>
      </c>
      <c r="E698" s="199" t="s">
        <v>16935</v>
      </c>
      <c r="I698" s="198">
        <v>8.3800000000000008</v>
      </c>
      <c r="K698" s="198">
        <v>105600.91</v>
      </c>
    </row>
    <row r="699" spans="3:11" x14ac:dyDescent="0.2">
      <c r="C699" s="201" t="s">
        <v>16934</v>
      </c>
      <c r="D699" s="200">
        <v>44405</v>
      </c>
      <c r="E699" s="199" t="s">
        <v>16933</v>
      </c>
      <c r="I699" s="198">
        <v>5.82</v>
      </c>
      <c r="K699" s="198">
        <v>105606.73</v>
      </c>
    </row>
    <row r="700" spans="3:11" x14ac:dyDescent="0.2">
      <c r="C700" s="201" t="s">
        <v>16932</v>
      </c>
      <c r="D700" s="200">
        <v>44405</v>
      </c>
      <c r="E700" s="199" t="s">
        <v>16931</v>
      </c>
      <c r="I700" s="198">
        <v>4.5599999999999996</v>
      </c>
      <c r="K700" s="198">
        <v>105611.29</v>
      </c>
    </row>
    <row r="701" spans="3:11" x14ac:dyDescent="0.2">
      <c r="C701" s="201" t="s">
        <v>16930</v>
      </c>
      <c r="D701" s="200">
        <v>44405</v>
      </c>
      <c r="E701" s="199" t="s">
        <v>16929</v>
      </c>
      <c r="I701" s="198">
        <v>31.18</v>
      </c>
      <c r="K701" s="198">
        <v>105642.47</v>
      </c>
    </row>
    <row r="702" spans="3:11" x14ac:dyDescent="0.2">
      <c r="C702" s="201" t="s">
        <v>16928</v>
      </c>
      <c r="D702" s="200">
        <v>44405</v>
      </c>
      <c r="E702" s="199" t="s">
        <v>16927</v>
      </c>
      <c r="I702" s="198">
        <v>8.11</v>
      </c>
      <c r="K702" s="198">
        <v>105650.58</v>
      </c>
    </row>
    <row r="703" spans="3:11" x14ac:dyDescent="0.2">
      <c r="C703" s="201" t="s">
        <v>16926</v>
      </c>
      <c r="D703" s="200">
        <v>44405</v>
      </c>
      <c r="E703" s="199" t="s">
        <v>16925</v>
      </c>
      <c r="I703" s="198">
        <v>24.6</v>
      </c>
      <c r="K703" s="198">
        <v>105675.18</v>
      </c>
    </row>
    <row r="704" spans="3:11" x14ac:dyDescent="0.2">
      <c r="C704" s="201" t="s">
        <v>16924</v>
      </c>
      <c r="D704" s="200">
        <v>44405</v>
      </c>
      <c r="E704" s="199" t="s">
        <v>16923</v>
      </c>
      <c r="I704" s="198">
        <v>0.03</v>
      </c>
      <c r="K704" s="198">
        <v>105675.21</v>
      </c>
    </row>
    <row r="705" spans="3:11" x14ac:dyDescent="0.2">
      <c r="C705" s="201" t="s">
        <v>16922</v>
      </c>
      <c r="D705" s="200">
        <v>44405</v>
      </c>
      <c r="E705" s="199" t="s">
        <v>16921</v>
      </c>
      <c r="I705" s="198">
        <v>7.58</v>
      </c>
      <c r="K705" s="198">
        <v>105682.79</v>
      </c>
    </row>
    <row r="706" spans="3:11" x14ac:dyDescent="0.2">
      <c r="C706" s="201" t="s">
        <v>16920</v>
      </c>
      <c r="D706" s="200">
        <v>44405</v>
      </c>
      <c r="E706" s="199" t="s">
        <v>16919</v>
      </c>
      <c r="I706" s="198">
        <v>1.44</v>
      </c>
      <c r="K706" s="198">
        <v>105684.23</v>
      </c>
    </row>
    <row r="707" spans="3:11" x14ac:dyDescent="0.2">
      <c r="C707" s="201" t="s">
        <v>16918</v>
      </c>
      <c r="D707" s="200">
        <v>44405</v>
      </c>
      <c r="E707" s="199" t="s">
        <v>16917</v>
      </c>
      <c r="I707" s="198">
        <v>5.55</v>
      </c>
      <c r="K707" s="198">
        <v>105689.78</v>
      </c>
    </row>
    <row r="708" spans="3:11" x14ac:dyDescent="0.2">
      <c r="C708" s="201" t="s">
        <v>16916</v>
      </c>
      <c r="D708" s="200">
        <v>44405</v>
      </c>
      <c r="E708" s="199" t="s">
        <v>16915</v>
      </c>
      <c r="I708" s="198">
        <v>4.22</v>
      </c>
      <c r="K708" s="198">
        <v>105694</v>
      </c>
    </row>
    <row r="709" spans="3:11" x14ac:dyDescent="0.2">
      <c r="C709" s="201" t="s">
        <v>16914</v>
      </c>
      <c r="D709" s="200">
        <v>44405</v>
      </c>
      <c r="E709" s="199" t="s">
        <v>16913</v>
      </c>
      <c r="I709" s="198">
        <v>3.91</v>
      </c>
      <c r="K709" s="198">
        <v>105697.91</v>
      </c>
    </row>
    <row r="710" spans="3:11" x14ac:dyDescent="0.2">
      <c r="C710" s="201" t="s">
        <v>16912</v>
      </c>
      <c r="D710" s="200">
        <v>44405</v>
      </c>
      <c r="E710" s="199" t="s">
        <v>16911</v>
      </c>
      <c r="I710" s="198">
        <v>1.94</v>
      </c>
      <c r="K710" s="198">
        <v>105699.85</v>
      </c>
    </row>
    <row r="711" spans="3:11" x14ac:dyDescent="0.2">
      <c r="C711" s="201" t="s">
        <v>16910</v>
      </c>
      <c r="D711" s="200">
        <v>44405</v>
      </c>
      <c r="E711" s="199" t="s">
        <v>16909</v>
      </c>
      <c r="I711" s="198">
        <v>3.47</v>
      </c>
      <c r="K711" s="198">
        <v>105703.32</v>
      </c>
    </row>
    <row r="712" spans="3:11" x14ac:dyDescent="0.2">
      <c r="C712" s="201" t="s">
        <v>16908</v>
      </c>
      <c r="D712" s="200">
        <v>44405</v>
      </c>
      <c r="E712" s="199" t="s">
        <v>16907</v>
      </c>
      <c r="I712" s="198">
        <v>4.09</v>
      </c>
      <c r="K712" s="198">
        <v>105707.41</v>
      </c>
    </row>
    <row r="713" spans="3:11" x14ac:dyDescent="0.2">
      <c r="C713" s="201" t="s">
        <v>16906</v>
      </c>
      <c r="D713" s="200">
        <v>44405</v>
      </c>
      <c r="E713" s="199" t="s">
        <v>16905</v>
      </c>
      <c r="I713" s="198">
        <v>145.79</v>
      </c>
      <c r="K713" s="198">
        <v>105853.2</v>
      </c>
    </row>
    <row r="714" spans="3:11" x14ac:dyDescent="0.2">
      <c r="C714" s="201" t="s">
        <v>16904</v>
      </c>
      <c r="D714" s="200">
        <v>44405</v>
      </c>
      <c r="E714" s="199" t="s">
        <v>16903</v>
      </c>
      <c r="I714" s="198">
        <v>5.21</v>
      </c>
      <c r="K714" s="198">
        <v>105858.41</v>
      </c>
    </row>
    <row r="715" spans="3:11" x14ac:dyDescent="0.2">
      <c r="C715" s="201" t="s">
        <v>16902</v>
      </c>
      <c r="D715" s="200">
        <v>44405</v>
      </c>
      <c r="E715" s="199" t="s">
        <v>16901</v>
      </c>
      <c r="I715" s="198">
        <v>7.82</v>
      </c>
      <c r="K715" s="198">
        <v>105866.23</v>
      </c>
    </row>
    <row r="716" spans="3:11" x14ac:dyDescent="0.2">
      <c r="C716" s="201" t="s">
        <v>16900</v>
      </c>
      <c r="D716" s="200">
        <v>44405</v>
      </c>
      <c r="E716" s="199" t="s">
        <v>16899</v>
      </c>
      <c r="I716" s="198">
        <v>16.760000000000002</v>
      </c>
      <c r="K716" s="198">
        <v>105882.99</v>
      </c>
    </row>
    <row r="717" spans="3:11" x14ac:dyDescent="0.2">
      <c r="C717" s="201" t="s">
        <v>16898</v>
      </c>
      <c r="D717" s="200">
        <v>44405</v>
      </c>
      <c r="E717" s="199" t="s">
        <v>16897</v>
      </c>
      <c r="I717" s="198">
        <v>7.54</v>
      </c>
      <c r="K717" s="198">
        <v>105890.53</v>
      </c>
    </row>
    <row r="718" spans="3:11" x14ac:dyDescent="0.2">
      <c r="C718" s="201" t="s">
        <v>16896</v>
      </c>
      <c r="D718" s="200">
        <v>44405</v>
      </c>
      <c r="E718" s="199" t="s">
        <v>16895</v>
      </c>
      <c r="I718" s="198">
        <v>1.93</v>
      </c>
      <c r="K718" s="198">
        <v>105892.46</v>
      </c>
    </row>
    <row r="719" spans="3:11" x14ac:dyDescent="0.2">
      <c r="C719" s="201" t="s">
        <v>16894</v>
      </c>
      <c r="D719" s="200">
        <v>44405</v>
      </c>
      <c r="E719" s="199" t="s">
        <v>16893</v>
      </c>
      <c r="I719" s="198">
        <v>2.84</v>
      </c>
      <c r="K719" s="198">
        <v>105895.3</v>
      </c>
    </row>
    <row r="720" spans="3:11" x14ac:dyDescent="0.2">
      <c r="C720" s="201" t="s">
        <v>16892</v>
      </c>
      <c r="D720" s="200">
        <v>44406</v>
      </c>
      <c r="E720" s="199" t="s">
        <v>16891</v>
      </c>
      <c r="I720" s="198">
        <v>4</v>
      </c>
      <c r="K720" s="198">
        <v>105899.3</v>
      </c>
    </row>
    <row r="721" spans="3:11" x14ac:dyDescent="0.2">
      <c r="C721" s="201" t="s">
        <v>16890</v>
      </c>
      <c r="D721" s="200">
        <v>44406</v>
      </c>
      <c r="E721" s="199" t="s">
        <v>16889</v>
      </c>
      <c r="I721" s="198">
        <v>1.68</v>
      </c>
      <c r="K721" s="198">
        <v>105900.98</v>
      </c>
    </row>
    <row r="722" spans="3:11" x14ac:dyDescent="0.2">
      <c r="C722" s="201" t="s">
        <v>16888</v>
      </c>
      <c r="D722" s="200">
        <v>44406</v>
      </c>
      <c r="E722" s="199" t="s">
        <v>16887</v>
      </c>
      <c r="I722" s="198">
        <v>22.9</v>
      </c>
      <c r="K722" s="198">
        <v>105923.88</v>
      </c>
    </row>
    <row r="723" spans="3:11" x14ac:dyDescent="0.2">
      <c r="C723" s="201" t="s">
        <v>16886</v>
      </c>
      <c r="D723" s="200">
        <v>44406</v>
      </c>
      <c r="E723" s="199" t="s">
        <v>16885</v>
      </c>
      <c r="I723" s="198">
        <v>5.82</v>
      </c>
      <c r="K723" s="198">
        <v>105929.7</v>
      </c>
    </row>
    <row r="724" spans="3:11" x14ac:dyDescent="0.2">
      <c r="C724" s="201" t="s">
        <v>16884</v>
      </c>
      <c r="D724" s="200">
        <v>44406</v>
      </c>
      <c r="E724" s="199" t="s">
        <v>16883</v>
      </c>
      <c r="I724" s="198">
        <v>13.54</v>
      </c>
      <c r="K724" s="198">
        <v>105943.24</v>
      </c>
    </row>
    <row r="725" spans="3:11" x14ac:dyDescent="0.2">
      <c r="C725" s="201" t="s">
        <v>16882</v>
      </c>
      <c r="D725" s="200">
        <v>44406</v>
      </c>
      <c r="E725" s="199" t="s">
        <v>16881</v>
      </c>
      <c r="I725" s="198">
        <v>8.6199999999999992</v>
      </c>
      <c r="K725" s="198">
        <v>105951.86</v>
      </c>
    </row>
    <row r="726" spans="3:11" x14ac:dyDescent="0.2">
      <c r="C726" s="201" t="s">
        <v>16880</v>
      </c>
      <c r="D726" s="200">
        <v>44406</v>
      </c>
      <c r="E726" s="199" t="s">
        <v>16879</v>
      </c>
      <c r="I726" s="198">
        <v>2.5099999999999998</v>
      </c>
      <c r="K726" s="198">
        <v>105954.37</v>
      </c>
    </row>
    <row r="727" spans="3:11" x14ac:dyDescent="0.2">
      <c r="C727" s="201" t="s">
        <v>16878</v>
      </c>
      <c r="D727" s="200">
        <v>44406</v>
      </c>
      <c r="E727" s="199" t="s">
        <v>16877</v>
      </c>
      <c r="I727" s="198">
        <v>13.82</v>
      </c>
      <c r="K727" s="198">
        <v>105968.19</v>
      </c>
    </row>
    <row r="728" spans="3:11" x14ac:dyDescent="0.2">
      <c r="C728" s="201" t="s">
        <v>16876</v>
      </c>
      <c r="D728" s="200">
        <v>44406</v>
      </c>
      <c r="E728" s="199" t="s">
        <v>16875</v>
      </c>
      <c r="I728" s="198">
        <v>3.37</v>
      </c>
      <c r="K728" s="198">
        <v>105971.56</v>
      </c>
    </row>
    <row r="729" spans="3:11" x14ac:dyDescent="0.2">
      <c r="C729" s="201" t="s">
        <v>16874</v>
      </c>
      <c r="D729" s="200">
        <v>44406</v>
      </c>
      <c r="E729" s="199" t="s">
        <v>16873</v>
      </c>
      <c r="I729" s="198">
        <v>1.68</v>
      </c>
      <c r="K729" s="198">
        <v>105973.24</v>
      </c>
    </row>
    <row r="730" spans="3:11" x14ac:dyDescent="0.2">
      <c r="C730" s="201" t="s">
        <v>16872</v>
      </c>
      <c r="D730" s="200">
        <v>44406</v>
      </c>
      <c r="E730" s="199" t="s">
        <v>16871</v>
      </c>
      <c r="I730" s="198">
        <v>6.99</v>
      </c>
      <c r="K730" s="198">
        <v>105980.23</v>
      </c>
    </row>
    <row r="731" spans="3:11" x14ac:dyDescent="0.2">
      <c r="C731" s="201" t="s">
        <v>16870</v>
      </c>
      <c r="D731" s="200">
        <v>44406</v>
      </c>
      <c r="E731" s="199" t="s">
        <v>16869</v>
      </c>
      <c r="I731" s="198">
        <v>30.1</v>
      </c>
      <c r="K731" s="198">
        <v>106010.33</v>
      </c>
    </row>
    <row r="732" spans="3:11" x14ac:dyDescent="0.2">
      <c r="C732" s="201" t="s">
        <v>16868</v>
      </c>
      <c r="D732" s="200">
        <v>44406</v>
      </c>
      <c r="E732" s="199" t="s">
        <v>16867</v>
      </c>
      <c r="I732" s="198">
        <v>17.600000000000001</v>
      </c>
      <c r="K732" s="198">
        <v>106027.93</v>
      </c>
    </row>
    <row r="733" spans="3:11" x14ac:dyDescent="0.2">
      <c r="C733" s="201" t="s">
        <v>16866</v>
      </c>
      <c r="D733" s="200">
        <v>44406</v>
      </c>
      <c r="E733" s="199" t="s">
        <v>16865</v>
      </c>
      <c r="I733" s="198">
        <v>4.8499999999999996</v>
      </c>
      <c r="K733" s="198">
        <v>106032.78</v>
      </c>
    </row>
    <row r="734" spans="3:11" x14ac:dyDescent="0.2">
      <c r="C734" s="201" t="s">
        <v>16864</v>
      </c>
      <c r="D734" s="200">
        <v>44406</v>
      </c>
      <c r="E734" s="199" t="s">
        <v>16863</v>
      </c>
      <c r="I734" s="198">
        <v>1.68</v>
      </c>
      <c r="K734" s="198">
        <v>106034.46</v>
      </c>
    </row>
    <row r="735" spans="3:11" x14ac:dyDescent="0.2">
      <c r="C735" s="201" t="s">
        <v>16862</v>
      </c>
      <c r="D735" s="200">
        <v>44406</v>
      </c>
      <c r="E735" s="199" t="s">
        <v>16861</v>
      </c>
      <c r="I735" s="198">
        <v>1.68</v>
      </c>
      <c r="K735" s="198">
        <v>106036.14</v>
      </c>
    </row>
    <row r="736" spans="3:11" x14ac:dyDescent="0.2">
      <c r="C736" s="201" t="s">
        <v>16860</v>
      </c>
      <c r="D736" s="200">
        <v>44406</v>
      </c>
      <c r="E736" s="199" t="s">
        <v>16859</v>
      </c>
      <c r="I736" s="198">
        <v>43.17</v>
      </c>
      <c r="K736" s="198">
        <v>106079.31</v>
      </c>
    </row>
    <row r="737" spans="3:11" x14ac:dyDescent="0.2">
      <c r="C737" s="201" t="s">
        <v>16858</v>
      </c>
      <c r="D737" s="200">
        <v>44406</v>
      </c>
      <c r="E737" s="199" t="s">
        <v>16857</v>
      </c>
      <c r="I737" s="198">
        <v>5.68</v>
      </c>
      <c r="K737" s="198">
        <v>106084.99</v>
      </c>
    </row>
    <row r="738" spans="3:11" x14ac:dyDescent="0.2">
      <c r="C738" s="201" t="s">
        <v>16856</v>
      </c>
      <c r="D738" s="200">
        <v>44406</v>
      </c>
      <c r="E738" s="199" t="s">
        <v>16855</v>
      </c>
      <c r="I738" s="198">
        <v>2.1800000000000002</v>
      </c>
      <c r="K738" s="198">
        <v>106087.17</v>
      </c>
    </row>
    <row r="739" spans="3:11" x14ac:dyDescent="0.2">
      <c r="C739" s="201" t="s">
        <v>16854</v>
      </c>
      <c r="D739" s="200">
        <v>44406</v>
      </c>
      <c r="E739" s="199" t="s">
        <v>16853</v>
      </c>
      <c r="I739" s="198">
        <v>8.5</v>
      </c>
      <c r="K739" s="198">
        <v>106095.67</v>
      </c>
    </row>
    <row r="740" spans="3:11" x14ac:dyDescent="0.2">
      <c r="C740" s="201" t="s">
        <v>16852</v>
      </c>
      <c r="D740" s="200">
        <v>44406</v>
      </c>
      <c r="E740" s="199" t="s">
        <v>16851</v>
      </c>
      <c r="I740" s="198">
        <v>3</v>
      </c>
      <c r="K740" s="198">
        <v>106098.67</v>
      </c>
    </row>
    <row r="741" spans="3:11" x14ac:dyDescent="0.2">
      <c r="C741" s="201" t="s">
        <v>16850</v>
      </c>
      <c r="D741" s="200">
        <v>44406</v>
      </c>
      <c r="E741" s="199" t="s">
        <v>16849</v>
      </c>
      <c r="I741" s="198">
        <v>16.760000000000002</v>
      </c>
      <c r="K741" s="198">
        <v>106115.43</v>
      </c>
    </row>
    <row r="742" spans="3:11" x14ac:dyDescent="0.2">
      <c r="C742" s="201" t="s">
        <v>16848</v>
      </c>
      <c r="D742" s="200">
        <v>44406</v>
      </c>
      <c r="E742" s="199" t="s">
        <v>16847</v>
      </c>
      <c r="I742" s="198">
        <v>13.51</v>
      </c>
      <c r="K742" s="198">
        <v>106128.94</v>
      </c>
    </row>
    <row r="743" spans="3:11" x14ac:dyDescent="0.2">
      <c r="C743" s="201" t="s">
        <v>16846</v>
      </c>
      <c r="D743" s="200">
        <v>44406</v>
      </c>
      <c r="E743" s="199" t="s">
        <v>16845</v>
      </c>
      <c r="I743" s="198">
        <v>33.25</v>
      </c>
      <c r="K743" s="198">
        <v>106162.19</v>
      </c>
    </row>
    <row r="744" spans="3:11" x14ac:dyDescent="0.2">
      <c r="C744" s="201" t="s">
        <v>16844</v>
      </c>
      <c r="D744" s="200">
        <v>44406</v>
      </c>
      <c r="E744" s="199" t="s">
        <v>16843</v>
      </c>
      <c r="I744" s="198">
        <v>2.0699999999999998</v>
      </c>
      <c r="K744" s="198">
        <v>106164.26</v>
      </c>
    </row>
    <row r="745" spans="3:11" x14ac:dyDescent="0.2">
      <c r="C745" s="201" t="s">
        <v>16842</v>
      </c>
      <c r="D745" s="200">
        <v>44406</v>
      </c>
      <c r="E745" s="199" t="s">
        <v>16841</v>
      </c>
      <c r="I745" s="198">
        <v>1.94</v>
      </c>
      <c r="K745" s="198">
        <v>106166.2</v>
      </c>
    </row>
    <row r="746" spans="3:11" x14ac:dyDescent="0.2">
      <c r="C746" s="201" t="s">
        <v>16840</v>
      </c>
      <c r="D746" s="200">
        <v>44406</v>
      </c>
      <c r="E746" s="199" t="s">
        <v>16839</v>
      </c>
      <c r="I746" s="198">
        <v>0.68</v>
      </c>
      <c r="K746" s="198">
        <v>106166.88</v>
      </c>
    </row>
    <row r="747" spans="3:11" x14ac:dyDescent="0.2">
      <c r="C747" s="201" t="s">
        <v>16838</v>
      </c>
      <c r="D747" s="200">
        <v>44406</v>
      </c>
      <c r="E747" s="199" t="s">
        <v>16837</v>
      </c>
      <c r="I747" s="198">
        <v>6.96</v>
      </c>
      <c r="K747" s="198">
        <v>106173.84</v>
      </c>
    </row>
    <row r="748" spans="3:11" x14ac:dyDescent="0.2">
      <c r="C748" s="201" t="s">
        <v>16836</v>
      </c>
      <c r="D748" s="200">
        <v>44406</v>
      </c>
      <c r="E748" s="199" t="s">
        <v>16835</v>
      </c>
      <c r="I748" s="198">
        <v>1.84</v>
      </c>
      <c r="K748" s="198">
        <v>106175.67999999999</v>
      </c>
    </row>
    <row r="749" spans="3:11" x14ac:dyDescent="0.2">
      <c r="C749" s="201" t="s">
        <v>16834</v>
      </c>
      <c r="D749" s="200">
        <v>44406</v>
      </c>
      <c r="E749" s="199" t="s">
        <v>16833</v>
      </c>
      <c r="I749" s="198">
        <v>5.04</v>
      </c>
      <c r="K749" s="198">
        <v>106180.72</v>
      </c>
    </row>
    <row r="750" spans="3:11" x14ac:dyDescent="0.2">
      <c r="C750" s="201" t="s">
        <v>16832</v>
      </c>
      <c r="D750" s="200">
        <v>44406</v>
      </c>
      <c r="E750" s="199" t="s">
        <v>16831</v>
      </c>
      <c r="I750" s="198">
        <v>3.39</v>
      </c>
      <c r="K750" s="198">
        <v>106184.11</v>
      </c>
    </row>
    <row r="751" spans="3:11" x14ac:dyDescent="0.2">
      <c r="C751" s="201" t="s">
        <v>16830</v>
      </c>
      <c r="D751" s="200">
        <v>44406</v>
      </c>
      <c r="E751" s="199" t="s">
        <v>16829</v>
      </c>
      <c r="I751" s="198">
        <v>0.26</v>
      </c>
      <c r="K751" s="198">
        <v>106184.37</v>
      </c>
    </row>
    <row r="752" spans="3:11" x14ac:dyDescent="0.2">
      <c r="C752" s="201" t="s">
        <v>16828</v>
      </c>
      <c r="D752" s="200">
        <v>44406</v>
      </c>
      <c r="E752" s="199" t="s">
        <v>16827</v>
      </c>
      <c r="I752" s="198">
        <v>4.58</v>
      </c>
      <c r="K752" s="198">
        <v>106188.95</v>
      </c>
    </row>
    <row r="753" spans="3:11" x14ac:dyDescent="0.2">
      <c r="C753" s="201" t="s">
        <v>16826</v>
      </c>
      <c r="D753" s="200">
        <v>44406</v>
      </c>
      <c r="E753" s="199" t="s">
        <v>16825</v>
      </c>
      <c r="I753" s="198">
        <v>2.77</v>
      </c>
      <c r="K753" s="198">
        <v>106191.72</v>
      </c>
    </row>
    <row r="754" spans="3:11" x14ac:dyDescent="0.2">
      <c r="C754" s="201" t="s">
        <v>16824</v>
      </c>
      <c r="D754" s="200">
        <v>44406</v>
      </c>
      <c r="E754" s="199" t="s">
        <v>16823</v>
      </c>
      <c r="I754" s="198">
        <v>4.05</v>
      </c>
      <c r="K754" s="198">
        <v>106195.77</v>
      </c>
    </row>
    <row r="755" spans="3:11" x14ac:dyDescent="0.2">
      <c r="C755" s="201" t="s">
        <v>16822</v>
      </c>
      <c r="D755" s="200">
        <v>44406</v>
      </c>
      <c r="E755" s="199" t="s">
        <v>16821</v>
      </c>
      <c r="I755" s="198">
        <v>5.26</v>
      </c>
      <c r="K755" s="198">
        <v>106201.03</v>
      </c>
    </row>
    <row r="756" spans="3:11" x14ac:dyDescent="0.2">
      <c r="C756" s="201" t="s">
        <v>16820</v>
      </c>
      <c r="D756" s="200">
        <v>44406</v>
      </c>
      <c r="E756" s="199" t="s">
        <v>16819</v>
      </c>
      <c r="I756" s="198">
        <v>1.84</v>
      </c>
      <c r="K756" s="198">
        <v>106202.87</v>
      </c>
    </row>
    <row r="757" spans="3:11" x14ac:dyDescent="0.2">
      <c r="C757" s="201" t="s">
        <v>16818</v>
      </c>
      <c r="D757" s="200">
        <v>44406</v>
      </c>
      <c r="E757" s="199" t="s">
        <v>16817</v>
      </c>
      <c r="I757" s="198">
        <v>8.08</v>
      </c>
      <c r="K757" s="198">
        <v>106210.95</v>
      </c>
    </row>
    <row r="758" spans="3:11" x14ac:dyDescent="0.2">
      <c r="C758" s="201" t="s">
        <v>16816</v>
      </c>
      <c r="D758" s="200">
        <v>44406</v>
      </c>
      <c r="E758" s="199" t="s">
        <v>16815</v>
      </c>
      <c r="I758" s="198">
        <v>6.3</v>
      </c>
      <c r="K758" s="198">
        <v>106217.25</v>
      </c>
    </row>
    <row r="759" spans="3:11" x14ac:dyDescent="0.2">
      <c r="C759" s="201" t="s">
        <v>16814</v>
      </c>
      <c r="D759" s="200">
        <v>44406</v>
      </c>
      <c r="E759" s="199" t="s">
        <v>16813</v>
      </c>
      <c r="I759" s="198">
        <v>5.45</v>
      </c>
      <c r="K759" s="198">
        <v>106222.7</v>
      </c>
    </row>
    <row r="760" spans="3:11" x14ac:dyDescent="0.2">
      <c r="C760" s="201" t="s">
        <v>16812</v>
      </c>
      <c r="D760" s="200">
        <v>44406</v>
      </c>
      <c r="E760" s="199" t="s">
        <v>16811</v>
      </c>
      <c r="I760" s="198">
        <v>1</v>
      </c>
      <c r="K760" s="198">
        <v>106223.7</v>
      </c>
    </row>
    <row r="761" spans="3:11" x14ac:dyDescent="0.2">
      <c r="C761" s="201" t="s">
        <v>16810</v>
      </c>
      <c r="D761" s="200">
        <v>44406</v>
      </c>
      <c r="E761" s="199" t="s">
        <v>16809</v>
      </c>
      <c r="I761" s="198">
        <v>1.68</v>
      </c>
      <c r="K761" s="198">
        <v>106225.38</v>
      </c>
    </row>
    <row r="762" spans="3:11" x14ac:dyDescent="0.2">
      <c r="C762" s="201" t="s">
        <v>16808</v>
      </c>
      <c r="D762" s="200">
        <v>44406</v>
      </c>
      <c r="E762" s="199" t="s">
        <v>16807</v>
      </c>
      <c r="I762" s="198">
        <v>7.65</v>
      </c>
      <c r="K762" s="198">
        <v>106233.03</v>
      </c>
    </row>
    <row r="763" spans="3:11" x14ac:dyDescent="0.2">
      <c r="C763" s="201" t="s">
        <v>16806</v>
      </c>
      <c r="D763" s="200">
        <v>44406</v>
      </c>
      <c r="E763" s="199" t="s">
        <v>16805</v>
      </c>
      <c r="I763" s="198">
        <v>12.3</v>
      </c>
      <c r="K763" s="198">
        <v>106245.33</v>
      </c>
    </row>
    <row r="764" spans="3:11" x14ac:dyDescent="0.2">
      <c r="C764" s="201" t="s">
        <v>16804</v>
      </c>
      <c r="D764" s="200">
        <v>44406</v>
      </c>
      <c r="E764" s="199" t="s">
        <v>16803</v>
      </c>
      <c r="I764" s="198">
        <v>14.72</v>
      </c>
      <c r="K764" s="198">
        <v>106260.05</v>
      </c>
    </row>
    <row r="765" spans="3:11" x14ac:dyDescent="0.2">
      <c r="C765" s="201" t="s">
        <v>16802</v>
      </c>
      <c r="D765" s="200">
        <v>44406</v>
      </c>
      <c r="E765" s="199" t="s">
        <v>16801</v>
      </c>
      <c r="I765" s="198">
        <v>12.71</v>
      </c>
      <c r="K765" s="198">
        <v>106272.76</v>
      </c>
    </row>
    <row r="766" spans="3:11" x14ac:dyDescent="0.2">
      <c r="C766" s="201" t="s">
        <v>1551</v>
      </c>
      <c r="D766" s="200">
        <v>44406</v>
      </c>
      <c r="E766" s="199" t="s">
        <v>16800</v>
      </c>
      <c r="J766" s="222">
        <v>20.27</v>
      </c>
      <c r="K766" s="198">
        <v>106252.49</v>
      </c>
    </row>
    <row r="767" spans="3:11" x14ac:dyDescent="0.2">
      <c r="C767" s="201" t="s">
        <v>1559</v>
      </c>
      <c r="D767" s="200">
        <v>44406</v>
      </c>
      <c r="E767" s="199" t="s">
        <v>16799</v>
      </c>
      <c r="J767" s="222">
        <v>11.86</v>
      </c>
      <c r="K767" s="198">
        <v>106240.63</v>
      </c>
    </row>
    <row r="768" spans="3:11" x14ac:dyDescent="0.2">
      <c r="C768" s="201" t="s">
        <v>1543</v>
      </c>
      <c r="D768" s="200">
        <v>44406</v>
      </c>
      <c r="E768" s="199" t="s">
        <v>16798</v>
      </c>
      <c r="J768" s="222">
        <v>10.84</v>
      </c>
      <c r="K768" s="198">
        <v>106229.79</v>
      </c>
    </row>
    <row r="769" spans="3:11" x14ac:dyDescent="0.2">
      <c r="C769" s="201" t="s">
        <v>1545</v>
      </c>
      <c r="D769" s="200">
        <v>44406</v>
      </c>
      <c r="E769" s="199" t="s">
        <v>16797</v>
      </c>
      <c r="J769" s="222">
        <v>7.49</v>
      </c>
      <c r="K769" s="198">
        <v>106222.3</v>
      </c>
    </row>
    <row r="770" spans="3:11" x14ac:dyDescent="0.2">
      <c r="C770" s="201" t="s">
        <v>1548</v>
      </c>
      <c r="D770" s="200">
        <v>44406</v>
      </c>
      <c r="E770" s="199" t="s">
        <v>16796</v>
      </c>
      <c r="J770" s="222">
        <v>16.84</v>
      </c>
      <c r="K770" s="198">
        <v>106205.46</v>
      </c>
    </row>
    <row r="771" spans="3:11" x14ac:dyDescent="0.2">
      <c r="C771" s="201" t="s">
        <v>1547</v>
      </c>
      <c r="D771" s="200">
        <v>44406</v>
      </c>
      <c r="E771" s="199" t="s">
        <v>16795</v>
      </c>
      <c r="J771" s="222">
        <v>13.52</v>
      </c>
      <c r="K771" s="198">
        <v>106191.94</v>
      </c>
    </row>
    <row r="772" spans="3:11" x14ac:dyDescent="0.2">
      <c r="C772" s="201" t="s">
        <v>12308</v>
      </c>
      <c r="D772" s="200">
        <v>44406</v>
      </c>
      <c r="E772" s="199" t="s">
        <v>20206</v>
      </c>
      <c r="J772" s="222">
        <v>847.68</v>
      </c>
      <c r="K772" s="198">
        <v>105344.26</v>
      </c>
    </row>
    <row r="773" spans="3:11" x14ac:dyDescent="0.2">
      <c r="C773" s="201" t="s">
        <v>7481</v>
      </c>
      <c r="D773" s="200">
        <v>44406</v>
      </c>
      <c r="E773" s="199" t="s">
        <v>20205</v>
      </c>
      <c r="J773" s="222">
        <v>5.7</v>
      </c>
      <c r="K773" s="198">
        <v>105338.56</v>
      </c>
    </row>
    <row r="774" spans="3:11" x14ac:dyDescent="0.2">
      <c r="C774" s="201" t="s">
        <v>12228</v>
      </c>
      <c r="D774" s="200">
        <v>44406</v>
      </c>
      <c r="E774" s="199" t="s">
        <v>20204</v>
      </c>
      <c r="J774" s="222">
        <v>2.69</v>
      </c>
      <c r="K774" s="198">
        <v>105335.87</v>
      </c>
    </row>
    <row r="775" spans="3:11" x14ac:dyDescent="0.2">
      <c r="C775" s="201" t="s">
        <v>7479</v>
      </c>
      <c r="D775" s="200">
        <v>44406</v>
      </c>
      <c r="E775" s="199" t="s">
        <v>20203</v>
      </c>
      <c r="J775" s="222">
        <v>0.18</v>
      </c>
      <c r="K775" s="198">
        <v>105335.69</v>
      </c>
    </row>
    <row r="776" spans="3:11" x14ac:dyDescent="0.2">
      <c r="C776" s="201" t="s">
        <v>7982</v>
      </c>
      <c r="D776" s="200">
        <v>44406</v>
      </c>
      <c r="E776" s="199" t="s">
        <v>20202</v>
      </c>
      <c r="J776" s="222">
        <v>1706.74</v>
      </c>
      <c r="K776" s="198">
        <v>103628.95</v>
      </c>
    </row>
    <row r="777" spans="3:11" x14ac:dyDescent="0.2">
      <c r="C777" s="201" t="s">
        <v>11663</v>
      </c>
      <c r="D777" s="200">
        <v>44406</v>
      </c>
      <c r="E777" s="199" t="s">
        <v>20201</v>
      </c>
      <c r="J777" s="222">
        <v>5.39</v>
      </c>
      <c r="K777" s="198">
        <v>103623.56</v>
      </c>
    </row>
    <row r="778" spans="3:11" x14ac:dyDescent="0.2">
      <c r="C778" s="201" t="s">
        <v>20189</v>
      </c>
      <c r="D778" s="200">
        <v>44406</v>
      </c>
      <c r="E778" s="199" t="s">
        <v>20200</v>
      </c>
      <c r="J778" s="222">
        <v>0.36</v>
      </c>
      <c r="K778" s="198">
        <v>103623.2</v>
      </c>
    </row>
    <row r="779" spans="3:11" x14ac:dyDescent="0.2">
      <c r="C779" s="201" t="s">
        <v>16794</v>
      </c>
      <c r="D779" s="200">
        <v>44407</v>
      </c>
      <c r="E779" s="199" t="s">
        <v>16793</v>
      </c>
      <c r="I779" s="198">
        <v>5.04</v>
      </c>
      <c r="K779" s="198">
        <v>103628.24</v>
      </c>
    </row>
    <row r="780" spans="3:11" x14ac:dyDescent="0.2">
      <c r="C780" s="201" t="s">
        <v>16792</v>
      </c>
      <c r="D780" s="200">
        <v>44407</v>
      </c>
      <c r="E780" s="199" t="s">
        <v>16791</v>
      </c>
      <c r="I780" s="198">
        <v>5.04</v>
      </c>
      <c r="K780" s="198">
        <v>103633.28</v>
      </c>
    </row>
    <row r="781" spans="3:11" x14ac:dyDescent="0.2">
      <c r="C781" s="201" t="s">
        <v>16790</v>
      </c>
      <c r="D781" s="200">
        <v>44407</v>
      </c>
      <c r="E781" s="199" t="s">
        <v>16789</v>
      </c>
      <c r="I781" s="198">
        <v>0.33</v>
      </c>
      <c r="K781" s="198">
        <v>103633.61</v>
      </c>
    </row>
    <row r="782" spans="3:11" x14ac:dyDescent="0.2">
      <c r="C782" s="201" t="s">
        <v>16788</v>
      </c>
      <c r="D782" s="200">
        <v>44407</v>
      </c>
      <c r="E782" s="199" t="s">
        <v>16787</v>
      </c>
      <c r="I782" s="198">
        <v>2.35</v>
      </c>
      <c r="K782" s="198">
        <v>103635.96</v>
      </c>
    </row>
    <row r="783" spans="3:11" x14ac:dyDescent="0.2">
      <c r="C783" s="201" t="s">
        <v>16786</v>
      </c>
      <c r="D783" s="200">
        <v>44407</v>
      </c>
      <c r="E783" s="199" t="s">
        <v>16785</v>
      </c>
      <c r="I783" s="198">
        <v>1.68</v>
      </c>
      <c r="K783" s="198">
        <v>103637.64</v>
      </c>
    </row>
    <row r="784" spans="3:11" x14ac:dyDescent="0.2">
      <c r="C784" s="201" t="s">
        <v>16784</v>
      </c>
      <c r="D784" s="200">
        <v>44407</v>
      </c>
      <c r="E784" s="199" t="s">
        <v>16783</v>
      </c>
      <c r="I784" s="198">
        <v>3.85</v>
      </c>
      <c r="K784" s="198">
        <v>103641.49</v>
      </c>
    </row>
    <row r="785" spans="3:11" x14ac:dyDescent="0.2">
      <c r="C785" s="201" t="s">
        <v>16782</v>
      </c>
      <c r="D785" s="200">
        <v>44407</v>
      </c>
      <c r="E785" s="199" t="s">
        <v>16781</v>
      </c>
      <c r="I785" s="198">
        <v>17.760000000000002</v>
      </c>
      <c r="K785" s="198">
        <v>103659.25</v>
      </c>
    </row>
    <row r="786" spans="3:11" x14ac:dyDescent="0.2">
      <c r="C786" s="201" t="s">
        <v>16780</v>
      </c>
      <c r="D786" s="200">
        <v>44407</v>
      </c>
      <c r="E786" s="199" t="s">
        <v>16779</v>
      </c>
      <c r="I786" s="198">
        <v>3.98</v>
      </c>
      <c r="K786" s="198">
        <v>103663.23</v>
      </c>
    </row>
    <row r="787" spans="3:11" x14ac:dyDescent="0.2">
      <c r="C787" s="201" t="s">
        <v>16778</v>
      </c>
      <c r="D787" s="200">
        <v>44407</v>
      </c>
      <c r="E787" s="199" t="s">
        <v>16777</v>
      </c>
      <c r="I787" s="198">
        <v>3.48</v>
      </c>
      <c r="K787" s="198">
        <v>103666.71</v>
      </c>
    </row>
    <row r="788" spans="3:11" x14ac:dyDescent="0.2">
      <c r="C788" s="201" t="s">
        <v>16776</v>
      </c>
      <c r="D788" s="200">
        <v>44407</v>
      </c>
      <c r="E788" s="199" t="s">
        <v>16775</v>
      </c>
      <c r="I788" s="198">
        <v>11.24</v>
      </c>
      <c r="K788" s="198">
        <v>103677.95</v>
      </c>
    </row>
    <row r="789" spans="3:11" x14ac:dyDescent="0.2">
      <c r="C789" s="201" t="s">
        <v>16774</v>
      </c>
      <c r="D789" s="200">
        <v>44407</v>
      </c>
      <c r="E789" s="199" t="s">
        <v>16773</v>
      </c>
      <c r="I789" s="198">
        <v>5.04</v>
      </c>
      <c r="K789" s="198">
        <v>103682.99</v>
      </c>
    </row>
    <row r="790" spans="3:11" x14ac:dyDescent="0.2">
      <c r="C790" s="201" t="s">
        <v>16772</v>
      </c>
      <c r="D790" s="200">
        <v>44407</v>
      </c>
      <c r="E790" s="199" t="s">
        <v>16771</v>
      </c>
      <c r="I790" s="198">
        <v>2.7</v>
      </c>
      <c r="K790" s="198">
        <v>103685.69</v>
      </c>
    </row>
    <row r="791" spans="3:11" x14ac:dyDescent="0.2">
      <c r="C791" s="201" t="s">
        <v>16770</v>
      </c>
      <c r="D791" s="200">
        <v>44407</v>
      </c>
      <c r="E791" s="199" t="s">
        <v>16769</v>
      </c>
      <c r="I791" s="198">
        <v>1.68</v>
      </c>
      <c r="K791" s="198">
        <v>103687.37</v>
      </c>
    </row>
    <row r="792" spans="3:11" x14ac:dyDescent="0.2">
      <c r="C792" s="201" t="s">
        <v>16768</v>
      </c>
      <c r="D792" s="200">
        <v>44407</v>
      </c>
      <c r="E792" s="199" t="s">
        <v>16767</v>
      </c>
      <c r="I792" s="198">
        <v>6.3</v>
      </c>
      <c r="K792" s="198">
        <v>103693.67</v>
      </c>
    </row>
    <row r="793" spans="3:11" x14ac:dyDescent="0.2">
      <c r="C793" s="201" t="s">
        <v>16766</v>
      </c>
      <c r="D793" s="200">
        <v>44407</v>
      </c>
      <c r="E793" s="199" t="s">
        <v>16765</v>
      </c>
      <c r="I793" s="198">
        <v>10.45</v>
      </c>
      <c r="K793" s="198">
        <v>103704.12</v>
      </c>
    </row>
    <row r="794" spans="3:11" x14ac:dyDescent="0.2">
      <c r="C794" s="201" t="s">
        <v>16764</v>
      </c>
      <c r="D794" s="200">
        <v>44407</v>
      </c>
      <c r="E794" s="199" t="s">
        <v>16763</v>
      </c>
      <c r="I794" s="198">
        <v>10.98</v>
      </c>
      <c r="K794" s="198">
        <v>103715.1</v>
      </c>
    </row>
    <row r="795" spans="3:11" x14ac:dyDescent="0.2">
      <c r="C795" s="201" t="s">
        <v>16762</v>
      </c>
      <c r="D795" s="200">
        <v>44407</v>
      </c>
      <c r="E795" s="199" t="s">
        <v>16761</v>
      </c>
      <c r="I795" s="198">
        <v>5.38</v>
      </c>
      <c r="K795" s="198">
        <v>103720.48</v>
      </c>
    </row>
    <row r="796" spans="3:11" x14ac:dyDescent="0.2">
      <c r="C796" s="201" t="s">
        <v>16760</v>
      </c>
      <c r="D796" s="200">
        <v>44407</v>
      </c>
      <c r="E796" s="199" t="s">
        <v>16759</v>
      </c>
      <c r="I796" s="198">
        <v>5.26</v>
      </c>
      <c r="K796" s="198">
        <v>103725.74</v>
      </c>
    </row>
    <row r="797" spans="3:11" x14ac:dyDescent="0.2">
      <c r="C797" s="201" t="s">
        <v>16758</v>
      </c>
      <c r="D797" s="200">
        <v>44407</v>
      </c>
      <c r="E797" s="199" t="s">
        <v>16757</v>
      </c>
      <c r="I797" s="198">
        <v>12.58</v>
      </c>
      <c r="K797" s="198">
        <v>103738.32</v>
      </c>
    </row>
    <row r="798" spans="3:11" x14ac:dyDescent="0.2">
      <c r="C798" s="201" t="s">
        <v>16756</v>
      </c>
      <c r="D798" s="200">
        <v>44407</v>
      </c>
      <c r="E798" s="199" t="s">
        <v>16755</v>
      </c>
      <c r="I798" s="198">
        <v>2.13</v>
      </c>
      <c r="K798" s="198">
        <v>103740.45</v>
      </c>
    </row>
    <row r="799" spans="3:11" x14ac:dyDescent="0.2">
      <c r="C799" s="201" t="s">
        <v>16754</v>
      </c>
      <c r="D799" s="200">
        <v>44407</v>
      </c>
      <c r="E799" s="199" t="s">
        <v>16753</v>
      </c>
      <c r="I799" s="198">
        <v>2.16</v>
      </c>
      <c r="K799" s="198">
        <v>103742.61</v>
      </c>
    </row>
    <row r="800" spans="3:11" x14ac:dyDescent="0.2">
      <c r="C800" s="201" t="s">
        <v>16752</v>
      </c>
      <c r="D800" s="200">
        <v>44407</v>
      </c>
      <c r="E800" s="199" t="s">
        <v>16751</v>
      </c>
      <c r="I800" s="198">
        <v>5.04</v>
      </c>
      <c r="K800" s="198">
        <v>103747.65</v>
      </c>
    </row>
    <row r="801" spans="3:11" x14ac:dyDescent="0.2">
      <c r="C801" s="201" t="s">
        <v>16750</v>
      </c>
      <c r="D801" s="200">
        <v>44407</v>
      </c>
      <c r="E801" s="199" t="s">
        <v>16749</v>
      </c>
      <c r="I801" s="198">
        <v>5.37</v>
      </c>
      <c r="K801" s="198">
        <v>103753.02</v>
      </c>
    </row>
    <row r="802" spans="3:11" x14ac:dyDescent="0.2">
      <c r="C802" s="201" t="s">
        <v>16748</v>
      </c>
      <c r="D802" s="200">
        <v>44407</v>
      </c>
      <c r="E802" s="199" t="s">
        <v>16747</v>
      </c>
      <c r="I802" s="198">
        <v>6.94</v>
      </c>
      <c r="K802" s="198">
        <v>103759.96</v>
      </c>
    </row>
    <row r="803" spans="3:11" x14ac:dyDescent="0.2">
      <c r="C803" s="201" t="s">
        <v>16746</v>
      </c>
      <c r="D803" s="200">
        <v>44407</v>
      </c>
      <c r="E803" s="199" t="s">
        <v>16745</v>
      </c>
      <c r="I803" s="198">
        <v>2.89</v>
      </c>
      <c r="K803" s="198">
        <v>103762.85</v>
      </c>
    </row>
    <row r="804" spans="3:11" x14ac:dyDescent="0.2">
      <c r="C804" s="201" t="s">
        <v>16744</v>
      </c>
      <c r="D804" s="200">
        <v>44407</v>
      </c>
      <c r="E804" s="199" t="s">
        <v>16743</v>
      </c>
      <c r="I804" s="198">
        <v>1.72</v>
      </c>
      <c r="K804" s="198">
        <v>103764.57</v>
      </c>
    </row>
    <row r="805" spans="3:11" x14ac:dyDescent="0.2">
      <c r="C805" s="201" t="s">
        <v>16742</v>
      </c>
      <c r="D805" s="200">
        <v>44407</v>
      </c>
      <c r="E805" s="199" t="s">
        <v>16741</v>
      </c>
      <c r="I805" s="198">
        <v>2.68</v>
      </c>
      <c r="K805" s="198">
        <v>103767.25</v>
      </c>
    </row>
    <row r="806" spans="3:11" x14ac:dyDescent="0.2">
      <c r="C806" s="201" t="s">
        <v>16740</v>
      </c>
      <c r="D806" s="200">
        <v>44407</v>
      </c>
      <c r="E806" s="199" t="s">
        <v>16739</v>
      </c>
      <c r="I806" s="198">
        <v>3.53</v>
      </c>
      <c r="K806" s="198">
        <v>103770.78</v>
      </c>
    </row>
    <row r="807" spans="3:11" x14ac:dyDescent="0.2">
      <c r="C807" s="201" t="s">
        <v>16738</v>
      </c>
      <c r="D807" s="200">
        <v>44407</v>
      </c>
      <c r="E807" s="199" t="s">
        <v>16737</v>
      </c>
      <c r="I807" s="198">
        <v>1.72</v>
      </c>
      <c r="K807" s="198">
        <v>103772.5</v>
      </c>
    </row>
    <row r="808" spans="3:11" x14ac:dyDescent="0.2">
      <c r="C808" s="201" t="s">
        <v>16736</v>
      </c>
      <c r="D808" s="200">
        <v>44407</v>
      </c>
      <c r="E808" s="199" t="s">
        <v>16735</v>
      </c>
      <c r="I808" s="198">
        <v>2.79</v>
      </c>
      <c r="K808" s="198">
        <v>103775.29</v>
      </c>
    </row>
    <row r="809" spans="3:11" x14ac:dyDescent="0.2">
      <c r="C809" s="201" t="s">
        <v>16734</v>
      </c>
      <c r="D809" s="200">
        <v>44407</v>
      </c>
      <c r="E809" s="199" t="s">
        <v>16733</v>
      </c>
      <c r="I809" s="198">
        <v>3.37</v>
      </c>
      <c r="K809" s="198">
        <v>103778.66</v>
      </c>
    </row>
    <row r="810" spans="3:11" x14ac:dyDescent="0.2">
      <c r="C810" s="201" t="s">
        <v>16732</v>
      </c>
      <c r="D810" s="200">
        <v>44407</v>
      </c>
      <c r="E810" s="199" t="s">
        <v>16731</v>
      </c>
      <c r="I810" s="198">
        <v>13.88</v>
      </c>
      <c r="K810" s="198">
        <v>103792.54</v>
      </c>
    </row>
    <row r="811" spans="3:11" x14ac:dyDescent="0.2">
      <c r="C811" s="201" t="s">
        <v>16730</v>
      </c>
      <c r="D811" s="200">
        <v>44407</v>
      </c>
      <c r="E811" s="199" t="s">
        <v>16729</v>
      </c>
      <c r="I811" s="198">
        <v>10</v>
      </c>
      <c r="K811" s="198">
        <v>103802.54</v>
      </c>
    </row>
    <row r="812" spans="3:11" x14ac:dyDescent="0.2">
      <c r="C812" s="201" t="s">
        <v>16728</v>
      </c>
      <c r="D812" s="200">
        <v>44407</v>
      </c>
      <c r="E812" s="199" t="s">
        <v>16727</v>
      </c>
      <c r="I812" s="198">
        <v>6.94</v>
      </c>
      <c r="K812" s="198">
        <v>103809.48</v>
      </c>
    </row>
    <row r="813" spans="3:11" x14ac:dyDescent="0.2">
      <c r="C813" s="201" t="s">
        <v>16726</v>
      </c>
      <c r="D813" s="200">
        <v>44407</v>
      </c>
      <c r="E813" s="199" t="s">
        <v>16725</v>
      </c>
      <c r="I813" s="198">
        <v>24.55</v>
      </c>
      <c r="K813" s="198">
        <v>103834.03</v>
      </c>
    </row>
    <row r="814" spans="3:11" x14ac:dyDescent="0.2">
      <c r="C814" s="201" t="s">
        <v>1552</v>
      </c>
      <c r="D814" s="200">
        <v>44407</v>
      </c>
      <c r="E814" s="199" t="s">
        <v>16724</v>
      </c>
      <c r="J814" s="222">
        <v>600</v>
      </c>
      <c r="K814" s="198">
        <v>103234.03</v>
      </c>
    </row>
    <row r="815" spans="3:11" x14ac:dyDescent="0.2">
      <c r="C815" s="201" t="s">
        <v>1549</v>
      </c>
      <c r="D815" s="200">
        <v>44407</v>
      </c>
      <c r="E815" s="199" t="s">
        <v>16723</v>
      </c>
      <c r="J815" s="222">
        <v>103.4</v>
      </c>
      <c r="K815" s="198">
        <v>103130.63</v>
      </c>
    </row>
    <row r="816" spans="3:11" x14ac:dyDescent="0.2">
      <c r="C816" s="201" t="s">
        <v>1561</v>
      </c>
      <c r="D816" s="200">
        <v>44407</v>
      </c>
      <c r="E816" s="199" t="s">
        <v>16722</v>
      </c>
      <c r="J816" s="222">
        <v>1607.47</v>
      </c>
      <c r="K816" s="198">
        <v>101523.16</v>
      </c>
    </row>
    <row r="817" spans="3:11" x14ac:dyDescent="0.2">
      <c r="C817" s="201" t="s">
        <v>1560</v>
      </c>
      <c r="D817" s="200">
        <v>44407</v>
      </c>
      <c r="E817" s="199" t="s">
        <v>16721</v>
      </c>
      <c r="J817" s="222">
        <v>3427.48</v>
      </c>
      <c r="K817" s="198">
        <v>98095.679999999993</v>
      </c>
    </row>
    <row r="818" spans="3:11" x14ac:dyDescent="0.2">
      <c r="C818" s="201" t="s">
        <v>16720</v>
      </c>
      <c r="D818" s="200">
        <v>44408</v>
      </c>
      <c r="E818" s="199" t="s">
        <v>16719</v>
      </c>
      <c r="J818" s="222">
        <v>111.17</v>
      </c>
      <c r="K818" s="198">
        <v>97984.51</v>
      </c>
    </row>
    <row r="819" spans="3:11" x14ac:dyDescent="0.2">
      <c r="C819" s="201" t="s">
        <v>16718</v>
      </c>
      <c r="D819" s="200">
        <v>44408</v>
      </c>
      <c r="E819" s="199" t="s">
        <v>16717</v>
      </c>
      <c r="I819" s="198">
        <v>18.55</v>
      </c>
      <c r="K819" s="198">
        <v>98003.06</v>
      </c>
    </row>
    <row r="820" spans="3:11" x14ac:dyDescent="0.2">
      <c r="C820" s="201" t="s">
        <v>16716</v>
      </c>
      <c r="D820" s="200">
        <v>44408</v>
      </c>
      <c r="E820" s="199" t="s">
        <v>16715</v>
      </c>
      <c r="I820" s="198">
        <v>1.68</v>
      </c>
      <c r="K820" s="198">
        <v>98004.74</v>
      </c>
    </row>
    <row r="821" spans="3:11" x14ac:dyDescent="0.2">
      <c r="C821" s="201" t="s">
        <v>16714</v>
      </c>
      <c r="D821" s="200">
        <v>44408</v>
      </c>
      <c r="E821" s="199" t="s">
        <v>16713</v>
      </c>
      <c r="I821" s="198">
        <v>1.04</v>
      </c>
      <c r="K821" s="198">
        <v>98005.78</v>
      </c>
    </row>
    <row r="822" spans="3:11" x14ac:dyDescent="0.2">
      <c r="C822" s="201" t="s">
        <v>16712</v>
      </c>
      <c r="D822" s="200">
        <v>44408</v>
      </c>
      <c r="E822" s="199" t="s">
        <v>16711</v>
      </c>
      <c r="I822" s="198">
        <v>2.98</v>
      </c>
      <c r="K822" s="198">
        <v>98008.76</v>
      </c>
    </row>
    <row r="823" spans="3:11" x14ac:dyDescent="0.2">
      <c r="C823" s="201" t="s">
        <v>16710</v>
      </c>
      <c r="D823" s="200">
        <v>44408</v>
      </c>
      <c r="E823" s="199" t="s">
        <v>16709</v>
      </c>
      <c r="I823" s="198">
        <v>2.83</v>
      </c>
      <c r="K823" s="198">
        <v>98011.59</v>
      </c>
    </row>
    <row r="824" spans="3:11" x14ac:dyDescent="0.2">
      <c r="C824" s="201" t="s">
        <v>16708</v>
      </c>
      <c r="D824" s="200">
        <v>44408</v>
      </c>
      <c r="E824" s="199" t="s">
        <v>16707</v>
      </c>
      <c r="I824" s="198">
        <v>11.36</v>
      </c>
      <c r="K824" s="198">
        <v>98022.95</v>
      </c>
    </row>
    <row r="825" spans="3:11" x14ac:dyDescent="0.2">
      <c r="C825" s="201" t="s">
        <v>16706</v>
      </c>
      <c r="D825" s="200">
        <v>44408</v>
      </c>
      <c r="E825" s="199" t="s">
        <v>16705</v>
      </c>
      <c r="I825" s="198">
        <v>3.72</v>
      </c>
      <c r="K825" s="198">
        <v>98026.67</v>
      </c>
    </row>
    <row r="826" spans="3:11" x14ac:dyDescent="0.2">
      <c r="C826" s="201" t="s">
        <v>16704</v>
      </c>
      <c r="D826" s="200">
        <v>44408</v>
      </c>
      <c r="E826" s="199" t="s">
        <v>16703</v>
      </c>
      <c r="I826" s="198">
        <v>17.98</v>
      </c>
      <c r="K826" s="198">
        <v>98044.65</v>
      </c>
    </row>
    <row r="827" spans="3:11" x14ac:dyDescent="0.2">
      <c r="C827" s="201" t="s">
        <v>16702</v>
      </c>
      <c r="D827" s="200">
        <v>44408</v>
      </c>
      <c r="E827" s="199" t="s">
        <v>16701</v>
      </c>
      <c r="I827" s="198">
        <v>3.81</v>
      </c>
      <c r="K827" s="198">
        <v>98048.46</v>
      </c>
    </row>
    <row r="828" spans="3:11" x14ac:dyDescent="0.2">
      <c r="C828" s="201" t="s">
        <v>16700</v>
      </c>
      <c r="D828" s="200">
        <v>44408</v>
      </c>
      <c r="E828" s="199" t="s">
        <v>16699</v>
      </c>
      <c r="I828" s="198">
        <v>1.68</v>
      </c>
      <c r="K828" s="198">
        <v>98050.14</v>
      </c>
    </row>
    <row r="829" spans="3:11" x14ac:dyDescent="0.2">
      <c r="C829" s="201" t="s">
        <v>16698</v>
      </c>
      <c r="D829" s="200">
        <v>44408</v>
      </c>
      <c r="E829" s="199" t="s">
        <v>16697</v>
      </c>
      <c r="I829" s="198">
        <v>1.53</v>
      </c>
      <c r="K829" s="198">
        <v>98051.67</v>
      </c>
    </row>
    <row r="830" spans="3:11" x14ac:dyDescent="0.2">
      <c r="C830" s="201" t="s">
        <v>16696</v>
      </c>
      <c r="D830" s="200">
        <v>44408</v>
      </c>
      <c r="E830" s="199" t="s">
        <v>16695</v>
      </c>
      <c r="I830" s="198">
        <v>14.89</v>
      </c>
      <c r="K830" s="198">
        <v>98066.559999999998</v>
      </c>
    </row>
    <row r="831" spans="3:11" x14ac:dyDescent="0.2">
      <c r="C831" s="201" t="s">
        <v>16694</v>
      </c>
      <c r="D831" s="200">
        <v>44408</v>
      </c>
      <c r="E831" s="199" t="s">
        <v>16693</v>
      </c>
      <c r="I831" s="198">
        <v>6.94</v>
      </c>
      <c r="K831" s="198">
        <v>98073.5</v>
      </c>
    </row>
    <row r="832" spans="3:11" x14ac:dyDescent="0.2">
      <c r="C832" s="201" t="s">
        <v>16692</v>
      </c>
      <c r="D832" s="200">
        <v>44408</v>
      </c>
      <c r="E832" s="199" t="s">
        <v>16691</v>
      </c>
      <c r="I832" s="198">
        <v>1.68</v>
      </c>
      <c r="K832" s="198">
        <v>98075.18</v>
      </c>
    </row>
    <row r="833" spans="3:11" x14ac:dyDescent="0.2">
      <c r="C833" s="201" t="s">
        <v>16690</v>
      </c>
      <c r="D833" s="200">
        <v>44408</v>
      </c>
      <c r="E833" s="199" t="s">
        <v>16689</v>
      </c>
      <c r="I833" s="198">
        <v>1.69</v>
      </c>
      <c r="K833" s="198">
        <v>98076.87</v>
      </c>
    </row>
    <row r="834" spans="3:11" x14ac:dyDescent="0.2">
      <c r="C834" s="201" t="s">
        <v>16688</v>
      </c>
      <c r="D834" s="200">
        <v>44408</v>
      </c>
      <c r="E834" s="199" t="s">
        <v>16687</v>
      </c>
      <c r="I834" s="198">
        <v>11.33</v>
      </c>
      <c r="K834" s="198">
        <v>98088.2</v>
      </c>
    </row>
    <row r="835" spans="3:11" x14ac:dyDescent="0.2">
      <c r="C835" s="201" t="s">
        <v>16686</v>
      </c>
      <c r="D835" s="200">
        <v>44408</v>
      </c>
      <c r="E835" s="199" t="s">
        <v>16685</v>
      </c>
      <c r="I835" s="198">
        <v>10.16</v>
      </c>
      <c r="K835" s="198">
        <v>98098.36</v>
      </c>
    </row>
    <row r="836" spans="3:11" x14ac:dyDescent="0.2">
      <c r="C836" s="201" t="s">
        <v>16684</v>
      </c>
      <c r="D836" s="200">
        <v>44408</v>
      </c>
      <c r="E836" s="199" t="s">
        <v>16683</v>
      </c>
      <c r="I836" s="198">
        <v>8.83</v>
      </c>
      <c r="K836" s="198">
        <v>98107.19</v>
      </c>
    </row>
    <row r="837" spans="3:11" x14ac:dyDescent="0.2">
      <c r="C837" s="201" t="s">
        <v>16682</v>
      </c>
      <c r="D837" s="200">
        <v>44408</v>
      </c>
      <c r="E837" s="199" t="s">
        <v>16681</v>
      </c>
      <c r="I837" s="198">
        <v>4.5</v>
      </c>
      <c r="K837" s="198">
        <v>98111.69</v>
      </c>
    </row>
    <row r="838" spans="3:11" x14ac:dyDescent="0.2">
      <c r="C838" s="201" t="s">
        <v>16680</v>
      </c>
      <c r="D838" s="200">
        <v>44408</v>
      </c>
      <c r="E838" s="199" t="s">
        <v>16679</v>
      </c>
      <c r="I838" s="198">
        <v>5.07</v>
      </c>
      <c r="K838" s="198">
        <v>98116.76</v>
      </c>
    </row>
    <row r="839" spans="3:11" x14ac:dyDescent="0.2">
      <c r="C839" s="201" t="s">
        <v>16678</v>
      </c>
      <c r="D839" s="200">
        <v>44408</v>
      </c>
      <c r="E839" s="199" t="s">
        <v>16677</v>
      </c>
      <c r="I839" s="198">
        <v>5.33</v>
      </c>
      <c r="K839" s="198">
        <v>98122.09</v>
      </c>
    </row>
    <row r="840" spans="3:11" x14ac:dyDescent="0.2">
      <c r="C840" s="201" t="s">
        <v>16676</v>
      </c>
      <c r="D840" s="200">
        <v>44408</v>
      </c>
      <c r="E840" s="199" t="s">
        <v>16675</v>
      </c>
      <c r="I840" s="198">
        <v>1.81</v>
      </c>
      <c r="K840" s="198">
        <v>98123.9</v>
      </c>
    </row>
    <row r="841" spans="3:11" x14ac:dyDescent="0.2">
      <c r="C841" s="201" t="s">
        <v>6176</v>
      </c>
      <c r="D841" s="200">
        <v>44408</v>
      </c>
      <c r="E841" s="199" t="s">
        <v>20199</v>
      </c>
      <c r="J841" s="222">
        <v>101.7</v>
      </c>
      <c r="K841" s="198">
        <v>98022.2</v>
      </c>
    </row>
    <row r="842" spans="3:11" x14ac:dyDescent="0.2">
      <c r="C842" s="197" t="s">
        <v>22</v>
      </c>
      <c r="D842" s="196">
        <v>82430.11</v>
      </c>
      <c r="E842" s="197" t="s">
        <v>21</v>
      </c>
      <c r="F842" s="196">
        <v>35314.57</v>
      </c>
      <c r="G842" s="197" t="s">
        <v>20</v>
      </c>
      <c r="H842" s="196">
        <v>19722.48</v>
      </c>
      <c r="J842" s="197" t="s">
        <v>19</v>
      </c>
      <c r="K842" s="196">
        <v>98022.2</v>
      </c>
    </row>
    <row r="845" spans="3:11" x14ac:dyDescent="0.2">
      <c r="E845" s="87" t="s">
        <v>18</v>
      </c>
      <c r="K845" s="86" t="s">
        <v>17</v>
      </c>
    </row>
  </sheetData>
  <pageMargins left="0.75" right="0.75" top="1" bottom="1" header="0" footer="0"/>
  <pageSetup orientation="portrait" errors="NA" horizontalDpi="120" verticalDpi="72"/>
  <headerFooter alignWithMargins="0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82756-F674-4F56-A6D1-90012D507637}">
  <dimension ref="A1:G272"/>
  <sheetViews>
    <sheetView topLeftCell="A181" workbookViewId="0">
      <selection activeCell="E174" sqref="E174"/>
    </sheetView>
  </sheetViews>
  <sheetFormatPr baseColWidth="10" defaultRowHeight="15" x14ac:dyDescent="0.25"/>
  <cols>
    <col min="2" max="2" width="45.42578125" customWidth="1"/>
    <col min="3" max="3" width="7.7109375" customWidth="1"/>
    <col min="4" max="4" width="12" customWidth="1"/>
    <col min="5" max="5" width="15.7109375" bestFit="1" customWidth="1"/>
    <col min="6" max="6" width="10.28515625" bestFit="1" customWidth="1"/>
    <col min="7" max="7" width="10.7109375" customWidth="1"/>
  </cols>
  <sheetData>
    <row r="1" spans="1:6" x14ac:dyDescent="0.25">
      <c r="A1" s="294" t="s">
        <v>18307</v>
      </c>
      <c r="B1" s="294"/>
      <c r="C1" s="294"/>
      <c r="D1" s="294"/>
      <c r="E1" s="294"/>
      <c r="F1" s="294"/>
    </row>
    <row r="2" spans="1:6" x14ac:dyDescent="0.25">
      <c r="A2" s="221" t="s">
        <v>542</v>
      </c>
      <c r="B2" s="221" t="s">
        <v>543</v>
      </c>
      <c r="C2" s="221" t="s">
        <v>9</v>
      </c>
      <c r="D2" s="221" t="s">
        <v>544</v>
      </c>
      <c r="E2" s="221" t="s">
        <v>5</v>
      </c>
      <c r="F2" s="221" t="s">
        <v>545</v>
      </c>
    </row>
    <row r="3" spans="1:6" x14ac:dyDescent="0.25">
      <c r="A3" s="23" t="str">
        <f>"3907156"</f>
        <v>3907156</v>
      </c>
      <c r="B3" s="23" t="s">
        <v>1121</v>
      </c>
      <c r="C3" s="23">
        <v>13.88</v>
      </c>
      <c r="D3" s="23">
        <v>363610</v>
      </c>
      <c r="E3" s="24">
        <v>44378.385636574072</v>
      </c>
      <c r="F3" s="221">
        <v>9255</v>
      </c>
    </row>
    <row r="4" spans="1:6" x14ac:dyDescent="0.25">
      <c r="A4" s="23" t="str">
        <f>"3907331"</f>
        <v>3907331</v>
      </c>
      <c r="B4" s="23" t="s">
        <v>13183</v>
      </c>
      <c r="C4" s="23">
        <v>2.4</v>
      </c>
      <c r="D4" s="23">
        <v>363259</v>
      </c>
      <c r="E4" s="24">
        <v>44378.443379629629</v>
      </c>
      <c r="F4" s="221">
        <v>9256</v>
      </c>
    </row>
    <row r="5" spans="1:6" x14ac:dyDescent="0.25">
      <c r="A5" s="23" t="str">
        <f>"3950310"</f>
        <v>3950310</v>
      </c>
      <c r="B5" s="23" t="s">
        <v>3753</v>
      </c>
      <c r="C5" s="23">
        <v>8.3800000000000008</v>
      </c>
      <c r="D5" s="23">
        <v>363503</v>
      </c>
      <c r="E5" s="24">
        <v>44378.455497685187</v>
      </c>
      <c r="F5" s="221">
        <v>9257</v>
      </c>
    </row>
    <row r="6" spans="1:6" x14ac:dyDescent="0.25">
      <c r="A6" s="23" t="str">
        <f>"3908230"</f>
        <v>3908230</v>
      </c>
      <c r="B6" s="23" t="s">
        <v>1566</v>
      </c>
      <c r="C6" s="23">
        <v>1.93</v>
      </c>
      <c r="D6" s="23">
        <v>363282</v>
      </c>
      <c r="E6" s="24">
        <v>44378.50439814815</v>
      </c>
      <c r="F6" s="221">
        <v>9258</v>
      </c>
    </row>
    <row r="7" spans="1:6" x14ac:dyDescent="0.25">
      <c r="A7" s="23" t="str">
        <f>"3902247"</f>
        <v>3902247</v>
      </c>
      <c r="B7" s="23" t="s">
        <v>3790</v>
      </c>
      <c r="C7" s="23">
        <v>3.37</v>
      </c>
      <c r="D7" s="23">
        <v>364374</v>
      </c>
      <c r="E7" s="24">
        <v>44378.596377314818</v>
      </c>
      <c r="F7" s="221">
        <v>9259</v>
      </c>
    </row>
    <row r="8" spans="1:6" x14ac:dyDescent="0.25">
      <c r="A8" s="23" t="str">
        <f>"3909435"</f>
        <v>3909435</v>
      </c>
      <c r="B8" s="23" t="s">
        <v>13199</v>
      </c>
      <c r="C8" s="23">
        <v>2.37</v>
      </c>
      <c r="D8" s="23">
        <v>365353</v>
      </c>
      <c r="E8" s="24">
        <v>44378.61010416667</v>
      </c>
      <c r="F8" s="221">
        <v>9260</v>
      </c>
    </row>
    <row r="9" spans="1:6" x14ac:dyDescent="0.25">
      <c r="A9" s="23" t="str">
        <f>"3940887"</f>
        <v>3940887</v>
      </c>
      <c r="B9" s="23" t="s">
        <v>623</v>
      </c>
      <c r="C9" s="23">
        <v>17.899999999999999</v>
      </c>
      <c r="D9" s="23">
        <v>363430</v>
      </c>
      <c r="E9" s="24">
        <v>44378.623148148145</v>
      </c>
      <c r="F9" s="221">
        <v>9261</v>
      </c>
    </row>
    <row r="10" spans="1:6" x14ac:dyDescent="0.25">
      <c r="A10" s="23" t="str">
        <f>"3908040"</f>
        <v>3908040</v>
      </c>
      <c r="B10" s="23" t="s">
        <v>11646</v>
      </c>
      <c r="C10" s="23">
        <v>45.67</v>
      </c>
      <c r="D10" s="23">
        <v>364895</v>
      </c>
      <c r="E10" s="24">
        <v>44378.628854166665</v>
      </c>
      <c r="F10" s="221">
        <v>9262</v>
      </c>
    </row>
    <row r="11" spans="1:6" x14ac:dyDescent="0.25">
      <c r="A11" s="23" t="str">
        <f>"3908524"</f>
        <v>3908524</v>
      </c>
      <c r="B11" s="23" t="s">
        <v>18306</v>
      </c>
      <c r="C11" s="23">
        <v>10.27</v>
      </c>
      <c r="D11" s="23">
        <v>365168</v>
      </c>
      <c r="E11" s="24">
        <v>44378.645648148151</v>
      </c>
      <c r="F11" s="221">
        <v>9263</v>
      </c>
    </row>
    <row r="12" spans="1:6" x14ac:dyDescent="0.25">
      <c r="A12" s="23" t="str">
        <f>"3906764"</f>
        <v>3906764</v>
      </c>
      <c r="B12" s="23" t="s">
        <v>13205</v>
      </c>
      <c r="C12" s="23">
        <v>1.94</v>
      </c>
      <c r="D12" s="23">
        <v>363277</v>
      </c>
      <c r="E12" s="24">
        <v>44378.65053240741</v>
      </c>
      <c r="F12" s="221">
        <v>9264</v>
      </c>
    </row>
    <row r="13" spans="1:6" x14ac:dyDescent="0.25">
      <c r="A13" s="23" t="str">
        <f>"3909494"</f>
        <v>3909494</v>
      </c>
      <c r="B13" s="23" t="s">
        <v>18305</v>
      </c>
      <c r="C13" s="23">
        <v>1.81</v>
      </c>
      <c r="D13" s="23">
        <v>365396</v>
      </c>
      <c r="E13" s="24">
        <v>44378.695324074077</v>
      </c>
      <c r="F13" s="221">
        <v>9265</v>
      </c>
    </row>
    <row r="14" spans="1:6" x14ac:dyDescent="0.25">
      <c r="A14" s="23"/>
      <c r="B14" s="221">
        <v>1</v>
      </c>
      <c r="C14" s="189">
        <f>SUM(C3:C13)</f>
        <v>109.92</v>
      </c>
      <c r="D14" s="23"/>
      <c r="E14" s="24"/>
      <c r="F14" s="221"/>
    </row>
    <row r="15" spans="1:6" x14ac:dyDescent="0.25">
      <c r="A15" s="23" t="str">
        <f>"3909396"</f>
        <v>3909396</v>
      </c>
      <c r="B15" s="23" t="s">
        <v>13207</v>
      </c>
      <c r="C15" s="23">
        <v>2.0299999999999998</v>
      </c>
      <c r="D15" s="23">
        <v>365335</v>
      </c>
      <c r="E15" s="24">
        <v>44379.387777777774</v>
      </c>
      <c r="F15" s="221">
        <v>9376</v>
      </c>
    </row>
    <row r="16" spans="1:6" x14ac:dyDescent="0.25">
      <c r="A16" s="23" t="str">
        <f>"3907867"</f>
        <v>3907867</v>
      </c>
      <c r="B16" s="23" t="s">
        <v>552</v>
      </c>
      <c r="C16" s="23">
        <v>3.92</v>
      </c>
      <c r="D16" s="23">
        <v>364007</v>
      </c>
      <c r="E16" s="24">
        <v>44379.388692129629</v>
      </c>
      <c r="F16" s="221">
        <v>9377</v>
      </c>
    </row>
    <row r="17" spans="1:6" x14ac:dyDescent="0.25">
      <c r="A17" s="23" t="str">
        <f>"3930030"</f>
        <v>3930030</v>
      </c>
      <c r="B17" s="23" t="s">
        <v>1111</v>
      </c>
      <c r="C17" s="23">
        <v>1.83</v>
      </c>
      <c r="D17" s="23">
        <v>363879</v>
      </c>
      <c r="E17" s="24">
        <v>44379.409270833334</v>
      </c>
      <c r="F17" s="221">
        <v>9378</v>
      </c>
    </row>
    <row r="18" spans="1:6" x14ac:dyDescent="0.25">
      <c r="A18" s="23" t="str">
        <f>"3900383"</f>
        <v>3900383</v>
      </c>
      <c r="B18" s="23" t="s">
        <v>634</v>
      </c>
      <c r="C18" s="23">
        <v>3.01</v>
      </c>
      <c r="D18" s="23">
        <v>364494</v>
      </c>
      <c r="E18" s="24">
        <v>44379.412789351853</v>
      </c>
      <c r="F18" s="221">
        <v>9379</v>
      </c>
    </row>
    <row r="19" spans="1:6" x14ac:dyDescent="0.25">
      <c r="A19" s="23" t="str">
        <f>"3909471"</f>
        <v>3909471</v>
      </c>
      <c r="B19" s="23" t="s">
        <v>18304</v>
      </c>
      <c r="C19" s="23">
        <v>31.83</v>
      </c>
      <c r="D19" s="23">
        <v>365379</v>
      </c>
      <c r="E19" s="24">
        <v>44379.456932870373</v>
      </c>
      <c r="F19" s="221">
        <v>9380</v>
      </c>
    </row>
    <row r="20" spans="1:6" x14ac:dyDescent="0.25">
      <c r="A20" s="23" t="str">
        <f>"3909789"</f>
        <v>3909789</v>
      </c>
      <c r="B20" s="23" t="s">
        <v>604</v>
      </c>
      <c r="C20" s="23">
        <v>1.68</v>
      </c>
      <c r="D20" s="23">
        <v>364389</v>
      </c>
      <c r="E20" s="24">
        <v>44379.565069444441</v>
      </c>
      <c r="F20" s="221">
        <v>9381</v>
      </c>
    </row>
    <row r="21" spans="1:6" x14ac:dyDescent="0.25">
      <c r="A21" s="23"/>
      <c r="B21" s="221">
        <v>2</v>
      </c>
      <c r="C21" s="189">
        <f>SUM(C15:C20)</f>
        <v>44.3</v>
      </c>
      <c r="D21" s="23"/>
      <c r="E21" s="24"/>
      <c r="F21" s="221"/>
    </row>
    <row r="22" spans="1:6" x14ac:dyDescent="0.25">
      <c r="A22" s="23" t="str">
        <f>"3907942"</f>
        <v>3907942</v>
      </c>
      <c r="B22" s="23" t="s">
        <v>18303</v>
      </c>
      <c r="C22" s="23">
        <v>2.52</v>
      </c>
      <c r="D22" s="23">
        <v>312782</v>
      </c>
      <c r="E22" s="24">
        <v>44382.719004629631</v>
      </c>
      <c r="F22" s="221">
        <v>9503</v>
      </c>
    </row>
    <row r="23" spans="1:6" x14ac:dyDescent="0.25">
      <c r="A23" s="23" t="str">
        <f>"3903061"</f>
        <v>3903061</v>
      </c>
      <c r="B23" s="23" t="s">
        <v>569</v>
      </c>
      <c r="C23" s="23">
        <v>6.94</v>
      </c>
      <c r="D23" s="23">
        <v>363637</v>
      </c>
      <c r="E23" s="24">
        <v>44382.719004629631</v>
      </c>
      <c r="F23" s="221">
        <v>9497</v>
      </c>
    </row>
    <row r="24" spans="1:6" x14ac:dyDescent="0.25">
      <c r="A24" s="23" t="str">
        <f>"3902419"</f>
        <v>3902419</v>
      </c>
      <c r="B24" s="23" t="s">
        <v>561</v>
      </c>
      <c r="C24" s="23">
        <v>10.1</v>
      </c>
      <c r="D24" s="23">
        <v>364311</v>
      </c>
      <c r="E24" s="24">
        <v>44382.719004629631</v>
      </c>
      <c r="F24" s="221">
        <v>9498</v>
      </c>
    </row>
    <row r="25" spans="1:6" x14ac:dyDescent="0.25">
      <c r="A25" s="23" t="str">
        <f>"3950033"</f>
        <v>3950033</v>
      </c>
      <c r="B25" s="23" t="s">
        <v>567</v>
      </c>
      <c r="C25" s="23">
        <v>8.3800000000000008</v>
      </c>
      <c r="D25" s="23">
        <v>363415</v>
      </c>
      <c r="E25" s="24">
        <v>44382.719004629631</v>
      </c>
      <c r="F25" s="221">
        <v>9499</v>
      </c>
    </row>
    <row r="26" spans="1:6" x14ac:dyDescent="0.25">
      <c r="A26" s="23" t="str">
        <f>"3900568"</f>
        <v>3900568</v>
      </c>
      <c r="B26" s="23" t="s">
        <v>1118</v>
      </c>
      <c r="C26" s="23">
        <v>1.76</v>
      </c>
      <c r="D26" s="23">
        <v>364539</v>
      </c>
      <c r="E26" s="24">
        <v>44382.719004629631</v>
      </c>
      <c r="F26" s="221">
        <v>9500</v>
      </c>
    </row>
    <row r="27" spans="1:6" x14ac:dyDescent="0.25">
      <c r="A27" s="23" t="str">
        <f>"3901398"</f>
        <v>3901398</v>
      </c>
      <c r="B27" s="23" t="s">
        <v>568</v>
      </c>
      <c r="C27" s="23">
        <v>1.69</v>
      </c>
      <c r="D27" s="23">
        <v>364584</v>
      </c>
      <c r="E27" s="24">
        <v>44382.719004629631</v>
      </c>
      <c r="F27" s="221">
        <v>9501</v>
      </c>
    </row>
    <row r="28" spans="1:6" x14ac:dyDescent="0.25">
      <c r="A28" s="23" t="str">
        <f>"3903883"</f>
        <v>3903883</v>
      </c>
      <c r="B28" s="23" t="s">
        <v>1102</v>
      </c>
      <c r="C28" s="23">
        <v>1.68</v>
      </c>
      <c r="D28" s="23">
        <v>364959</v>
      </c>
      <c r="E28" s="24">
        <v>44382.719004629631</v>
      </c>
      <c r="F28" s="221">
        <v>9502</v>
      </c>
    </row>
    <row r="29" spans="1:6" x14ac:dyDescent="0.25">
      <c r="A29" s="23" t="str">
        <f>"3909039"</f>
        <v>3909039</v>
      </c>
      <c r="B29" s="23" t="s">
        <v>570</v>
      </c>
      <c r="C29" s="23">
        <v>1.83</v>
      </c>
      <c r="D29" s="23">
        <v>364134</v>
      </c>
      <c r="E29" s="24">
        <v>44382.719004629631</v>
      </c>
      <c r="F29" s="221">
        <v>9504</v>
      </c>
    </row>
    <row r="30" spans="1:6" x14ac:dyDescent="0.25">
      <c r="A30" s="23" t="str">
        <f>"3945435"</f>
        <v>3945435</v>
      </c>
      <c r="B30" s="23" t="s">
        <v>571</v>
      </c>
      <c r="C30" s="23">
        <v>8.3800000000000008</v>
      </c>
      <c r="D30" s="23">
        <v>363486</v>
      </c>
      <c r="E30" s="24">
        <v>44382.719004629631</v>
      </c>
      <c r="F30" s="221">
        <v>9505</v>
      </c>
    </row>
    <row r="31" spans="1:6" x14ac:dyDescent="0.25">
      <c r="A31" s="23" t="str">
        <f>"3903127"</f>
        <v>3903127</v>
      </c>
      <c r="B31" s="23" t="s">
        <v>577</v>
      </c>
      <c r="C31" s="23">
        <v>1.68</v>
      </c>
      <c r="D31" s="23">
        <v>363697</v>
      </c>
      <c r="E31" s="24">
        <v>44382.719004629631</v>
      </c>
      <c r="F31" s="221">
        <v>9506</v>
      </c>
    </row>
    <row r="32" spans="1:6" x14ac:dyDescent="0.25">
      <c r="A32" s="23" t="str">
        <f>"3945105"</f>
        <v>3945105</v>
      </c>
      <c r="B32" s="23" t="s">
        <v>1093</v>
      </c>
      <c r="C32" s="23">
        <v>8.3800000000000008</v>
      </c>
      <c r="D32" s="23">
        <v>363457</v>
      </c>
      <c r="E32" s="24">
        <v>44382.719004629631</v>
      </c>
      <c r="F32" s="221">
        <v>9507</v>
      </c>
    </row>
    <row r="33" spans="1:7" x14ac:dyDescent="0.25">
      <c r="A33" s="23" t="str">
        <f>"3907541"</f>
        <v>3907541</v>
      </c>
      <c r="B33" s="23" t="s">
        <v>578</v>
      </c>
      <c r="C33" s="23">
        <v>3.92</v>
      </c>
      <c r="D33" s="23">
        <v>363709</v>
      </c>
      <c r="E33" s="24">
        <v>44382.719004629631</v>
      </c>
      <c r="F33" s="221">
        <v>9508</v>
      </c>
    </row>
    <row r="34" spans="1:7" x14ac:dyDescent="0.25">
      <c r="A34" s="23" t="str">
        <f>"3945102"</f>
        <v>3945102</v>
      </c>
      <c r="B34" s="23" t="s">
        <v>572</v>
      </c>
      <c r="C34" s="23">
        <v>8.3800000000000008</v>
      </c>
      <c r="D34" s="23">
        <v>363451</v>
      </c>
      <c r="E34" s="24">
        <v>44382.719004629631</v>
      </c>
      <c r="F34" s="221">
        <v>9509</v>
      </c>
      <c r="G34" s="26"/>
    </row>
    <row r="35" spans="1:7" x14ac:dyDescent="0.25">
      <c r="A35" s="23" t="str">
        <f>"3907239"</f>
        <v>3907239</v>
      </c>
      <c r="B35" s="23" t="s">
        <v>573</v>
      </c>
      <c r="C35" s="23">
        <v>6.94</v>
      </c>
      <c r="D35" s="23">
        <v>363624</v>
      </c>
      <c r="E35" s="24">
        <v>44382.719004629631</v>
      </c>
      <c r="F35" s="221">
        <v>9510</v>
      </c>
    </row>
    <row r="36" spans="1:7" x14ac:dyDescent="0.25">
      <c r="A36" s="23" t="str">
        <f>"3960277"</f>
        <v>3960277</v>
      </c>
      <c r="B36" s="23" t="s">
        <v>575</v>
      </c>
      <c r="C36" s="23">
        <v>7.82</v>
      </c>
      <c r="D36" s="23">
        <v>363426</v>
      </c>
      <c r="E36" s="24">
        <v>44382.719004629631</v>
      </c>
      <c r="F36" s="221">
        <v>9511</v>
      </c>
    </row>
    <row r="37" spans="1:7" x14ac:dyDescent="0.25">
      <c r="A37" s="23" t="str">
        <f>"3902750"</f>
        <v>3902750</v>
      </c>
      <c r="B37" s="23" t="s">
        <v>563</v>
      </c>
      <c r="C37" s="23">
        <v>8.3800000000000008</v>
      </c>
      <c r="D37" s="23">
        <v>363545</v>
      </c>
      <c r="E37" s="24">
        <v>44382.719004629631</v>
      </c>
      <c r="F37" s="221">
        <v>9512</v>
      </c>
    </row>
    <row r="38" spans="1:7" x14ac:dyDescent="0.25">
      <c r="A38" s="23" t="str">
        <f>"3909936"</f>
        <v>3909936</v>
      </c>
      <c r="B38" s="23" t="s">
        <v>560</v>
      </c>
      <c r="C38" s="23">
        <v>3.09</v>
      </c>
      <c r="D38" s="23">
        <v>363812</v>
      </c>
      <c r="E38" s="24">
        <v>44382.719004629631</v>
      </c>
      <c r="F38" s="221">
        <v>9513</v>
      </c>
    </row>
    <row r="39" spans="1:7" x14ac:dyDescent="0.25">
      <c r="A39" s="23" t="str">
        <f>"3960364"</f>
        <v>3960364</v>
      </c>
      <c r="B39" s="23" t="s">
        <v>576</v>
      </c>
      <c r="C39" s="23">
        <v>8.3800000000000008</v>
      </c>
      <c r="D39" s="23">
        <v>363463</v>
      </c>
      <c r="E39" s="24">
        <v>44382.719004629631</v>
      </c>
      <c r="F39" s="221">
        <v>9514</v>
      </c>
    </row>
    <row r="40" spans="1:7" x14ac:dyDescent="0.25">
      <c r="A40" s="23" t="str">
        <f>"3903364"</f>
        <v>3903364</v>
      </c>
      <c r="B40" s="23" t="s">
        <v>564</v>
      </c>
      <c r="C40" s="23">
        <v>5.0599999999999996</v>
      </c>
      <c r="D40" s="23">
        <v>363905</v>
      </c>
      <c r="E40" s="24">
        <v>44382.719004629631</v>
      </c>
      <c r="F40" s="221">
        <v>9515</v>
      </c>
    </row>
    <row r="41" spans="1:7" x14ac:dyDescent="0.25">
      <c r="A41" s="23" t="str">
        <f>"3960315"</f>
        <v>3960315</v>
      </c>
      <c r="B41" s="23" t="s">
        <v>565</v>
      </c>
      <c r="C41" s="23">
        <v>8.23</v>
      </c>
      <c r="D41" s="23">
        <v>363505</v>
      </c>
      <c r="E41" s="24">
        <v>44382.719004629631</v>
      </c>
      <c r="F41" s="221">
        <v>9516</v>
      </c>
    </row>
    <row r="42" spans="1:7" x14ac:dyDescent="0.25">
      <c r="A42" s="23" t="str">
        <f>"3900349"</f>
        <v>3900349</v>
      </c>
      <c r="B42" s="23" t="s">
        <v>566</v>
      </c>
      <c r="C42" s="23">
        <v>2.11</v>
      </c>
      <c r="D42" s="23">
        <v>364484</v>
      </c>
      <c r="E42" s="24">
        <v>44382.719004629631</v>
      </c>
      <c r="F42" s="221">
        <v>9517</v>
      </c>
    </row>
    <row r="43" spans="1:7" x14ac:dyDescent="0.25">
      <c r="A43" s="23" t="str">
        <f>"3903098"</f>
        <v>3903098</v>
      </c>
      <c r="B43" s="23" t="s">
        <v>586</v>
      </c>
      <c r="C43" s="23">
        <v>3.47</v>
      </c>
      <c r="D43" s="23">
        <v>363645</v>
      </c>
      <c r="E43" s="24">
        <v>44382.719004629631</v>
      </c>
      <c r="F43" s="221">
        <v>9518</v>
      </c>
    </row>
    <row r="44" spans="1:7" x14ac:dyDescent="0.25">
      <c r="A44" s="23" t="str">
        <f>"3906324"</f>
        <v>3906324</v>
      </c>
      <c r="B44" s="23" t="s">
        <v>591</v>
      </c>
      <c r="C44" s="23">
        <v>4.1900000000000004</v>
      </c>
      <c r="D44" s="23">
        <v>363571</v>
      </c>
      <c r="E44" s="24">
        <v>44382.719004629631</v>
      </c>
      <c r="F44" s="221">
        <v>9519</v>
      </c>
    </row>
    <row r="45" spans="1:7" x14ac:dyDescent="0.25">
      <c r="A45" s="23" t="str">
        <f>"3920281"</f>
        <v>3920281</v>
      </c>
      <c r="B45" s="23" t="s">
        <v>588</v>
      </c>
      <c r="C45" s="23">
        <v>7.82</v>
      </c>
      <c r="D45" s="23">
        <v>363400</v>
      </c>
      <c r="E45" s="24">
        <v>44382.719004629631</v>
      </c>
      <c r="F45" s="221">
        <v>9520</v>
      </c>
    </row>
    <row r="46" spans="1:7" x14ac:dyDescent="0.25">
      <c r="A46" s="23" t="str">
        <f>"3945272"</f>
        <v>3945272</v>
      </c>
      <c r="B46" s="23" t="s">
        <v>589</v>
      </c>
      <c r="C46" s="23">
        <v>4.1900000000000004</v>
      </c>
      <c r="D46" s="23">
        <v>363553</v>
      </c>
      <c r="E46" s="24">
        <v>44382.719004629631</v>
      </c>
      <c r="F46" s="221">
        <v>9521</v>
      </c>
    </row>
    <row r="47" spans="1:7" x14ac:dyDescent="0.25">
      <c r="A47" s="23" t="str">
        <f>"3900676"</f>
        <v>3900676</v>
      </c>
      <c r="B47" s="23" t="s">
        <v>1103</v>
      </c>
      <c r="C47" s="23">
        <v>1.68</v>
      </c>
      <c r="D47" s="23">
        <v>364867</v>
      </c>
      <c r="E47" s="24">
        <v>44382.719004629631</v>
      </c>
      <c r="F47" s="221">
        <v>9522</v>
      </c>
    </row>
    <row r="48" spans="1:7" x14ac:dyDescent="0.25">
      <c r="A48" s="23" t="str">
        <f>"3900389"</f>
        <v>3900389</v>
      </c>
      <c r="B48" s="23" t="s">
        <v>581</v>
      </c>
      <c r="C48" s="23">
        <v>1.68</v>
      </c>
      <c r="D48" s="23">
        <v>364495</v>
      </c>
      <c r="E48" s="24">
        <v>44382.719004629631</v>
      </c>
      <c r="F48" s="221">
        <v>9523</v>
      </c>
    </row>
    <row r="49" spans="1:6" x14ac:dyDescent="0.25">
      <c r="A49" s="23" t="str">
        <f>"3901113"</f>
        <v>3901113</v>
      </c>
      <c r="B49" s="23" t="s">
        <v>592</v>
      </c>
      <c r="C49" s="23">
        <v>2.1800000000000002</v>
      </c>
      <c r="D49" s="23">
        <v>363949</v>
      </c>
      <c r="E49" s="24">
        <v>44382.719004629631</v>
      </c>
      <c r="F49" s="221">
        <v>9524</v>
      </c>
    </row>
    <row r="50" spans="1:6" x14ac:dyDescent="0.25">
      <c r="A50" s="23" t="str">
        <f>"3960264"</f>
        <v>3960264</v>
      </c>
      <c r="B50" s="23" t="s">
        <v>594</v>
      </c>
      <c r="C50" s="23">
        <v>7.82</v>
      </c>
      <c r="D50" s="23">
        <v>363406</v>
      </c>
      <c r="E50" s="24">
        <v>44382.719004629631</v>
      </c>
      <c r="F50" s="221">
        <v>9525</v>
      </c>
    </row>
    <row r="51" spans="1:6" x14ac:dyDescent="0.25">
      <c r="A51" s="23" t="str">
        <f>"3909981"</f>
        <v>3909981</v>
      </c>
      <c r="B51" s="23" t="s">
        <v>582</v>
      </c>
      <c r="C51" s="23">
        <v>2.13</v>
      </c>
      <c r="D51" s="23">
        <v>363761</v>
      </c>
      <c r="E51" s="24">
        <v>44382.719004629631</v>
      </c>
      <c r="F51" s="221">
        <v>9526</v>
      </c>
    </row>
    <row r="52" spans="1:6" x14ac:dyDescent="0.25">
      <c r="A52" s="23" t="str">
        <f>"3960232"</f>
        <v>3960232</v>
      </c>
      <c r="B52" s="23" t="s">
        <v>595</v>
      </c>
      <c r="C52" s="23">
        <v>12.3</v>
      </c>
      <c r="D52" s="23">
        <v>363452</v>
      </c>
      <c r="E52" s="24">
        <v>44382.719004629631</v>
      </c>
      <c r="F52" s="221">
        <v>9528</v>
      </c>
    </row>
    <row r="53" spans="1:6" x14ac:dyDescent="0.25">
      <c r="A53" s="23" t="str">
        <f>"3903282"</f>
        <v>3903282</v>
      </c>
      <c r="B53" s="23" t="s">
        <v>584</v>
      </c>
      <c r="C53" s="23">
        <v>1.68</v>
      </c>
      <c r="D53" s="23">
        <v>364711</v>
      </c>
      <c r="E53" s="24">
        <v>44382.719004629631</v>
      </c>
      <c r="F53" s="221">
        <v>9529</v>
      </c>
    </row>
    <row r="54" spans="1:6" x14ac:dyDescent="0.25">
      <c r="A54" s="23" t="str">
        <f>"3950328"</f>
        <v>3950328</v>
      </c>
      <c r="B54" s="23" t="s">
        <v>585</v>
      </c>
      <c r="C54" s="23">
        <v>8.3800000000000008</v>
      </c>
      <c r="D54" s="23">
        <v>363508</v>
      </c>
      <c r="E54" s="24">
        <v>44382.719004629631</v>
      </c>
      <c r="F54" s="221">
        <v>9530</v>
      </c>
    </row>
    <row r="55" spans="1:6" x14ac:dyDescent="0.25">
      <c r="A55" s="23" t="str">
        <f>"3900963"</f>
        <v>3900963</v>
      </c>
      <c r="B55" s="23" t="s">
        <v>15949</v>
      </c>
      <c r="C55" s="23">
        <v>1.68</v>
      </c>
      <c r="D55" s="23">
        <v>363822</v>
      </c>
      <c r="E55" s="24">
        <v>44382.719004629631</v>
      </c>
      <c r="F55" s="221">
        <v>9531</v>
      </c>
    </row>
    <row r="56" spans="1:6" x14ac:dyDescent="0.25">
      <c r="A56" s="23" t="str">
        <f>"3960256"</f>
        <v>3960256</v>
      </c>
      <c r="B56" s="23" t="s">
        <v>580</v>
      </c>
      <c r="C56" s="23">
        <v>17.899999999999999</v>
      </c>
      <c r="D56" s="23">
        <v>363413</v>
      </c>
      <c r="E56" s="24">
        <v>44382.719004629631</v>
      </c>
      <c r="F56" s="221">
        <v>9532</v>
      </c>
    </row>
    <row r="57" spans="1:6" x14ac:dyDescent="0.25">
      <c r="A57" s="23" t="str">
        <f>"3909585"</f>
        <v>3909585</v>
      </c>
      <c r="B57" s="23" t="s">
        <v>18302</v>
      </c>
      <c r="C57" s="23">
        <v>5.53</v>
      </c>
      <c r="D57" s="23">
        <v>365978</v>
      </c>
      <c r="E57" s="24">
        <v>44382.719004629631</v>
      </c>
      <c r="F57" s="221">
        <v>9533</v>
      </c>
    </row>
    <row r="58" spans="1:6" x14ac:dyDescent="0.25">
      <c r="A58" s="23" t="str">
        <f>"3906796"</f>
        <v>3906796</v>
      </c>
      <c r="B58" s="23" t="s">
        <v>596</v>
      </c>
      <c r="C58" s="23">
        <v>1.94</v>
      </c>
      <c r="D58" s="23">
        <v>365720</v>
      </c>
      <c r="E58" s="24">
        <v>44382.719004629631</v>
      </c>
      <c r="F58" s="221">
        <v>9534</v>
      </c>
    </row>
    <row r="59" spans="1:6" x14ac:dyDescent="0.25">
      <c r="A59" s="23" t="str">
        <f>"3908672"</f>
        <v>3908672</v>
      </c>
      <c r="B59" s="23" t="s">
        <v>598</v>
      </c>
      <c r="C59" s="23">
        <v>1.95</v>
      </c>
      <c r="D59" s="23">
        <v>365618</v>
      </c>
      <c r="E59" s="24">
        <v>44382.719004629631</v>
      </c>
      <c r="F59" s="221">
        <v>9535</v>
      </c>
    </row>
    <row r="60" spans="1:6" x14ac:dyDescent="0.25">
      <c r="A60" s="23" t="str">
        <f>"3908716"</f>
        <v>3908716</v>
      </c>
      <c r="B60" s="23" t="s">
        <v>597</v>
      </c>
      <c r="C60" s="23">
        <v>1.94</v>
      </c>
      <c r="D60" s="23">
        <v>365627</v>
      </c>
      <c r="E60" s="24">
        <v>44382.719004629631</v>
      </c>
      <c r="F60" s="221">
        <v>9541</v>
      </c>
    </row>
    <row r="61" spans="1:6" x14ac:dyDescent="0.25">
      <c r="A61" s="23" t="str">
        <f>"3900340"</f>
        <v>3900340</v>
      </c>
      <c r="B61" s="23" t="s">
        <v>599</v>
      </c>
      <c r="C61" s="23">
        <v>15.3</v>
      </c>
      <c r="D61" s="23">
        <v>365531</v>
      </c>
      <c r="E61" s="24">
        <v>44382.719004629631</v>
      </c>
      <c r="F61" s="221">
        <v>9542</v>
      </c>
    </row>
    <row r="62" spans="1:6" x14ac:dyDescent="0.25">
      <c r="A62" s="23" t="str">
        <f>"3900344"</f>
        <v>3900344</v>
      </c>
      <c r="B62" s="23" t="s">
        <v>599</v>
      </c>
      <c r="C62" s="23">
        <v>15.3</v>
      </c>
      <c r="D62" s="23">
        <v>365532</v>
      </c>
      <c r="E62" s="24">
        <v>44382.719004629631</v>
      </c>
      <c r="F62" s="221">
        <v>9543</v>
      </c>
    </row>
    <row r="63" spans="1:6" x14ac:dyDescent="0.25">
      <c r="A63" s="23" t="str">
        <f>"3900657"</f>
        <v>3900657</v>
      </c>
      <c r="B63" s="23" t="s">
        <v>599</v>
      </c>
      <c r="C63" s="23">
        <v>15.3</v>
      </c>
      <c r="D63" s="23">
        <v>365530</v>
      </c>
      <c r="E63" s="24">
        <v>44382.719004629631</v>
      </c>
      <c r="F63" s="221">
        <v>9544</v>
      </c>
    </row>
    <row r="64" spans="1:6" x14ac:dyDescent="0.25">
      <c r="A64" s="23" t="str">
        <f>"3909007"</f>
        <v>3909007</v>
      </c>
      <c r="B64" s="23" t="s">
        <v>6080</v>
      </c>
      <c r="C64" s="23">
        <v>2.0499999999999998</v>
      </c>
      <c r="D64" s="23">
        <v>365687</v>
      </c>
      <c r="E64" s="24">
        <v>44382.719004629631</v>
      </c>
      <c r="F64" s="221">
        <v>9545</v>
      </c>
    </row>
    <row r="65" spans="1:6" x14ac:dyDescent="0.25">
      <c r="A65" s="23" t="str">
        <f>"3930195"</f>
        <v>3930195</v>
      </c>
      <c r="B65" s="23" t="s">
        <v>6080</v>
      </c>
      <c r="C65" s="23">
        <v>1.94</v>
      </c>
      <c r="D65" s="23">
        <v>365735</v>
      </c>
      <c r="E65" s="24">
        <v>44382.719004629631</v>
      </c>
      <c r="F65" s="221">
        <v>9546</v>
      </c>
    </row>
    <row r="66" spans="1:6" x14ac:dyDescent="0.25">
      <c r="A66" s="23" t="str">
        <f>"3945038"</f>
        <v>3945038</v>
      </c>
      <c r="B66" s="23" t="s">
        <v>600</v>
      </c>
      <c r="C66" s="23">
        <v>15.3</v>
      </c>
      <c r="D66" s="23">
        <v>365534</v>
      </c>
      <c r="E66" s="24">
        <v>44382.719004629631</v>
      </c>
      <c r="F66" s="221">
        <v>9547</v>
      </c>
    </row>
    <row r="67" spans="1:6" x14ac:dyDescent="0.25">
      <c r="A67" s="23" t="str">
        <f>"3930053"</f>
        <v>3930053</v>
      </c>
      <c r="B67" s="23" t="s">
        <v>557</v>
      </c>
      <c r="C67" s="23">
        <v>8.42</v>
      </c>
      <c r="D67" s="23">
        <v>365645</v>
      </c>
      <c r="E67" s="24">
        <v>44382.719004629631</v>
      </c>
      <c r="F67" s="221">
        <v>9548</v>
      </c>
    </row>
    <row r="68" spans="1:6" x14ac:dyDescent="0.25">
      <c r="A68" s="23" t="str">
        <f>"3901033"</f>
        <v>3901033</v>
      </c>
      <c r="B68" s="23" t="s">
        <v>601</v>
      </c>
      <c r="C68" s="23">
        <v>30.6</v>
      </c>
      <c r="D68" s="23">
        <v>365540</v>
      </c>
      <c r="E68" s="24">
        <v>44382.719004629631</v>
      </c>
      <c r="F68" s="221">
        <v>9549</v>
      </c>
    </row>
    <row r="69" spans="1:6" x14ac:dyDescent="0.25">
      <c r="A69" s="23" t="str">
        <f>"3908875"</f>
        <v>3908875</v>
      </c>
      <c r="B69" s="23" t="s">
        <v>1095</v>
      </c>
      <c r="C69" s="23">
        <v>3.36</v>
      </c>
      <c r="D69" s="23">
        <v>363895</v>
      </c>
      <c r="E69" s="24">
        <v>44382.419120370374</v>
      </c>
      <c r="F69" s="221">
        <v>9550</v>
      </c>
    </row>
    <row r="70" spans="1:6" x14ac:dyDescent="0.25">
      <c r="A70" s="23" t="str">
        <f>"23923110"</f>
        <v>23923110</v>
      </c>
      <c r="B70" s="23" t="s">
        <v>18301</v>
      </c>
      <c r="C70" s="23">
        <v>7.85</v>
      </c>
      <c r="D70" s="23">
        <v>4892</v>
      </c>
      <c r="E70" s="24">
        <v>44382.428842592592</v>
      </c>
      <c r="F70" s="221">
        <v>9551</v>
      </c>
    </row>
    <row r="71" spans="1:6" x14ac:dyDescent="0.25">
      <c r="A71" s="23" t="str">
        <f>"3909808"</f>
        <v>3909808</v>
      </c>
      <c r="B71" s="23" t="s">
        <v>3792</v>
      </c>
      <c r="C71" s="23">
        <v>1.96</v>
      </c>
      <c r="D71" s="23">
        <v>364395</v>
      </c>
      <c r="E71" s="24">
        <v>44382.435104166667</v>
      </c>
      <c r="F71" s="221">
        <v>9552</v>
      </c>
    </row>
    <row r="72" spans="1:6" x14ac:dyDescent="0.25">
      <c r="A72" s="23" t="str">
        <f>"3908230"</f>
        <v>3908230</v>
      </c>
      <c r="B72" s="23" t="s">
        <v>1566</v>
      </c>
      <c r="C72" s="23">
        <v>1.76</v>
      </c>
      <c r="D72" s="23">
        <v>365875</v>
      </c>
      <c r="E72" s="24">
        <v>44382.471863425926</v>
      </c>
      <c r="F72" s="221">
        <v>9553</v>
      </c>
    </row>
    <row r="73" spans="1:6" x14ac:dyDescent="0.25">
      <c r="A73" s="23" t="str">
        <f>"3903545"</f>
        <v>3903545</v>
      </c>
      <c r="B73" s="23" t="s">
        <v>603</v>
      </c>
      <c r="C73" s="23">
        <v>2.13</v>
      </c>
      <c r="D73" s="23">
        <v>364078</v>
      </c>
      <c r="E73" s="24">
        <v>44382.562696759262</v>
      </c>
      <c r="F73" s="221">
        <v>9554</v>
      </c>
    </row>
    <row r="74" spans="1:6" x14ac:dyDescent="0.25">
      <c r="A74" s="23" t="str">
        <f>"3903544"</f>
        <v>3903544</v>
      </c>
      <c r="B74" s="23" t="s">
        <v>3785</v>
      </c>
      <c r="C74" s="23">
        <v>1.68</v>
      </c>
      <c r="D74" s="23">
        <v>364067</v>
      </c>
      <c r="E74" s="24">
        <v>44382.563923611109</v>
      </c>
      <c r="F74" s="221">
        <v>9555</v>
      </c>
    </row>
    <row r="75" spans="1:6" x14ac:dyDescent="0.25">
      <c r="A75" s="23" t="str">
        <f>"3907257"</f>
        <v>3907257</v>
      </c>
      <c r="B75" s="23" t="s">
        <v>631</v>
      </c>
      <c r="C75" s="23">
        <v>0.16</v>
      </c>
      <c r="D75" s="23">
        <v>363629</v>
      </c>
      <c r="E75" s="24">
        <v>44382.598460648151</v>
      </c>
      <c r="F75" s="221">
        <v>9556</v>
      </c>
    </row>
    <row r="76" spans="1:6" x14ac:dyDescent="0.25">
      <c r="A76" s="23" t="str">
        <f>"3908502"</f>
        <v>3908502</v>
      </c>
      <c r="B76" s="23" t="s">
        <v>15937</v>
      </c>
      <c r="C76" s="23">
        <v>1.68</v>
      </c>
      <c r="D76" s="23">
        <v>365930</v>
      </c>
      <c r="E76" s="24">
        <v>44382.620173611111</v>
      </c>
      <c r="F76" s="221">
        <v>9557</v>
      </c>
    </row>
    <row r="77" spans="1:6" x14ac:dyDescent="0.25">
      <c r="A77" s="23" t="str">
        <f>"3920348"</f>
        <v>3920348</v>
      </c>
      <c r="B77" s="23" t="s">
        <v>3746</v>
      </c>
      <c r="C77" s="23">
        <v>8.3800000000000008</v>
      </c>
      <c r="D77" s="23">
        <v>363434</v>
      </c>
      <c r="E77" s="24">
        <v>44382.635775462964</v>
      </c>
      <c r="F77" s="221">
        <v>9558</v>
      </c>
    </row>
    <row r="78" spans="1:6" x14ac:dyDescent="0.25">
      <c r="A78" s="23" t="str">
        <f>"3909154"</f>
        <v>3909154</v>
      </c>
      <c r="B78" s="23" t="s">
        <v>1113</v>
      </c>
      <c r="C78" s="23">
        <v>18.84</v>
      </c>
      <c r="D78" s="23">
        <v>365734</v>
      </c>
      <c r="E78" s="24">
        <v>44382.721921296295</v>
      </c>
      <c r="F78" s="221">
        <v>9559</v>
      </c>
    </row>
    <row r="79" spans="1:6" x14ac:dyDescent="0.25">
      <c r="A79" s="23" t="str">
        <f>"3909857"</f>
        <v>3909857</v>
      </c>
      <c r="B79" s="23" t="s">
        <v>18300</v>
      </c>
      <c r="C79" s="23">
        <v>6.05</v>
      </c>
      <c r="D79" s="23">
        <v>363703</v>
      </c>
      <c r="E79" s="24">
        <v>44382.734918981485</v>
      </c>
      <c r="F79" s="221">
        <v>9561</v>
      </c>
    </row>
    <row r="80" spans="1:6" x14ac:dyDescent="0.25">
      <c r="A80" s="23"/>
      <c r="B80" s="221">
        <v>3</v>
      </c>
      <c r="C80" s="189">
        <f>SUM(C22:C79)</f>
        <v>362.17000000000013</v>
      </c>
      <c r="D80" s="23"/>
      <c r="E80" s="24"/>
      <c r="F80" s="221"/>
    </row>
    <row r="81" spans="1:6" x14ac:dyDescent="0.25">
      <c r="A81" s="23" t="str">
        <f>"3909223"</f>
        <v>3909223</v>
      </c>
      <c r="B81" s="23" t="s">
        <v>583</v>
      </c>
      <c r="C81" s="23">
        <v>2.3199999999999998</v>
      </c>
      <c r="D81" s="23">
        <v>364358</v>
      </c>
      <c r="E81" s="24">
        <v>44383.154664351852</v>
      </c>
      <c r="F81" s="221">
        <v>9805</v>
      </c>
    </row>
    <row r="82" spans="1:6" x14ac:dyDescent="0.25">
      <c r="A82" s="23" t="str">
        <f>"3908320"</f>
        <v>3908320</v>
      </c>
      <c r="B82" s="23" t="s">
        <v>3797</v>
      </c>
      <c r="C82" s="23">
        <v>3.45</v>
      </c>
      <c r="D82" s="23">
        <v>365021</v>
      </c>
      <c r="E82" s="24">
        <v>44383.431840277779</v>
      </c>
      <c r="F82" s="221">
        <v>9806</v>
      </c>
    </row>
    <row r="83" spans="1:6" x14ac:dyDescent="0.25">
      <c r="A83" s="23" t="str">
        <f>"3902009"</f>
        <v>3902009</v>
      </c>
      <c r="B83" s="23" t="s">
        <v>608</v>
      </c>
      <c r="C83" s="23">
        <v>4.72</v>
      </c>
      <c r="D83" s="23">
        <v>365658</v>
      </c>
      <c r="E83" s="24">
        <v>44383.522592592592</v>
      </c>
      <c r="F83" s="221">
        <v>9807</v>
      </c>
    </row>
    <row r="84" spans="1:6" x14ac:dyDescent="0.25">
      <c r="A84" s="23" t="str">
        <f>"3909564"</f>
        <v>3909564</v>
      </c>
      <c r="B84" s="23" t="s">
        <v>18299</v>
      </c>
      <c r="C84" s="23">
        <v>5.69</v>
      </c>
      <c r="D84" s="23">
        <v>365444</v>
      </c>
      <c r="E84" s="24">
        <v>44383.58</v>
      </c>
      <c r="F84" s="221">
        <v>9808</v>
      </c>
    </row>
    <row r="85" spans="1:6" x14ac:dyDescent="0.25">
      <c r="A85" s="23" t="str">
        <f>"3901741"</f>
        <v>3901741</v>
      </c>
      <c r="B85" s="23" t="s">
        <v>3770</v>
      </c>
      <c r="C85" s="23">
        <v>1.68</v>
      </c>
      <c r="D85" s="23">
        <v>364937</v>
      </c>
      <c r="E85" s="24">
        <v>44383.782812500001</v>
      </c>
      <c r="F85" s="221">
        <v>9809</v>
      </c>
    </row>
    <row r="86" spans="1:6" x14ac:dyDescent="0.25">
      <c r="A86" s="23"/>
      <c r="B86" s="221">
        <v>4</v>
      </c>
      <c r="C86" s="189">
        <f>SUM(C81:C85)</f>
        <v>17.86</v>
      </c>
      <c r="D86" s="23"/>
      <c r="E86" s="24"/>
      <c r="F86" s="221"/>
    </row>
    <row r="87" spans="1:6" x14ac:dyDescent="0.25">
      <c r="A87" s="23" t="str">
        <f>"3945113"</f>
        <v>3945113</v>
      </c>
      <c r="B87" s="23" t="s">
        <v>551</v>
      </c>
      <c r="C87" s="23">
        <v>8.3800000000000008</v>
      </c>
      <c r="D87" s="23">
        <v>363465</v>
      </c>
      <c r="E87" s="24">
        <v>44384.382094907407</v>
      </c>
      <c r="F87" s="221">
        <v>9853</v>
      </c>
    </row>
    <row r="88" spans="1:6" x14ac:dyDescent="0.25">
      <c r="A88" s="23" t="str">
        <f>"3902576"</f>
        <v>3902576</v>
      </c>
      <c r="B88" s="23" t="s">
        <v>1115</v>
      </c>
      <c r="C88" s="23">
        <v>5.91</v>
      </c>
      <c r="D88" s="23">
        <v>364650</v>
      </c>
      <c r="E88" s="24">
        <v>44384.433622685188</v>
      </c>
      <c r="F88" s="221">
        <v>9854</v>
      </c>
    </row>
    <row r="89" spans="1:6" x14ac:dyDescent="0.25">
      <c r="A89" s="23" t="str">
        <f>"23923029"</f>
        <v>23923029</v>
      </c>
      <c r="B89" s="23" t="s">
        <v>621</v>
      </c>
      <c r="C89" s="23">
        <v>15.51</v>
      </c>
      <c r="D89" s="23">
        <v>4719</v>
      </c>
      <c r="E89" s="24">
        <v>44384.567048611112</v>
      </c>
      <c r="F89" s="221">
        <v>9855</v>
      </c>
    </row>
    <row r="90" spans="1:6" x14ac:dyDescent="0.25">
      <c r="A90" s="23"/>
      <c r="B90" s="221">
        <v>5</v>
      </c>
      <c r="C90" s="189">
        <f>SUM(C87:C89)</f>
        <v>29.8</v>
      </c>
      <c r="D90" s="23"/>
      <c r="E90" s="24"/>
      <c r="F90" s="221"/>
    </row>
    <row r="91" spans="1:6" x14ac:dyDescent="0.25">
      <c r="A91" s="23" t="s">
        <v>18298</v>
      </c>
      <c r="B91" s="23" t="s">
        <v>620</v>
      </c>
      <c r="C91" s="23">
        <v>4.37</v>
      </c>
      <c r="D91" s="23">
        <v>365641</v>
      </c>
      <c r="E91" s="24">
        <v>44385.370046296295</v>
      </c>
      <c r="F91" s="221">
        <v>9917</v>
      </c>
    </row>
    <row r="92" spans="1:6" x14ac:dyDescent="0.25">
      <c r="A92" s="23" t="s">
        <v>18297</v>
      </c>
      <c r="B92" s="23" t="s">
        <v>1097</v>
      </c>
      <c r="C92" s="23">
        <v>2.82</v>
      </c>
      <c r="D92" s="23">
        <v>364478</v>
      </c>
      <c r="E92" s="24">
        <v>44385.411041666666</v>
      </c>
      <c r="F92" s="221">
        <v>9918</v>
      </c>
    </row>
    <row r="93" spans="1:6" x14ac:dyDescent="0.25">
      <c r="A93" s="23" t="s">
        <v>18296</v>
      </c>
      <c r="B93" s="23" t="s">
        <v>3743</v>
      </c>
      <c r="C93" s="23">
        <v>2.69</v>
      </c>
      <c r="D93" s="23">
        <v>364729</v>
      </c>
      <c r="E93" s="24">
        <v>44385.455983796295</v>
      </c>
      <c r="F93" s="221">
        <v>9919</v>
      </c>
    </row>
    <row r="94" spans="1:6" x14ac:dyDescent="0.25">
      <c r="A94" s="23" t="s">
        <v>18295</v>
      </c>
      <c r="B94" s="23" t="s">
        <v>3743</v>
      </c>
      <c r="C94" s="23">
        <v>2.92</v>
      </c>
      <c r="D94" s="23">
        <v>363774</v>
      </c>
      <c r="E94" s="24">
        <v>44385.457280092596</v>
      </c>
      <c r="F94" s="221">
        <v>9920</v>
      </c>
    </row>
    <row r="95" spans="1:6" x14ac:dyDescent="0.25">
      <c r="A95" s="23" t="s">
        <v>6121</v>
      </c>
      <c r="B95" s="23" t="s">
        <v>1087</v>
      </c>
      <c r="C95" s="23">
        <v>1.68</v>
      </c>
      <c r="D95" s="23">
        <v>364365</v>
      </c>
      <c r="E95" s="24">
        <v>44385.591516203705</v>
      </c>
      <c r="F95" s="221">
        <v>9921</v>
      </c>
    </row>
    <row r="96" spans="1:6" x14ac:dyDescent="0.25">
      <c r="A96" s="23" t="s">
        <v>18294</v>
      </c>
      <c r="B96" s="23" t="s">
        <v>3786</v>
      </c>
      <c r="C96" s="23">
        <v>3.37</v>
      </c>
      <c r="D96" s="23">
        <v>365621</v>
      </c>
      <c r="E96" s="24">
        <v>44385.599618055552</v>
      </c>
      <c r="F96" s="221">
        <v>9922</v>
      </c>
    </row>
    <row r="97" spans="1:6" x14ac:dyDescent="0.25">
      <c r="A97" s="23" t="s">
        <v>18293</v>
      </c>
      <c r="B97" s="23" t="s">
        <v>3786</v>
      </c>
      <c r="C97" s="23">
        <v>1.94</v>
      </c>
      <c r="D97" s="23">
        <v>365620</v>
      </c>
      <c r="E97" s="24">
        <v>44385.600381944445</v>
      </c>
      <c r="F97" s="221">
        <v>9923</v>
      </c>
    </row>
    <row r="98" spans="1:6" x14ac:dyDescent="0.25">
      <c r="A98" s="23" t="s">
        <v>18292</v>
      </c>
      <c r="B98" s="23" t="s">
        <v>1090</v>
      </c>
      <c r="C98" s="23">
        <v>5.73</v>
      </c>
      <c r="D98" s="23">
        <v>365624</v>
      </c>
      <c r="E98" s="24">
        <v>44385.649722222224</v>
      </c>
      <c r="F98" s="221">
        <v>9924</v>
      </c>
    </row>
    <row r="99" spans="1:6" x14ac:dyDescent="0.25">
      <c r="A99" s="23" t="s">
        <v>18291</v>
      </c>
      <c r="B99" s="23" t="s">
        <v>1128</v>
      </c>
      <c r="C99" s="23">
        <v>4.22</v>
      </c>
      <c r="D99" s="23">
        <v>364385</v>
      </c>
      <c r="E99" s="24">
        <v>44385.652025462965</v>
      </c>
      <c r="F99" s="221">
        <v>9925</v>
      </c>
    </row>
    <row r="100" spans="1:6" x14ac:dyDescent="0.25">
      <c r="A100" s="23" t="s">
        <v>18290</v>
      </c>
      <c r="B100" s="23" t="s">
        <v>1134</v>
      </c>
      <c r="C100" s="23">
        <v>13.82</v>
      </c>
      <c r="D100" s="23">
        <v>365912</v>
      </c>
      <c r="E100" s="24">
        <v>44385.652951388889</v>
      </c>
      <c r="F100" s="221">
        <v>9926</v>
      </c>
    </row>
    <row r="101" spans="1:6" x14ac:dyDescent="0.25">
      <c r="A101" s="23"/>
      <c r="B101" s="221">
        <v>6</v>
      </c>
      <c r="C101" s="189">
        <f>SUM(C91:C100)</f>
        <v>43.56</v>
      </c>
      <c r="D101" s="23"/>
      <c r="E101" s="24"/>
      <c r="F101" s="221"/>
    </row>
    <row r="102" spans="1:6" x14ac:dyDescent="0.25">
      <c r="A102" s="23" t="str">
        <f>"3945471"</f>
        <v>3945471</v>
      </c>
      <c r="B102" s="23" t="s">
        <v>1098</v>
      </c>
      <c r="C102" s="23">
        <v>19.690000000000001</v>
      </c>
      <c r="D102" s="23">
        <v>363494</v>
      </c>
      <c r="E102" s="24">
        <v>44386.408009259256</v>
      </c>
      <c r="F102" s="221">
        <v>10014</v>
      </c>
    </row>
    <row r="103" spans="1:6" x14ac:dyDescent="0.25">
      <c r="A103" s="23" t="str">
        <f>"3907766"</f>
        <v>3907766</v>
      </c>
      <c r="B103" s="23" t="s">
        <v>18289</v>
      </c>
      <c r="C103" s="23">
        <v>11.53</v>
      </c>
      <c r="D103" s="23">
        <v>363914</v>
      </c>
      <c r="E103" s="24">
        <v>44386.456273148149</v>
      </c>
      <c r="F103" s="221">
        <v>10015</v>
      </c>
    </row>
    <row r="104" spans="1:6" x14ac:dyDescent="0.25">
      <c r="A104" s="23" t="str">
        <f>"3905110"</f>
        <v>3905110</v>
      </c>
      <c r="B104" s="23" t="s">
        <v>6117</v>
      </c>
      <c r="C104" s="23">
        <v>4.1900000000000004</v>
      </c>
      <c r="D104" s="23">
        <v>363556</v>
      </c>
      <c r="E104" s="24">
        <v>44386.470706018517</v>
      </c>
      <c r="F104" s="221">
        <v>10016</v>
      </c>
    </row>
    <row r="105" spans="1:6" x14ac:dyDescent="0.25">
      <c r="A105" s="23" t="str">
        <f>"3930021"</f>
        <v>3930021</v>
      </c>
      <c r="B105" s="23" t="s">
        <v>1120</v>
      </c>
      <c r="C105" s="23">
        <v>1.68</v>
      </c>
      <c r="D105" s="23">
        <v>363878</v>
      </c>
      <c r="E105" s="24">
        <v>44386.507754629631</v>
      </c>
      <c r="F105" s="221">
        <v>10017</v>
      </c>
    </row>
    <row r="106" spans="1:6" x14ac:dyDescent="0.25">
      <c r="A106" s="23"/>
      <c r="B106" s="221">
        <v>7</v>
      </c>
      <c r="C106" s="189">
        <f>SUM(C102:C105)</f>
        <v>37.089999999999996</v>
      </c>
      <c r="D106" s="23"/>
      <c r="E106" s="24"/>
      <c r="F106" s="221"/>
    </row>
    <row r="107" spans="1:6" x14ac:dyDescent="0.25">
      <c r="A107" s="23" t="str">
        <f>"3920065"</f>
        <v>3920065</v>
      </c>
      <c r="B107" s="23" t="s">
        <v>610</v>
      </c>
      <c r="C107" s="23">
        <v>15.3</v>
      </c>
      <c r="D107" s="23">
        <v>365527</v>
      </c>
      <c r="E107" s="24">
        <v>44389.469421296293</v>
      </c>
      <c r="F107" s="221">
        <v>10064</v>
      </c>
    </row>
    <row r="108" spans="1:6" x14ac:dyDescent="0.25">
      <c r="A108" s="23" t="str">
        <f>"3903497"</f>
        <v>3903497</v>
      </c>
      <c r="B108" s="23" t="s">
        <v>1117</v>
      </c>
      <c r="C108" s="23">
        <v>5.12</v>
      </c>
      <c r="D108" s="23">
        <v>365884</v>
      </c>
      <c r="E108" s="24">
        <v>44389.790949074071</v>
      </c>
      <c r="F108" s="221">
        <v>10065</v>
      </c>
    </row>
    <row r="109" spans="1:6" x14ac:dyDescent="0.25">
      <c r="A109" s="23" t="str">
        <f>"3900343"</f>
        <v>3900343</v>
      </c>
      <c r="B109" s="23" t="s">
        <v>3778</v>
      </c>
      <c r="C109" s="23">
        <v>7.01</v>
      </c>
      <c r="D109" s="23">
        <v>365792</v>
      </c>
      <c r="E109" s="24">
        <v>44389.822824074072</v>
      </c>
      <c r="F109" s="221">
        <v>10066</v>
      </c>
    </row>
    <row r="110" spans="1:6" x14ac:dyDescent="0.25">
      <c r="A110" s="23"/>
      <c r="B110" s="221">
        <v>8</v>
      </c>
      <c r="C110" s="189">
        <f>SUM(C107:C109)</f>
        <v>27.43</v>
      </c>
      <c r="D110" s="23"/>
      <c r="E110" s="24"/>
      <c r="F110" s="221"/>
    </row>
    <row r="111" spans="1:6" x14ac:dyDescent="0.25">
      <c r="A111" s="23" t="str">
        <f>"23923238"</f>
        <v>23923238</v>
      </c>
      <c r="B111" s="23" t="s">
        <v>11649</v>
      </c>
      <c r="C111" s="23">
        <v>11.48</v>
      </c>
      <c r="D111" s="23">
        <v>4917</v>
      </c>
      <c r="E111" s="24">
        <v>44390.509398148148</v>
      </c>
      <c r="F111" s="221">
        <v>10113</v>
      </c>
    </row>
    <row r="112" spans="1:6" x14ac:dyDescent="0.25">
      <c r="A112" s="23" t="str">
        <f>"3907489"</f>
        <v>3907489</v>
      </c>
      <c r="B112" s="23" t="s">
        <v>1092</v>
      </c>
      <c r="C112" s="23">
        <v>6.94</v>
      </c>
      <c r="D112" s="23">
        <v>363656</v>
      </c>
      <c r="E112" s="24">
        <v>44390.584907407407</v>
      </c>
      <c r="F112" s="221">
        <v>10114</v>
      </c>
    </row>
    <row r="113" spans="1:6" x14ac:dyDescent="0.25">
      <c r="A113" s="23" t="str">
        <f>"3901121"</f>
        <v>3901121</v>
      </c>
      <c r="B113" s="23" t="s">
        <v>615</v>
      </c>
      <c r="C113" s="23">
        <v>1.96</v>
      </c>
      <c r="D113" s="23">
        <v>363950</v>
      </c>
      <c r="E113" s="24">
        <v>44390.606863425928</v>
      </c>
      <c r="F113" s="221">
        <v>10115</v>
      </c>
    </row>
    <row r="114" spans="1:6" x14ac:dyDescent="0.25">
      <c r="A114" s="23" t="str">
        <f>"3906658"</f>
        <v>3906658</v>
      </c>
      <c r="B114" s="23" t="s">
        <v>614</v>
      </c>
      <c r="C114" s="23">
        <v>1.68</v>
      </c>
      <c r="D114" s="23">
        <v>365674</v>
      </c>
      <c r="E114" s="24">
        <v>44390.607129629629</v>
      </c>
      <c r="F114" s="221">
        <v>10116</v>
      </c>
    </row>
    <row r="115" spans="1:6" x14ac:dyDescent="0.25">
      <c r="A115" s="23"/>
      <c r="B115" s="221">
        <v>9</v>
      </c>
      <c r="C115" s="189">
        <f>SUM(C111:C114)</f>
        <v>22.060000000000002</v>
      </c>
      <c r="D115" s="23"/>
      <c r="E115" s="24"/>
      <c r="F115" s="221"/>
    </row>
    <row r="116" spans="1:6" x14ac:dyDescent="0.25">
      <c r="A116" s="23" t="s">
        <v>18288</v>
      </c>
      <c r="B116" s="23" t="s">
        <v>3747</v>
      </c>
      <c r="C116" s="23">
        <v>8.3800000000000008</v>
      </c>
      <c r="D116" s="23">
        <v>363458</v>
      </c>
      <c r="E116" s="24">
        <v>44391.489606481482</v>
      </c>
      <c r="F116" s="221">
        <v>10152</v>
      </c>
    </row>
    <row r="117" spans="1:6" x14ac:dyDescent="0.25">
      <c r="A117" s="23"/>
      <c r="B117" s="221">
        <v>10</v>
      </c>
      <c r="C117" s="189">
        <f>SUM(C116)</f>
        <v>8.3800000000000008</v>
      </c>
      <c r="D117" s="23"/>
      <c r="E117" s="24"/>
      <c r="F117" s="221"/>
    </row>
    <row r="118" spans="1:6" x14ac:dyDescent="0.25">
      <c r="A118" s="23" t="str">
        <f>"3901267"</f>
        <v>3901267</v>
      </c>
      <c r="B118" s="23" t="s">
        <v>556</v>
      </c>
      <c r="C118" s="23">
        <v>3.07</v>
      </c>
      <c r="D118" s="23">
        <v>364577</v>
      </c>
      <c r="E118" s="24">
        <v>44392.391550925924</v>
      </c>
      <c r="F118" s="221">
        <v>10173</v>
      </c>
    </row>
    <row r="119" spans="1:6" x14ac:dyDescent="0.25">
      <c r="A119" s="23" t="str">
        <f>"3900375"</f>
        <v>3900375</v>
      </c>
      <c r="B119" s="23" t="s">
        <v>11658</v>
      </c>
      <c r="C119" s="23">
        <v>1.96</v>
      </c>
      <c r="D119" s="23">
        <v>365793</v>
      </c>
      <c r="E119" s="24">
        <v>44392.42796296296</v>
      </c>
      <c r="F119" s="221">
        <v>10174</v>
      </c>
    </row>
    <row r="120" spans="1:6" x14ac:dyDescent="0.25">
      <c r="A120" s="23" t="str">
        <f>"3960357"</f>
        <v>3960357</v>
      </c>
      <c r="B120" s="23" t="s">
        <v>1086</v>
      </c>
      <c r="C120" s="23">
        <v>8.3800000000000008</v>
      </c>
      <c r="D120" s="23">
        <v>363502</v>
      </c>
      <c r="E120" s="24">
        <v>44392.438067129631</v>
      </c>
      <c r="F120" s="221">
        <v>10175</v>
      </c>
    </row>
    <row r="121" spans="1:6" x14ac:dyDescent="0.25">
      <c r="A121" s="23" t="str">
        <f>"3906994"</f>
        <v>3906994</v>
      </c>
      <c r="B121" s="23" t="s">
        <v>628</v>
      </c>
      <c r="C121" s="23">
        <v>28.17</v>
      </c>
      <c r="D121" s="23">
        <v>365594</v>
      </c>
      <c r="E121" s="24">
        <v>44392.518553240741</v>
      </c>
      <c r="F121" s="221">
        <v>10176</v>
      </c>
    </row>
    <row r="122" spans="1:6" x14ac:dyDescent="0.25">
      <c r="A122" s="23" t="str">
        <f>"3906995"</f>
        <v>3906995</v>
      </c>
      <c r="B122" s="23" t="s">
        <v>628</v>
      </c>
      <c r="C122" s="23">
        <v>30.38</v>
      </c>
      <c r="D122" s="23">
        <v>365595</v>
      </c>
      <c r="E122" s="24">
        <v>44392.518888888888</v>
      </c>
      <c r="F122" s="221">
        <v>10177</v>
      </c>
    </row>
    <row r="123" spans="1:6" x14ac:dyDescent="0.25">
      <c r="A123" s="23" t="str">
        <f>"3945204"</f>
        <v>3945204</v>
      </c>
      <c r="B123" s="23" t="s">
        <v>555</v>
      </c>
      <c r="C123" s="23">
        <v>8.3800000000000008</v>
      </c>
      <c r="D123" s="23">
        <v>363528</v>
      </c>
      <c r="E123" s="24">
        <v>44392.623310185183</v>
      </c>
      <c r="F123" s="221">
        <v>10178</v>
      </c>
    </row>
    <row r="124" spans="1:6" x14ac:dyDescent="0.25">
      <c r="A124" s="23" t="str">
        <f>"3908410"</f>
        <v>3908410</v>
      </c>
      <c r="B124" s="23" t="s">
        <v>13211</v>
      </c>
      <c r="C124" s="23">
        <v>12.44</v>
      </c>
      <c r="D124" s="23">
        <v>365095</v>
      </c>
      <c r="E124" s="24">
        <v>44392.739432870374</v>
      </c>
      <c r="F124" s="221">
        <v>10179</v>
      </c>
    </row>
    <row r="125" spans="1:6" x14ac:dyDescent="0.25">
      <c r="A125" s="23"/>
      <c r="B125" s="221">
        <v>11</v>
      </c>
      <c r="C125" s="189">
        <f>SUM(C118:C124)</f>
        <v>92.779999999999987</v>
      </c>
      <c r="D125" s="23"/>
      <c r="E125" s="24"/>
      <c r="F125" s="221"/>
    </row>
    <row r="126" spans="1:6" x14ac:dyDescent="0.25">
      <c r="A126" s="23" t="str">
        <f>"3902054"</f>
        <v>3902054</v>
      </c>
      <c r="B126" s="23" t="s">
        <v>13206</v>
      </c>
      <c r="C126" s="23">
        <v>8.3800000000000008</v>
      </c>
      <c r="D126" s="23">
        <v>363520</v>
      </c>
      <c r="E126" s="24">
        <v>44393.28974537037</v>
      </c>
      <c r="F126" s="221" t="s">
        <v>18287</v>
      </c>
    </row>
    <row r="127" spans="1:6" x14ac:dyDescent="0.25">
      <c r="A127" s="23" t="str">
        <f>"3907238"</f>
        <v>3907238</v>
      </c>
      <c r="B127" s="23" t="s">
        <v>3756</v>
      </c>
      <c r="C127" s="23">
        <v>13.88</v>
      </c>
      <c r="D127" s="23">
        <v>363626</v>
      </c>
      <c r="E127" s="24">
        <v>44393.29278935185</v>
      </c>
      <c r="F127" s="221">
        <v>10233</v>
      </c>
    </row>
    <row r="128" spans="1:6" x14ac:dyDescent="0.25">
      <c r="A128" s="23" t="str">
        <f>"3960276"</f>
        <v>3960276</v>
      </c>
      <c r="B128" s="23" t="s">
        <v>3750</v>
      </c>
      <c r="C128" s="23">
        <v>12.3</v>
      </c>
      <c r="D128" s="23">
        <v>363425</v>
      </c>
      <c r="E128" s="24">
        <v>44393.422511574077</v>
      </c>
      <c r="F128" s="221">
        <v>10234</v>
      </c>
    </row>
    <row r="129" spans="1:6" x14ac:dyDescent="0.25">
      <c r="A129" s="23" t="str">
        <f>"3930391"</f>
        <v>3930391</v>
      </c>
      <c r="B129" s="23" t="s">
        <v>1100</v>
      </c>
      <c r="C129" s="23">
        <v>3.21</v>
      </c>
      <c r="D129" s="23">
        <v>364279</v>
      </c>
      <c r="E129" s="24">
        <v>44393.502129629633</v>
      </c>
      <c r="F129" s="221">
        <v>10235</v>
      </c>
    </row>
    <row r="130" spans="1:6" x14ac:dyDescent="0.25">
      <c r="A130" s="23" t="str">
        <f>"3906743"</f>
        <v>3906743</v>
      </c>
      <c r="B130" s="23" t="s">
        <v>13186</v>
      </c>
      <c r="C130" s="23">
        <v>1.88</v>
      </c>
      <c r="D130" s="23">
        <v>364096</v>
      </c>
      <c r="E130" s="24">
        <v>44393.541863425926</v>
      </c>
      <c r="F130" s="221">
        <v>10236</v>
      </c>
    </row>
    <row r="131" spans="1:6" x14ac:dyDescent="0.25">
      <c r="A131" s="23" t="str">
        <f>"3950207"</f>
        <v>3950207</v>
      </c>
      <c r="B131" s="23" t="s">
        <v>3784</v>
      </c>
      <c r="C131" s="23">
        <v>8.9499999999999993</v>
      </c>
      <c r="D131" s="23">
        <v>363461</v>
      </c>
      <c r="E131" s="24">
        <v>44393.551446759258</v>
      </c>
      <c r="F131" s="221">
        <v>10237</v>
      </c>
    </row>
    <row r="132" spans="1:6" x14ac:dyDescent="0.25">
      <c r="A132" s="23" t="str">
        <f>"3960269"</f>
        <v>3960269</v>
      </c>
      <c r="B132" s="23" t="s">
        <v>3745</v>
      </c>
      <c r="C132" s="23">
        <v>12.3</v>
      </c>
      <c r="D132" s="23">
        <v>363409</v>
      </c>
      <c r="E132" s="24">
        <v>44393.60701388889</v>
      </c>
      <c r="F132" s="221">
        <v>10238</v>
      </c>
    </row>
    <row r="133" spans="1:6" x14ac:dyDescent="0.25">
      <c r="A133" s="23" t="str">
        <f>"3930078"</f>
        <v>3930078</v>
      </c>
      <c r="B133" s="23" t="s">
        <v>11643</v>
      </c>
      <c r="C133" s="23">
        <v>5.04</v>
      </c>
      <c r="D133" s="23">
        <v>363891</v>
      </c>
      <c r="E133" s="24">
        <v>44393.608900462961</v>
      </c>
      <c r="F133" s="221">
        <v>10239</v>
      </c>
    </row>
    <row r="134" spans="1:6" x14ac:dyDescent="0.25">
      <c r="A134" s="23" t="str">
        <f>"3907622"</f>
        <v>3907622</v>
      </c>
      <c r="B134" s="23" t="s">
        <v>607</v>
      </c>
      <c r="C134" s="23">
        <v>95.35</v>
      </c>
      <c r="D134" s="23">
        <v>365858</v>
      </c>
      <c r="E134" s="24">
        <v>44393.630509259259</v>
      </c>
      <c r="F134" s="221">
        <v>10240</v>
      </c>
    </row>
    <row r="135" spans="1:6" x14ac:dyDescent="0.25">
      <c r="A135" s="23" t="str">
        <f>"3909521"</f>
        <v>3909521</v>
      </c>
      <c r="B135" s="23" t="s">
        <v>18286</v>
      </c>
      <c r="C135" s="23">
        <v>1.7</v>
      </c>
      <c r="D135" s="23">
        <v>365418</v>
      </c>
      <c r="E135" s="24">
        <v>44393.636550925927</v>
      </c>
      <c r="F135" s="221">
        <v>10241</v>
      </c>
    </row>
    <row r="136" spans="1:6" x14ac:dyDescent="0.25">
      <c r="A136" s="23"/>
      <c r="B136" s="221">
        <v>12</v>
      </c>
      <c r="C136" s="189">
        <f>SUM(C126:C135)</f>
        <v>162.99</v>
      </c>
      <c r="D136" s="23"/>
      <c r="E136" s="24"/>
      <c r="F136" s="221"/>
    </row>
    <row r="137" spans="1:6" x14ac:dyDescent="0.25">
      <c r="A137" s="23" t="str">
        <f>"3903765"</f>
        <v>3903765</v>
      </c>
      <c r="B137" s="23" t="s">
        <v>3572</v>
      </c>
      <c r="C137" s="23">
        <v>1.86</v>
      </c>
      <c r="D137" s="23">
        <v>363911</v>
      </c>
      <c r="E137" s="24">
        <v>44396.605636574073</v>
      </c>
      <c r="F137" s="221">
        <v>10308</v>
      </c>
    </row>
    <row r="138" spans="1:6" x14ac:dyDescent="0.25">
      <c r="A138" s="23" t="str">
        <f>"3960373"</f>
        <v>3960373</v>
      </c>
      <c r="B138" s="23" t="s">
        <v>626</v>
      </c>
      <c r="C138" s="23">
        <v>8.3800000000000008</v>
      </c>
      <c r="D138" s="23">
        <v>363476</v>
      </c>
      <c r="E138" s="24">
        <v>44396.653171296297</v>
      </c>
      <c r="F138" s="221">
        <v>10309</v>
      </c>
    </row>
    <row r="139" spans="1:6" x14ac:dyDescent="0.25">
      <c r="A139" s="23"/>
      <c r="B139" s="221">
        <v>13</v>
      </c>
      <c r="C139" s="189">
        <f>SUM(C137:C138)</f>
        <v>10.24</v>
      </c>
      <c r="D139" s="23"/>
      <c r="E139" s="24"/>
      <c r="F139" s="221"/>
    </row>
    <row r="140" spans="1:6" x14ac:dyDescent="0.25">
      <c r="A140" s="23" t="str">
        <f>"3902509"</f>
        <v>3902509</v>
      </c>
      <c r="B140" s="23" t="s">
        <v>11593</v>
      </c>
      <c r="C140" s="23">
        <v>6.53</v>
      </c>
      <c r="D140" s="23">
        <v>365826</v>
      </c>
      <c r="E140" s="24">
        <v>44397.335462962961</v>
      </c>
      <c r="F140" s="221">
        <v>10349</v>
      </c>
    </row>
    <row r="141" spans="1:6" x14ac:dyDescent="0.25">
      <c r="A141" s="23" t="str">
        <f>"3945114"</f>
        <v>3945114</v>
      </c>
      <c r="B141" s="23" t="s">
        <v>627</v>
      </c>
      <c r="C141" s="23">
        <v>8.3800000000000008</v>
      </c>
      <c r="D141" s="23">
        <v>363464</v>
      </c>
      <c r="E141" s="24">
        <v>44397.462696759256</v>
      </c>
      <c r="F141" s="221">
        <v>10350</v>
      </c>
    </row>
    <row r="142" spans="1:6" x14ac:dyDescent="0.25">
      <c r="A142" s="23" t="str">
        <f>"3907990"</f>
        <v>3907990</v>
      </c>
      <c r="B142" s="23" t="s">
        <v>6086</v>
      </c>
      <c r="C142" s="23">
        <v>3.38</v>
      </c>
      <c r="D142" s="23">
        <v>364211</v>
      </c>
      <c r="E142" s="24">
        <v>44397.510081018518</v>
      </c>
      <c r="F142" s="221">
        <v>10351</v>
      </c>
    </row>
    <row r="143" spans="1:6" x14ac:dyDescent="0.25">
      <c r="A143" s="23" t="str">
        <f>"3909629"</f>
        <v>3909629</v>
      </c>
      <c r="B143" s="23" t="s">
        <v>18285</v>
      </c>
      <c r="C143" s="23">
        <v>2.23</v>
      </c>
      <c r="D143" s="23">
        <v>365499</v>
      </c>
      <c r="E143" s="24">
        <v>44397.625763888886</v>
      </c>
      <c r="F143" s="221">
        <v>10352</v>
      </c>
    </row>
    <row r="144" spans="1:6" x14ac:dyDescent="0.25">
      <c r="A144" s="23" t="str">
        <f>"3907330"</f>
        <v>3907330</v>
      </c>
      <c r="B144" s="23" t="s">
        <v>3777</v>
      </c>
      <c r="C144" s="23">
        <v>19.73</v>
      </c>
      <c r="D144" s="23">
        <v>363587</v>
      </c>
      <c r="E144" s="24">
        <v>44397.805231481485</v>
      </c>
      <c r="F144" s="221">
        <v>10353</v>
      </c>
    </row>
    <row r="145" spans="1:6" x14ac:dyDescent="0.25">
      <c r="A145" s="23" t="str">
        <f>"3902041"</f>
        <v>3902041</v>
      </c>
      <c r="B145" s="23" t="s">
        <v>3776</v>
      </c>
      <c r="C145" s="23">
        <v>8.3800000000000008</v>
      </c>
      <c r="D145" s="23">
        <v>363518</v>
      </c>
      <c r="E145" s="24">
        <v>44397.805717592593</v>
      </c>
      <c r="F145" s="221">
        <v>10354</v>
      </c>
    </row>
    <row r="146" spans="1:6" x14ac:dyDescent="0.25">
      <c r="A146" s="23"/>
      <c r="B146" s="221">
        <v>14</v>
      </c>
      <c r="C146" s="189">
        <f>SUM(C140:C145)</f>
        <v>48.63</v>
      </c>
      <c r="D146" s="23"/>
      <c r="E146" s="24"/>
      <c r="F146" s="221"/>
    </row>
    <row r="147" spans="1:6" x14ac:dyDescent="0.25">
      <c r="A147" s="23" t="str">
        <f>"3908505"</f>
        <v>3908505</v>
      </c>
      <c r="B147" s="23" t="s">
        <v>13202</v>
      </c>
      <c r="C147" s="23">
        <v>3.49</v>
      </c>
      <c r="D147" s="23">
        <v>365931</v>
      </c>
      <c r="E147" s="24">
        <v>44398.433842592596</v>
      </c>
      <c r="F147" s="221">
        <v>10394</v>
      </c>
    </row>
    <row r="148" spans="1:6" x14ac:dyDescent="0.25">
      <c r="A148" s="23" t="str">
        <f>"3908506"</f>
        <v>3908506</v>
      </c>
      <c r="B148" s="23" t="s">
        <v>13202</v>
      </c>
      <c r="C148" s="23">
        <v>4.13</v>
      </c>
      <c r="D148" s="23">
        <v>365932</v>
      </c>
      <c r="E148" s="24">
        <v>44398.435532407406</v>
      </c>
      <c r="F148" s="221">
        <v>10395</v>
      </c>
    </row>
    <row r="149" spans="1:6" x14ac:dyDescent="0.25">
      <c r="A149" s="23"/>
      <c r="B149" s="221">
        <v>15</v>
      </c>
      <c r="C149" s="189">
        <f>SUM(C147:C148)</f>
        <v>7.62</v>
      </c>
      <c r="D149" s="23"/>
      <c r="E149" s="24"/>
      <c r="F149" s="221"/>
    </row>
    <row r="150" spans="1:6" x14ac:dyDescent="0.25">
      <c r="A150" s="23" t="str">
        <f>"3900176"</f>
        <v>3900176</v>
      </c>
      <c r="B150" s="23" t="s">
        <v>1114</v>
      </c>
      <c r="C150" s="23">
        <v>2.21</v>
      </c>
      <c r="D150" s="23">
        <v>365876</v>
      </c>
      <c r="E150" s="24">
        <v>44399.463425925926</v>
      </c>
      <c r="F150" s="221">
        <v>10403</v>
      </c>
    </row>
    <row r="151" spans="1:6" x14ac:dyDescent="0.25">
      <c r="A151" s="23" t="str">
        <f>"3908228"</f>
        <v>3908228</v>
      </c>
      <c r="B151" s="23" t="s">
        <v>6078</v>
      </c>
      <c r="C151" s="23">
        <v>2.2200000000000002</v>
      </c>
      <c r="D151" s="23">
        <v>364952</v>
      </c>
      <c r="E151" s="24">
        <v>44399.62400462963</v>
      </c>
      <c r="F151" s="221">
        <v>10404</v>
      </c>
    </row>
    <row r="152" spans="1:6" x14ac:dyDescent="0.25">
      <c r="A152" s="23"/>
      <c r="B152" s="221">
        <v>16</v>
      </c>
      <c r="C152" s="189">
        <f>SUM(C150:C151)</f>
        <v>4.43</v>
      </c>
      <c r="D152" s="23"/>
      <c r="E152" s="24"/>
      <c r="F152" s="221"/>
    </row>
    <row r="153" spans="1:6" x14ac:dyDescent="0.25">
      <c r="A153" s="23" t="str">
        <f>"3907238"</f>
        <v>3907238</v>
      </c>
      <c r="B153" s="23" t="s">
        <v>3756</v>
      </c>
      <c r="C153" s="23">
        <v>6.94</v>
      </c>
      <c r="D153" s="23">
        <v>366215</v>
      </c>
      <c r="E153" s="24">
        <v>44403.479618055557</v>
      </c>
      <c r="F153" s="221">
        <v>10486</v>
      </c>
    </row>
    <row r="154" spans="1:6" x14ac:dyDescent="0.25">
      <c r="A154" s="23" t="str">
        <f>"3903102"</f>
        <v>3903102</v>
      </c>
      <c r="B154" s="23" t="s">
        <v>18284</v>
      </c>
      <c r="C154" s="23">
        <v>3.76</v>
      </c>
      <c r="D154" s="23">
        <v>367566</v>
      </c>
      <c r="E154" s="24">
        <v>44403.503576388888</v>
      </c>
      <c r="F154" s="221">
        <v>10487</v>
      </c>
    </row>
    <row r="155" spans="1:6" x14ac:dyDescent="0.25">
      <c r="A155" s="23" t="str">
        <f>"3930078"</f>
        <v>3930078</v>
      </c>
      <c r="B155" s="23" t="s">
        <v>11643</v>
      </c>
      <c r="C155" s="23">
        <v>1.68</v>
      </c>
      <c r="D155" s="23">
        <v>366480</v>
      </c>
      <c r="E155" s="24">
        <v>44403.66034722222</v>
      </c>
      <c r="F155" s="221">
        <v>10488</v>
      </c>
    </row>
    <row r="156" spans="1:6" x14ac:dyDescent="0.25">
      <c r="A156" s="23" t="str">
        <f>"3900563"</f>
        <v>3900563</v>
      </c>
      <c r="B156" s="23" t="s">
        <v>3567</v>
      </c>
      <c r="C156" s="23">
        <v>2.35</v>
      </c>
      <c r="D156" s="23">
        <v>367108</v>
      </c>
      <c r="E156" s="24">
        <v>44403.684224537035</v>
      </c>
      <c r="F156" s="221">
        <v>10489</v>
      </c>
    </row>
    <row r="157" spans="1:6" x14ac:dyDescent="0.25">
      <c r="A157" s="23" t="str">
        <f>"3945401"</f>
        <v>3945401</v>
      </c>
      <c r="B157" s="23" t="s">
        <v>633</v>
      </c>
      <c r="C157" s="23">
        <v>8.3800000000000008</v>
      </c>
      <c r="D157" s="23">
        <v>366074</v>
      </c>
      <c r="E157" s="24">
        <v>44403.719583333332</v>
      </c>
      <c r="F157" s="221">
        <v>10490</v>
      </c>
    </row>
    <row r="158" spans="1:6" x14ac:dyDescent="0.25">
      <c r="A158" s="23" t="str">
        <f>"3908534"</f>
        <v>3908534</v>
      </c>
      <c r="B158" s="23" t="s">
        <v>3773</v>
      </c>
      <c r="C158" s="23">
        <v>2.41</v>
      </c>
      <c r="D158" s="23">
        <v>367740</v>
      </c>
      <c r="E158" s="24">
        <v>44403.736562500002</v>
      </c>
      <c r="F158" s="221">
        <v>10491</v>
      </c>
    </row>
    <row r="159" spans="1:6" x14ac:dyDescent="0.25">
      <c r="A159" s="23"/>
      <c r="B159" s="221">
        <v>17</v>
      </c>
      <c r="C159" s="189">
        <f>SUM(C153:C158)</f>
        <v>25.52</v>
      </c>
      <c r="D159" s="23"/>
      <c r="E159" s="24"/>
      <c r="F159" s="221"/>
    </row>
    <row r="160" spans="1:6" x14ac:dyDescent="0.25">
      <c r="A160" s="23" t="str">
        <f>"3903606"</f>
        <v>3903606</v>
      </c>
      <c r="B160" s="23" t="s">
        <v>18283</v>
      </c>
      <c r="C160" s="23">
        <v>2.9</v>
      </c>
      <c r="D160" s="23">
        <v>367286</v>
      </c>
      <c r="E160" s="24">
        <v>44404.390949074077</v>
      </c>
      <c r="F160" s="221">
        <v>10551</v>
      </c>
    </row>
    <row r="161" spans="1:6" x14ac:dyDescent="0.25">
      <c r="A161" s="23" t="str">
        <f>"3960375"</f>
        <v>3960375</v>
      </c>
      <c r="B161" s="23" t="s">
        <v>624</v>
      </c>
      <c r="C161" s="23">
        <v>8.3800000000000008</v>
      </c>
      <c r="D161" s="23">
        <v>366073</v>
      </c>
      <c r="E161" s="24">
        <v>44404.394317129627</v>
      </c>
      <c r="F161" s="221">
        <v>10552</v>
      </c>
    </row>
    <row r="162" spans="1:6" x14ac:dyDescent="0.25">
      <c r="A162" s="23" t="str">
        <f>"3909479"</f>
        <v>3909479</v>
      </c>
      <c r="B162" s="23" t="s">
        <v>11659</v>
      </c>
      <c r="C162" s="23">
        <v>0.18</v>
      </c>
      <c r="D162" s="23">
        <v>367955</v>
      </c>
      <c r="E162" s="24">
        <v>44404.430462962962</v>
      </c>
      <c r="F162" s="221">
        <v>10553</v>
      </c>
    </row>
    <row r="163" spans="1:6" x14ac:dyDescent="0.25">
      <c r="A163" s="23" t="str">
        <f>"3908292"</f>
        <v>3908292</v>
      </c>
      <c r="B163" s="23" t="s">
        <v>1567</v>
      </c>
      <c r="C163" s="23">
        <v>3.2</v>
      </c>
      <c r="D163" s="23">
        <v>367554</v>
      </c>
      <c r="E163" s="24">
        <v>44404.531689814816</v>
      </c>
      <c r="F163" s="221">
        <v>10554</v>
      </c>
    </row>
    <row r="164" spans="1:6" x14ac:dyDescent="0.25">
      <c r="A164" s="23" t="str">
        <f>"3903524"</f>
        <v>3903524</v>
      </c>
      <c r="B164" s="23" t="s">
        <v>11657</v>
      </c>
      <c r="C164" s="23">
        <v>5.28</v>
      </c>
      <c r="D164" s="23">
        <v>366639</v>
      </c>
      <c r="E164" s="24">
        <v>44404.538587962961</v>
      </c>
      <c r="F164" s="221">
        <v>10555</v>
      </c>
    </row>
    <row r="165" spans="1:6" x14ac:dyDescent="0.25">
      <c r="A165" s="23" t="str">
        <f>"3909959"</f>
        <v>3909959</v>
      </c>
      <c r="B165" s="23" t="s">
        <v>3802</v>
      </c>
      <c r="C165" s="23">
        <v>2.87</v>
      </c>
      <c r="D165" s="23">
        <v>366394</v>
      </c>
      <c r="E165" s="24">
        <v>44404.695243055554</v>
      </c>
      <c r="F165" s="221">
        <v>10556</v>
      </c>
    </row>
    <row r="166" spans="1:6" x14ac:dyDescent="0.25">
      <c r="A166" s="23" t="str">
        <f>"3909261"</f>
        <v>3909261</v>
      </c>
      <c r="B166" s="23" t="s">
        <v>6076</v>
      </c>
      <c r="C166" s="23">
        <v>0.1</v>
      </c>
      <c r="D166" s="23">
        <v>367848</v>
      </c>
      <c r="E166" s="24">
        <v>44404.847870370373</v>
      </c>
      <c r="F166" s="221">
        <v>10585</v>
      </c>
    </row>
    <row r="167" spans="1:6" x14ac:dyDescent="0.25">
      <c r="A167" s="23"/>
      <c r="B167" s="221">
        <v>18</v>
      </c>
      <c r="C167" s="189">
        <f>SUM(C160:C166)</f>
        <v>22.910000000000004</v>
      </c>
      <c r="D167" s="23"/>
      <c r="E167" s="24"/>
      <c r="F167" s="221"/>
    </row>
    <row r="168" spans="1:6" x14ac:dyDescent="0.25">
      <c r="A168" s="23" t="str">
        <f>"3908129"</f>
        <v>3908129</v>
      </c>
      <c r="B168" s="23" t="s">
        <v>1105</v>
      </c>
      <c r="C168" s="23">
        <v>1.44</v>
      </c>
      <c r="D168" s="23">
        <v>367474</v>
      </c>
      <c r="E168" s="24">
        <v>44405.35628472222</v>
      </c>
      <c r="F168" s="221">
        <v>10666</v>
      </c>
    </row>
    <row r="169" spans="1:6" x14ac:dyDescent="0.25">
      <c r="A169" s="23" t="str">
        <f>"3908224"</f>
        <v>3908224</v>
      </c>
      <c r="B169" s="23" t="s">
        <v>1104</v>
      </c>
      <c r="C169" s="23">
        <v>5.55</v>
      </c>
      <c r="D169" s="23">
        <v>367515</v>
      </c>
      <c r="E169" s="24">
        <v>44405.414895833332</v>
      </c>
      <c r="F169" s="221">
        <v>10667</v>
      </c>
    </row>
    <row r="170" spans="1:6" x14ac:dyDescent="0.25">
      <c r="A170" s="23" t="str">
        <f>"3900257"</f>
        <v>3900257</v>
      </c>
      <c r="B170" s="23" t="s">
        <v>3757</v>
      </c>
      <c r="C170" s="23">
        <v>4.22</v>
      </c>
      <c r="D170" s="23">
        <v>367035</v>
      </c>
      <c r="E170" s="24">
        <v>44405.442349537036</v>
      </c>
      <c r="F170" s="221">
        <v>10668</v>
      </c>
    </row>
    <row r="171" spans="1:6" x14ac:dyDescent="0.25">
      <c r="A171" s="23" t="str">
        <f>"3920083"</f>
        <v>3920083</v>
      </c>
      <c r="B171" s="23" t="s">
        <v>630</v>
      </c>
      <c r="C171" s="23">
        <v>3.91</v>
      </c>
      <c r="D171" s="23">
        <v>366025</v>
      </c>
      <c r="E171" s="24">
        <v>44405.45648148148</v>
      </c>
      <c r="F171" s="221">
        <v>10669</v>
      </c>
    </row>
    <row r="172" spans="1:6" x14ac:dyDescent="0.25">
      <c r="A172" s="23" t="str">
        <f>"3903105"</f>
        <v>3903105</v>
      </c>
      <c r="B172" s="23" t="s">
        <v>611</v>
      </c>
      <c r="C172" s="23">
        <v>1.94</v>
      </c>
      <c r="D172" s="23">
        <v>365771</v>
      </c>
      <c r="E172" s="24">
        <v>44405.469201388885</v>
      </c>
      <c r="F172" s="221">
        <v>10670</v>
      </c>
    </row>
    <row r="173" spans="1:6" x14ac:dyDescent="0.25">
      <c r="A173" s="23" t="str">
        <f>"3903101"</f>
        <v>3903101</v>
      </c>
      <c r="B173" s="23" t="s">
        <v>6122</v>
      </c>
      <c r="C173" s="23">
        <v>3.47</v>
      </c>
      <c r="D173" s="23">
        <v>366234</v>
      </c>
      <c r="E173" s="24">
        <v>44405.477152777778</v>
      </c>
      <c r="F173" s="221">
        <v>10671</v>
      </c>
    </row>
    <row r="174" spans="1:6" x14ac:dyDescent="0.25">
      <c r="A174" s="23" t="str">
        <f>"3902757"</f>
        <v>3902757</v>
      </c>
      <c r="B174" s="23" t="s">
        <v>3801</v>
      </c>
      <c r="C174" s="23">
        <v>4.09</v>
      </c>
      <c r="D174" s="23">
        <v>367257</v>
      </c>
      <c r="E174" s="24">
        <v>44405.53665509259</v>
      </c>
      <c r="F174" s="221">
        <v>10672</v>
      </c>
    </row>
    <row r="175" spans="1:6" x14ac:dyDescent="0.25">
      <c r="A175" s="23" t="str">
        <f>"3945304"</f>
        <v>3945304</v>
      </c>
      <c r="B175" s="23" t="s">
        <v>549</v>
      </c>
      <c r="C175" s="23">
        <v>145.79</v>
      </c>
      <c r="D175" s="23">
        <v>366174</v>
      </c>
      <c r="E175" s="24">
        <v>44405.648796296293</v>
      </c>
      <c r="F175" s="221">
        <v>10673</v>
      </c>
    </row>
    <row r="176" spans="1:6" x14ac:dyDescent="0.25">
      <c r="A176" s="23" t="str">
        <f>"3903592"</f>
        <v>3903592</v>
      </c>
      <c r="B176" s="23" t="s">
        <v>3781</v>
      </c>
      <c r="C176" s="23">
        <v>5.21</v>
      </c>
      <c r="D176" s="23">
        <v>366776</v>
      </c>
      <c r="E176" s="24">
        <v>44405.745381944442</v>
      </c>
      <c r="F176" s="221">
        <v>10674</v>
      </c>
    </row>
    <row r="177" spans="1:6" x14ac:dyDescent="0.25">
      <c r="A177" s="23" t="str">
        <f>"3960293"</f>
        <v>3960293</v>
      </c>
      <c r="B177" s="23" t="s">
        <v>3774</v>
      </c>
      <c r="C177" s="23">
        <v>7.82</v>
      </c>
      <c r="D177" s="23">
        <v>366014</v>
      </c>
      <c r="E177" s="24">
        <v>44405.789930555555</v>
      </c>
      <c r="F177" s="221">
        <v>10675</v>
      </c>
    </row>
    <row r="178" spans="1:6" x14ac:dyDescent="0.25">
      <c r="A178" s="23"/>
      <c r="B178" s="221">
        <v>19</v>
      </c>
      <c r="C178" s="189">
        <f>SUM(C168:C177)</f>
        <v>183.44</v>
      </c>
      <c r="D178" s="23"/>
      <c r="E178" s="24"/>
      <c r="F178" s="221"/>
    </row>
    <row r="179" spans="1:6" x14ac:dyDescent="0.25">
      <c r="A179" s="23" t="str">
        <f>"3906717"</f>
        <v>3906717</v>
      </c>
      <c r="B179" s="23" t="s">
        <v>18282</v>
      </c>
      <c r="C179" s="23">
        <v>1.68</v>
      </c>
      <c r="D179" s="23">
        <v>365696</v>
      </c>
      <c r="E179" s="24">
        <v>44406.549895833334</v>
      </c>
      <c r="F179" s="221">
        <v>10772</v>
      </c>
    </row>
    <row r="180" spans="1:6" x14ac:dyDescent="0.25">
      <c r="A180" s="23" t="str">
        <f>"3900430"</f>
        <v>3900430</v>
      </c>
      <c r="B180" s="23" t="s">
        <v>18282</v>
      </c>
      <c r="C180" s="23">
        <v>7.65</v>
      </c>
      <c r="D180" s="23">
        <v>365799</v>
      </c>
      <c r="E180" s="24">
        <v>44406.550011574072</v>
      </c>
      <c r="F180" s="221">
        <v>10773</v>
      </c>
    </row>
    <row r="181" spans="1:6" x14ac:dyDescent="0.25">
      <c r="A181" s="23" t="str">
        <f>"3960265"</f>
        <v>3960265</v>
      </c>
      <c r="B181" s="23" t="s">
        <v>638</v>
      </c>
      <c r="C181" s="23">
        <v>12.3</v>
      </c>
      <c r="D181" s="23">
        <v>366002</v>
      </c>
      <c r="E181" s="24">
        <v>44406.637662037036</v>
      </c>
      <c r="F181" s="221">
        <v>10774</v>
      </c>
    </row>
    <row r="182" spans="1:6" x14ac:dyDescent="0.25">
      <c r="A182" s="23" t="str">
        <f>"3908160"</f>
        <v>3908160</v>
      </c>
      <c r="B182" s="23" t="s">
        <v>3798</v>
      </c>
      <c r="C182" s="23">
        <v>14.72</v>
      </c>
      <c r="D182" s="23">
        <v>367490</v>
      </c>
      <c r="E182" s="24">
        <v>44406.805844907409</v>
      </c>
      <c r="F182" s="221">
        <v>10775</v>
      </c>
    </row>
    <row r="183" spans="1:6" x14ac:dyDescent="0.25">
      <c r="A183" s="23"/>
      <c r="B183" s="221">
        <v>20</v>
      </c>
      <c r="C183" s="189">
        <f>SUM(C179:C182)</f>
        <v>36.35</v>
      </c>
      <c r="D183" s="23"/>
      <c r="E183" s="24"/>
      <c r="F183" s="221"/>
    </row>
    <row r="184" spans="1:6" x14ac:dyDescent="0.25">
      <c r="A184" s="23" t="str">
        <f>"3908209"</f>
        <v>3908209</v>
      </c>
      <c r="B184" s="23" t="s">
        <v>1129</v>
      </c>
      <c r="C184" s="23">
        <v>1.72</v>
      </c>
      <c r="D184" s="23">
        <v>367509</v>
      </c>
      <c r="E184" s="24">
        <v>44407.390416666669</v>
      </c>
      <c r="F184" s="221">
        <v>10857</v>
      </c>
    </row>
    <row r="185" spans="1:6" x14ac:dyDescent="0.25">
      <c r="A185" s="23" t="str">
        <f>"3908064"</f>
        <v>3908064</v>
      </c>
      <c r="B185" s="23" t="s">
        <v>6109</v>
      </c>
      <c r="C185" s="23">
        <v>2.68</v>
      </c>
      <c r="D185" s="23">
        <v>366911</v>
      </c>
      <c r="E185" s="24">
        <v>44407.414988425924</v>
      </c>
      <c r="F185" s="221">
        <v>10858</v>
      </c>
    </row>
    <row r="186" spans="1:6" x14ac:dyDescent="0.25">
      <c r="A186" s="23" t="str">
        <f>"3908344"</f>
        <v>3908344</v>
      </c>
      <c r="B186" s="23" t="s">
        <v>1130</v>
      </c>
      <c r="C186" s="23">
        <v>0.33</v>
      </c>
      <c r="D186" s="23">
        <v>367605</v>
      </c>
      <c r="E186" s="24">
        <v>44407.415520833332</v>
      </c>
      <c r="F186" s="221" t="s">
        <v>18281</v>
      </c>
    </row>
    <row r="187" spans="1:6" x14ac:dyDescent="0.25">
      <c r="A187" s="23" t="str">
        <f>"0"</f>
        <v>0</v>
      </c>
      <c r="B187" s="23" t="s">
        <v>18280</v>
      </c>
      <c r="C187" s="23">
        <v>3.37</v>
      </c>
      <c r="D187" s="23">
        <v>366913</v>
      </c>
      <c r="E187" s="24">
        <v>44407.457789351851</v>
      </c>
      <c r="F187" s="221">
        <v>10862</v>
      </c>
    </row>
    <row r="188" spans="1:6" x14ac:dyDescent="0.25">
      <c r="A188" s="23" t="str">
        <f>"3903866"</f>
        <v>3903866</v>
      </c>
      <c r="B188" s="23" t="s">
        <v>3775</v>
      </c>
      <c r="C188" s="23">
        <v>3.53</v>
      </c>
      <c r="D188" s="23">
        <v>367303</v>
      </c>
      <c r="E188" s="24">
        <v>44407.533680555556</v>
      </c>
      <c r="F188" s="221">
        <v>10859</v>
      </c>
    </row>
    <row r="189" spans="1:6" x14ac:dyDescent="0.25">
      <c r="A189" s="23" t="str">
        <f>"3908496"</f>
        <v>3908496</v>
      </c>
      <c r="B189" s="23" t="s">
        <v>18279</v>
      </c>
      <c r="C189" s="23">
        <v>1.72</v>
      </c>
      <c r="D189" s="23">
        <v>367712</v>
      </c>
      <c r="E189" s="24">
        <v>44407.580925925926</v>
      </c>
      <c r="F189" s="221">
        <v>10860</v>
      </c>
    </row>
    <row r="190" spans="1:6" x14ac:dyDescent="0.25">
      <c r="A190" s="23" t="str">
        <f>"3903516"</f>
        <v>3903516</v>
      </c>
      <c r="B190" s="23" t="s">
        <v>3794</v>
      </c>
      <c r="C190" s="23">
        <v>2.79</v>
      </c>
      <c r="D190" s="23">
        <v>366830</v>
      </c>
      <c r="E190" s="24">
        <v>44407.588043981479</v>
      </c>
      <c r="F190" s="221">
        <v>10861</v>
      </c>
    </row>
    <row r="191" spans="1:6" x14ac:dyDescent="0.25">
      <c r="A191" s="23"/>
      <c r="B191" s="221">
        <v>21</v>
      </c>
      <c r="C191" s="189">
        <f>SUM(C184:C190)</f>
        <v>16.14</v>
      </c>
      <c r="D191" s="23"/>
      <c r="E191" s="24"/>
      <c r="F191" s="221"/>
    </row>
    <row r="192" spans="1:6" x14ac:dyDescent="0.25">
      <c r="A192" s="23"/>
      <c r="B192" s="23"/>
      <c r="C192" s="23"/>
      <c r="D192" s="23"/>
      <c r="E192" s="24"/>
      <c r="F192" s="221"/>
    </row>
    <row r="193" spans="1:6" x14ac:dyDescent="0.25">
      <c r="A193" s="23"/>
      <c r="B193" s="23"/>
      <c r="C193" s="23"/>
      <c r="D193" s="23"/>
      <c r="E193" s="24"/>
      <c r="F193" s="221"/>
    </row>
    <row r="194" spans="1:6" x14ac:dyDescent="0.25">
      <c r="A194" s="23"/>
      <c r="B194" s="23"/>
      <c r="C194" s="23"/>
      <c r="D194" s="23"/>
      <c r="E194" s="24"/>
      <c r="F194" s="221"/>
    </row>
    <row r="195" spans="1:6" x14ac:dyDescent="0.25">
      <c r="A195" s="23"/>
      <c r="B195" s="23"/>
      <c r="C195" s="23"/>
      <c r="D195" s="23"/>
      <c r="E195" s="24"/>
      <c r="F195" s="221"/>
    </row>
    <row r="196" spans="1:6" x14ac:dyDescent="0.25">
      <c r="A196" s="23"/>
      <c r="B196" s="23"/>
      <c r="C196" s="23"/>
      <c r="D196" s="23"/>
      <c r="E196" s="24"/>
      <c r="F196" s="221"/>
    </row>
    <row r="197" spans="1:6" x14ac:dyDescent="0.25">
      <c r="A197" s="23"/>
      <c r="B197" s="23"/>
      <c r="C197" s="23"/>
      <c r="D197" s="23"/>
      <c r="E197" s="24"/>
      <c r="F197" s="221"/>
    </row>
    <row r="198" spans="1:6" x14ac:dyDescent="0.25">
      <c r="A198" s="23"/>
      <c r="B198" s="23"/>
      <c r="C198" s="23"/>
      <c r="D198" s="23"/>
      <c r="E198" s="24"/>
      <c r="F198" s="221"/>
    </row>
    <row r="199" spans="1:6" x14ac:dyDescent="0.25">
      <c r="A199" s="23"/>
      <c r="B199" s="23"/>
      <c r="C199" s="23"/>
      <c r="D199" s="23"/>
      <c r="E199" s="24"/>
      <c r="F199" s="221"/>
    </row>
    <row r="200" spans="1:6" x14ac:dyDescent="0.25">
      <c r="A200" s="23"/>
      <c r="B200" s="23"/>
      <c r="C200" s="23"/>
      <c r="D200" s="23"/>
      <c r="E200" s="24"/>
      <c r="F200" s="221"/>
    </row>
    <row r="201" spans="1:6" x14ac:dyDescent="0.25">
      <c r="A201" s="23"/>
      <c r="B201" s="23"/>
      <c r="C201" s="23"/>
      <c r="D201" s="23"/>
      <c r="E201" s="24"/>
      <c r="F201" s="221"/>
    </row>
    <row r="202" spans="1:6" x14ac:dyDescent="0.25">
      <c r="A202" s="23"/>
      <c r="B202" s="23"/>
      <c r="C202" s="23"/>
      <c r="D202" s="23"/>
      <c r="E202" s="24"/>
      <c r="F202" s="221"/>
    </row>
    <row r="203" spans="1:6" x14ac:dyDescent="0.25">
      <c r="A203" s="23"/>
      <c r="B203" s="23"/>
      <c r="C203" s="23"/>
      <c r="D203" s="23"/>
      <c r="E203" s="24"/>
      <c r="F203" s="221"/>
    </row>
    <row r="204" spans="1:6" x14ac:dyDescent="0.25">
      <c r="A204" s="23"/>
      <c r="B204" s="23"/>
      <c r="C204" s="23"/>
      <c r="D204" s="23"/>
      <c r="E204" s="24"/>
      <c r="F204" s="221"/>
    </row>
    <row r="205" spans="1:6" x14ac:dyDescent="0.25">
      <c r="A205" s="23"/>
      <c r="B205" s="23"/>
      <c r="C205" s="23"/>
      <c r="D205" s="23"/>
      <c r="E205" s="24"/>
      <c r="F205" s="221"/>
    </row>
    <row r="206" spans="1:6" x14ac:dyDescent="0.25">
      <c r="A206" s="23"/>
      <c r="B206" s="23"/>
      <c r="C206" s="23"/>
      <c r="D206" s="23"/>
      <c r="E206" s="24"/>
      <c r="F206" s="221"/>
    </row>
    <row r="207" spans="1:6" x14ac:dyDescent="0.25">
      <c r="A207" s="23"/>
      <c r="B207" s="23"/>
      <c r="C207" s="23"/>
      <c r="D207" s="23"/>
      <c r="E207" s="24"/>
      <c r="F207" s="221"/>
    </row>
    <row r="208" spans="1:6" x14ac:dyDescent="0.25">
      <c r="A208" s="23"/>
      <c r="B208" s="23"/>
      <c r="C208" s="23"/>
      <c r="D208" s="23"/>
      <c r="E208" s="24"/>
      <c r="F208" s="221"/>
    </row>
    <row r="209" spans="1:6" x14ac:dyDescent="0.25">
      <c r="A209" s="23"/>
      <c r="B209" s="23"/>
      <c r="C209" s="23"/>
      <c r="D209" s="23"/>
      <c r="E209" s="24"/>
      <c r="F209" s="221"/>
    </row>
    <row r="210" spans="1:6" x14ac:dyDescent="0.25">
      <c r="A210" s="23"/>
      <c r="B210" s="23"/>
      <c r="C210" s="23"/>
      <c r="D210" s="23"/>
      <c r="E210" s="24"/>
      <c r="F210" s="221"/>
    </row>
    <row r="211" spans="1:6" x14ac:dyDescent="0.25">
      <c r="A211" s="23"/>
      <c r="B211" s="23"/>
      <c r="C211" s="23"/>
      <c r="D211" s="23"/>
      <c r="E211" s="24"/>
      <c r="F211" s="221"/>
    </row>
    <row r="212" spans="1:6" x14ac:dyDescent="0.25">
      <c r="A212" s="23"/>
      <c r="B212" s="23"/>
      <c r="C212" s="23"/>
      <c r="D212" s="23"/>
      <c r="E212" s="24"/>
      <c r="F212" s="221"/>
    </row>
    <row r="213" spans="1:6" x14ac:dyDescent="0.25">
      <c r="A213" s="23"/>
      <c r="B213" s="23"/>
      <c r="C213" s="23"/>
      <c r="D213" s="23"/>
      <c r="E213" s="24"/>
      <c r="F213" s="221"/>
    </row>
    <row r="214" spans="1:6" x14ac:dyDescent="0.25">
      <c r="A214" s="23"/>
      <c r="B214" s="23"/>
      <c r="C214" s="23"/>
      <c r="D214" s="23"/>
      <c r="E214" s="24"/>
      <c r="F214" s="221"/>
    </row>
    <row r="215" spans="1:6" x14ac:dyDescent="0.25">
      <c r="A215" s="23"/>
      <c r="B215" s="23"/>
      <c r="C215" s="23"/>
      <c r="D215" s="23"/>
      <c r="E215" s="24"/>
      <c r="F215" s="221"/>
    </row>
    <row r="216" spans="1:6" x14ac:dyDescent="0.25">
      <c r="A216" s="23"/>
      <c r="B216" s="23"/>
      <c r="C216" s="23"/>
      <c r="D216" s="23"/>
      <c r="E216" s="24"/>
      <c r="F216" s="221"/>
    </row>
    <row r="217" spans="1:6" x14ac:dyDescent="0.25">
      <c r="A217" s="23"/>
      <c r="B217" s="23"/>
      <c r="C217" s="23"/>
      <c r="D217" s="23"/>
      <c r="E217" s="24"/>
      <c r="F217" s="221"/>
    </row>
    <row r="218" spans="1:6" x14ac:dyDescent="0.25">
      <c r="A218" s="23"/>
      <c r="B218" s="23"/>
      <c r="C218" s="23"/>
      <c r="D218" s="23"/>
      <c r="E218" s="24"/>
      <c r="F218" s="221"/>
    </row>
    <row r="219" spans="1:6" x14ac:dyDescent="0.25">
      <c r="A219" s="23"/>
      <c r="B219" s="23"/>
      <c r="C219" s="23"/>
      <c r="D219" s="23"/>
      <c r="E219" s="24"/>
      <c r="F219" s="221"/>
    </row>
    <row r="220" spans="1:6" x14ac:dyDescent="0.25">
      <c r="A220" s="23"/>
      <c r="B220" s="23"/>
      <c r="C220" s="23"/>
      <c r="D220" s="23"/>
      <c r="E220" s="24"/>
      <c r="F220" s="221"/>
    </row>
    <row r="221" spans="1:6" x14ac:dyDescent="0.25">
      <c r="A221" s="23"/>
      <c r="B221" s="23"/>
      <c r="C221" s="23"/>
      <c r="D221" s="23"/>
      <c r="E221" s="24"/>
      <c r="F221" s="221"/>
    </row>
    <row r="222" spans="1:6" x14ac:dyDescent="0.25">
      <c r="A222" s="23"/>
      <c r="B222" s="23"/>
      <c r="C222" s="23"/>
      <c r="D222" s="23"/>
      <c r="E222" s="24"/>
      <c r="F222" s="221"/>
    </row>
    <row r="223" spans="1:6" x14ac:dyDescent="0.25">
      <c r="A223" s="23"/>
      <c r="B223" s="23"/>
      <c r="C223" s="23"/>
      <c r="D223" s="23"/>
      <c r="E223" s="24"/>
      <c r="F223" s="221"/>
    </row>
    <row r="224" spans="1:6" x14ac:dyDescent="0.25">
      <c r="A224" s="23"/>
      <c r="B224" s="23"/>
      <c r="C224" s="23"/>
      <c r="D224" s="23"/>
      <c r="E224" s="24"/>
      <c r="F224" s="221"/>
    </row>
    <row r="225" spans="1:6" x14ac:dyDescent="0.25">
      <c r="A225" s="23"/>
      <c r="B225" s="23"/>
      <c r="C225" s="23"/>
      <c r="D225" s="23"/>
      <c r="E225" s="24"/>
      <c r="F225" s="221"/>
    </row>
    <row r="226" spans="1:6" x14ac:dyDescent="0.25">
      <c r="A226" s="23"/>
      <c r="B226" s="23"/>
      <c r="C226" s="23"/>
      <c r="D226" s="23"/>
      <c r="E226" s="24"/>
      <c r="F226" s="221"/>
    </row>
    <row r="227" spans="1:6" x14ac:dyDescent="0.25">
      <c r="A227" s="23"/>
      <c r="B227" s="23"/>
      <c r="C227" s="23"/>
      <c r="D227" s="23"/>
      <c r="E227" s="24"/>
      <c r="F227" s="221"/>
    </row>
    <row r="228" spans="1:6" x14ac:dyDescent="0.25">
      <c r="A228" s="23"/>
      <c r="B228" s="23"/>
      <c r="C228" s="23"/>
      <c r="D228" s="23"/>
      <c r="E228" s="24"/>
      <c r="F228" s="221"/>
    </row>
    <row r="229" spans="1:6" x14ac:dyDescent="0.25">
      <c r="A229" s="23"/>
      <c r="B229" s="23"/>
      <c r="C229" s="23"/>
      <c r="D229" s="23"/>
      <c r="E229" s="24"/>
      <c r="F229" s="221"/>
    </row>
    <row r="230" spans="1:6" x14ac:dyDescent="0.25">
      <c r="A230" s="23"/>
      <c r="B230" s="23"/>
      <c r="C230" s="23"/>
      <c r="D230" s="23"/>
      <c r="E230" s="24"/>
      <c r="F230" s="221"/>
    </row>
    <row r="231" spans="1:6" x14ac:dyDescent="0.25">
      <c r="A231" s="23"/>
      <c r="B231" s="23"/>
      <c r="C231" s="23"/>
      <c r="D231" s="23"/>
      <c r="E231" s="24"/>
      <c r="F231" s="221"/>
    </row>
    <row r="232" spans="1:6" x14ac:dyDescent="0.25">
      <c r="A232" s="23"/>
      <c r="B232" s="23"/>
      <c r="C232" s="23"/>
      <c r="D232" s="23"/>
      <c r="E232" s="24"/>
      <c r="F232" s="221"/>
    </row>
    <row r="233" spans="1:6" x14ac:dyDescent="0.25">
      <c r="A233" s="23"/>
      <c r="B233" s="23"/>
      <c r="C233" s="23"/>
      <c r="D233" s="23"/>
      <c r="E233" s="24"/>
      <c r="F233" s="221"/>
    </row>
    <row r="234" spans="1:6" x14ac:dyDescent="0.25">
      <c r="A234" s="23"/>
      <c r="B234" s="23"/>
      <c r="C234" s="23"/>
      <c r="D234" s="23"/>
      <c r="E234" s="24"/>
      <c r="F234" s="221"/>
    </row>
    <row r="235" spans="1:6" x14ac:dyDescent="0.25">
      <c r="A235" s="23"/>
      <c r="B235" s="23"/>
      <c r="C235" s="23"/>
      <c r="D235" s="23"/>
      <c r="E235" s="24"/>
      <c r="F235" s="221"/>
    </row>
    <row r="236" spans="1:6" x14ac:dyDescent="0.25">
      <c r="A236" s="23"/>
      <c r="B236" s="23"/>
      <c r="C236" s="23"/>
      <c r="D236" s="23"/>
      <c r="E236" s="24"/>
      <c r="F236" s="221"/>
    </row>
    <row r="237" spans="1:6" x14ac:dyDescent="0.25">
      <c r="A237" s="23"/>
      <c r="B237" s="23"/>
      <c r="C237" s="23"/>
      <c r="D237" s="23"/>
      <c r="E237" s="24"/>
      <c r="F237" s="221"/>
    </row>
    <row r="238" spans="1:6" x14ac:dyDescent="0.25">
      <c r="A238" s="23"/>
      <c r="B238" s="23"/>
      <c r="C238" s="23"/>
      <c r="D238" s="23"/>
      <c r="E238" s="24"/>
      <c r="F238" s="221"/>
    </row>
    <row r="239" spans="1:6" x14ac:dyDescent="0.25">
      <c r="A239" s="23"/>
      <c r="B239" s="23"/>
      <c r="C239" s="23"/>
      <c r="D239" s="23"/>
      <c r="E239" s="24"/>
      <c r="F239" s="221"/>
    </row>
    <row r="240" spans="1:6" x14ac:dyDescent="0.25">
      <c r="A240" s="23"/>
      <c r="B240" s="23"/>
      <c r="C240" s="23"/>
      <c r="D240" s="23"/>
      <c r="E240" s="24"/>
      <c r="F240" s="221"/>
    </row>
    <row r="241" spans="1:6" x14ac:dyDescent="0.25">
      <c r="A241" s="23"/>
      <c r="B241" s="23"/>
      <c r="C241" s="23"/>
      <c r="D241" s="23"/>
      <c r="E241" s="24"/>
      <c r="F241" s="221"/>
    </row>
    <row r="242" spans="1:6" x14ac:dyDescent="0.25">
      <c r="A242" s="23"/>
      <c r="B242" s="23"/>
      <c r="C242" s="23"/>
      <c r="D242" s="23"/>
      <c r="E242" s="24"/>
      <c r="F242" s="221"/>
    </row>
    <row r="243" spans="1:6" x14ac:dyDescent="0.25">
      <c r="A243" s="23"/>
      <c r="B243" s="23"/>
      <c r="C243" s="23"/>
      <c r="D243" s="23"/>
      <c r="E243" s="24"/>
      <c r="F243" s="221"/>
    </row>
    <row r="244" spans="1:6" x14ac:dyDescent="0.25">
      <c r="A244" s="23"/>
      <c r="B244" s="23"/>
      <c r="C244" s="23"/>
      <c r="D244" s="23"/>
      <c r="E244" s="24"/>
      <c r="F244" s="221"/>
    </row>
    <row r="245" spans="1:6" x14ac:dyDescent="0.25">
      <c r="A245" s="23"/>
      <c r="B245" s="23"/>
      <c r="C245" s="23"/>
      <c r="D245" s="23"/>
      <c r="E245" s="24"/>
      <c r="F245" s="221"/>
    </row>
    <row r="246" spans="1:6" x14ac:dyDescent="0.25">
      <c r="A246" s="23"/>
      <c r="B246" s="23"/>
      <c r="C246" s="23"/>
      <c r="D246" s="23"/>
      <c r="E246" s="24"/>
      <c r="F246" s="221"/>
    </row>
    <row r="247" spans="1:6" x14ac:dyDescent="0.25">
      <c r="A247" s="23"/>
      <c r="B247" s="23"/>
      <c r="C247" s="23"/>
      <c r="D247" s="23"/>
      <c r="E247" s="24"/>
      <c r="F247" s="221"/>
    </row>
    <row r="248" spans="1:6" x14ac:dyDescent="0.25">
      <c r="A248" s="23"/>
      <c r="B248" s="23"/>
      <c r="C248" s="23"/>
      <c r="D248" s="23"/>
      <c r="E248" s="24"/>
      <c r="F248" s="221"/>
    </row>
    <row r="249" spans="1:6" x14ac:dyDescent="0.25">
      <c r="A249" s="23"/>
      <c r="B249" s="23"/>
      <c r="C249" s="23"/>
      <c r="D249" s="23"/>
      <c r="E249" s="24"/>
      <c r="F249" s="221"/>
    </row>
    <row r="250" spans="1:6" x14ac:dyDescent="0.25">
      <c r="A250" s="23"/>
      <c r="B250" s="23"/>
      <c r="C250" s="23"/>
      <c r="D250" s="23"/>
      <c r="E250" s="24"/>
      <c r="F250" s="221"/>
    </row>
    <row r="251" spans="1:6" x14ac:dyDescent="0.25">
      <c r="A251" s="23"/>
      <c r="B251" s="23"/>
      <c r="C251" s="23"/>
      <c r="D251" s="23"/>
      <c r="E251" s="24"/>
      <c r="F251" s="221"/>
    </row>
    <row r="252" spans="1:6" x14ac:dyDescent="0.25">
      <c r="A252" s="23"/>
      <c r="B252" s="23"/>
      <c r="C252" s="23"/>
      <c r="D252" s="23"/>
      <c r="E252" s="24"/>
      <c r="F252" s="221"/>
    </row>
    <row r="253" spans="1:6" x14ac:dyDescent="0.25">
      <c r="A253" s="23"/>
      <c r="B253" s="23"/>
      <c r="C253" s="23"/>
      <c r="D253" s="23"/>
      <c r="E253" s="24"/>
      <c r="F253" s="221"/>
    </row>
    <row r="254" spans="1:6" x14ac:dyDescent="0.25">
      <c r="A254" s="23"/>
      <c r="B254" s="23"/>
      <c r="C254" s="23"/>
      <c r="D254" s="23"/>
      <c r="E254" s="24"/>
      <c r="F254" s="221"/>
    </row>
    <row r="255" spans="1:6" x14ac:dyDescent="0.25">
      <c r="A255" s="23"/>
      <c r="B255" s="23"/>
      <c r="C255" s="23"/>
      <c r="D255" s="23"/>
      <c r="E255" s="24"/>
      <c r="F255" s="221"/>
    </row>
    <row r="256" spans="1:6" x14ac:dyDescent="0.25">
      <c r="A256" s="23"/>
      <c r="B256" s="23"/>
      <c r="C256" s="23"/>
      <c r="D256" s="23"/>
      <c r="E256" s="24"/>
      <c r="F256" s="221"/>
    </row>
    <row r="257" spans="1:6" x14ac:dyDescent="0.25">
      <c r="A257" s="23"/>
      <c r="B257" s="23"/>
      <c r="C257" s="23"/>
      <c r="D257" s="23"/>
      <c r="E257" s="24"/>
      <c r="F257" s="221"/>
    </row>
    <row r="258" spans="1:6" x14ac:dyDescent="0.25">
      <c r="A258" s="23"/>
      <c r="B258" s="23"/>
      <c r="C258" s="23"/>
      <c r="D258" s="23"/>
      <c r="E258" s="24"/>
      <c r="F258" s="221"/>
    </row>
    <row r="259" spans="1:6" x14ac:dyDescent="0.25">
      <c r="A259" s="23"/>
      <c r="B259" s="23"/>
      <c r="C259" s="23"/>
      <c r="D259" s="23"/>
      <c r="E259" s="24"/>
      <c r="F259" s="221"/>
    </row>
    <row r="260" spans="1:6" x14ac:dyDescent="0.25">
      <c r="A260" s="23"/>
      <c r="B260" s="23"/>
      <c r="C260" s="23"/>
      <c r="D260" s="23"/>
      <c r="E260" s="24"/>
      <c r="F260" s="221"/>
    </row>
    <row r="261" spans="1:6" x14ac:dyDescent="0.25">
      <c r="A261" s="23"/>
      <c r="B261" s="23"/>
      <c r="C261" s="23"/>
      <c r="D261" s="23"/>
      <c r="E261" s="24"/>
      <c r="F261" s="221"/>
    </row>
    <row r="262" spans="1:6" x14ac:dyDescent="0.25">
      <c r="A262" s="23"/>
      <c r="B262" s="23"/>
      <c r="C262" s="23"/>
      <c r="D262" s="23"/>
      <c r="E262" s="24"/>
      <c r="F262" s="221"/>
    </row>
    <row r="263" spans="1:6" x14ac:dyDescent="0.25">
      <c r="A263" s="23"/>
      <c r="B263" s="23"/>
      <c r="C263" s="23"/>
      <c r="D263" s="23"/>
      <c r="E263" s="24"/>
      <c r="F263" s="221"/>
    </row>
    <row r="264" spans="1:6" x14ac:dyDescent="0.25">
      <c r="A264" s="23"/>
      <c r="B264" s="23"/>
      <c r="C264" s="23"/>
      <c r="D264" s="23"/>
      <c r="E264" s="24"/>
      <c r="F264" s="221"/>
    </row>
    <row r="265" spans="1:6" x14ac:dyDescent="0.25">
      <c r="A265" s="23"/>
      <c r="B265" s="23"/>
      <c r="C265" s="23"/>
      <c r="D265" s="23"/>
      <c r="E265" s="24"/>
      <c r="F265" s="221"/>
    </row>
    <row r="266" spans="1:6" x14ac:dyDescent="0.25">
      <c r="A266" s="23"/>
      <c r="B266" s="23"/>
      <c r="C266" s="23"/>
      <c r="D266" s="23"/>
      <c r="E266" s="24"/>
      <c r="F266" s="221"/>
    </row>
    <row r="267" spans="1:6" x14ac:dyDescent="0.25">
      <c r="A267" s="23"/>
      <c r="B267" s="23"/>
      <c r="C267" s="23"/>
      <c r="D267" s="23"/>
      <c r="E267" s="24"/>
      <c r="F267" s="221"/>
    </row>
    <row r="268" spans="1:6" x14ac:dyDescent="0.25">
      <c r="A268" s="23"/>
      <c r="B268" s="23"/>
      <c r="C268" s="23"/>
      <c r="D268" s="23"/>
      <c r="E268" s="24"/>
      <c r="F268" s="221"/>
    </row>
    <row r="269" spans="1:6" x14ac:dyDescent="0.25">
      <c r="A269" s="23"/>
      <c r="B269" s="23"/>
      <c r="C269" s="23"/>
      <c r="D269" s="23"/>
      <c r="E269" s="24"/>
      <c r="F269" s="221"/>
    </row>
    <row r="270" spans="1:6" x14ac:dyDescent="0.25">
      <c r="A270" s="23"/>
      <c r="B270" s="23"/>
      <c r="C270" s="23"/>
      <c r="D270" s="23"/>
      <c r="E270" s="24"/>
      <c r="F270" s="221"/>
    </row>
    <row r="271" spans="1:6" x14ac:dyDescent="0.25">
      <c r="A271" s="23"/>
      <c r="B271" s="23"/>
      <c r="C271" s="23"/>
      <c r="D271" s="23"/>
      <c r="E271" s="24"/>
      <c r="F271" s="221"/>
    </row>
    <row r="272" spans="1:6" x14ac:dyDescent="0.25">
      <c r="A272" s="23"/>
      <c r="B272" s="23"/>
      <c r="C272" s="23"/>
      <c r="D272" s="23"/>
      <c r="E272" s="24"/>
      <c r="F272" s="221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36ED2-0E6B-4C8F-917F-FD3FD57DBF1C}">
  <dimension ref="A1:O715"/>
  <sheetViews>
    <sheetView zoomScaleNormal="100" workbookViewId="0">
      <selection activeCell="A13" sqref="A13"/>
    </sheetView>
  </sheetViews>
  <sheetFormatPr baseColWidth="10" defaultRowHeight="12.75" x14ac:dyDescent="0.2"/>
  <cols>
    <col min="1" max="2" width="11.42578125" style="122"/>
    <col min="3" max="3" width="21.28515625" style="122" customWidth="1"/>
    <col min="4" max="4" width="12.42578125" style="122" customWidth="1"/>
    <col min="5" max="5" width="11.42578125" style="242"/>
    <col min="6" max="16384" width="11.42578125" style="122"/>
  </cols>
  <sheetData>
    <row r="1" spans="1:8" x14ac:dyDescent="0.2">
      <c r="A1" s="302" t="s">
        <v>19074</v>
      </c>
      <c r="B1" s="302"/>
      <c r="C1" s="302"/>
      <c r="D1" s="302"/>
      <c r="E1" s="302"/>
      <c r="F1" s="302"/>
    </row>
    <row r="2" spans="1:8" x14ac:dyDescent="0.2">
      <c r="A2" s="280" t="s">
        <v>1080</v>
      </c>
      <c r="B2" s="280" t="s">
        <v>1079</v>
      </c>
      <c r="C2" s="280" t="s">
        <v>1078</v>
      </c>
      <c r="D2" s="280" t="s">
        <v>525</v>
      </c>
      <c r="E2" s="281" t="s">
        <v>1077</v>
      </c>
      <c r="F2" s="280" t="s">
        <v>1076</v>
      </c>
      <c r="G2" s="280" t="s">
        <v>1075</v>
      </c>
      <c r="H2" s="280" t="s">
        <v>545</v>
      </c>
    </row>
    <row r="3" spans="1:8" ht="12.75" customHeight="1" x14ac:dyDescent="0.2">
      <c r="A3" s="243" t="s">
        <v>18990</v>
      </c>
      <c r="B3" s="243" t="s">
        <v>19073</v>
      </c>
      <c r="C3" s="243" t="s">
        <v>19072</v>
      </c>
      <c r="D3" s="243" t="s">
        <v>19071</v>
      </c>
      <c r="E3" s="244">
        <v>0.44</v>
      </c>
      <c r="F3" s="243" t="s">
        <v>19070</v>
      </c>
      <c r="G3" s="243" t="s">
        <v>640</v>
      </c>
      <c r="H3" s="245">
        <v>9277</v>
      </c>
    </row>
    <row r="4" spans="1:8" ht="12.75" customHeight="1" x14ac:dyDescent="0.2">
      <c r="A4" s="243" t="s">
        <v>18990</v>
      </c>
      <c r="B4" s="243" t="s">
        <v>4584</v>
      </c>
      <c r="C4" s="243" t="s">
        <v>19069</v>
      </c>
      <c r="D4" s="243" t="s">
        <v>2945</v>
      </c>
      <c r="E4" s="244">
        <v>4.45</v>
      </c>
      <c r="F4" s="243" t="s">
        <v>2946</v>
      </c>
      <c r="G4" s="243" t="s">
        <v>640</v>
      </c>
      <c r="H4" s="245">
        <v>9278</v>
      </c>
    </row>
    <row r="5" spans="1:8" ht="12.75" customHeight="1" x14ac:dyDescent="0.2">
      <c r="A5" s="243" t="s">
        <v>18990</v>
      </c>
      <c r="B5" s="243" t="s">
        <v>19068</v>
      </c>
      <c r="C5" s="243" t="s">
        <v>19067</v>
      </c>
      <c r="D5" s="243" t="s">
        <v>1592</v>
      </c>
      <c r="E5" s="244">
        <v>3.08</v>
      </c>
      <c r="F5" s="243" t="s">
        <v>1593</v>
      </c>
      <c r="G5" s="243" t="s">
        <v>640</v>
      </c>
      <c r="H5" s="245">
        <v>9279</v>
      </c>
    </row>
    <row r="6" spans="1:8" ht="12.75" customHeight="1" x14ac:dyDescent="0.2">
      <c r="A6" s="243" t="s">
        <v>18990</v>
      </c>
      <c r="B6" s="243" t="s">
        <v>19066</v>
      </c>
      <c r="C6" s="243" t="s">
        <v>19065</v>
      </c>
      <c r="D6" s="243" t="s">
        <v>1307</v>
      </c>
      <c r="E6" s="244">
        <v>7.12</v>
      </c>
      <c r="F6" s="243" t="s">
        <v>1306</v>
      </c>
      <c r="G6" s="243" t="s">
        <v>640</v>
      </c>
      <c r="H6" s="245">
        <v>9280</v>
      </c>
    </row>
    <row r="7" spans="1:8" ht="12.75" customHeight="1" x14ac:dyDescent="0.2">
      <c r="A7" s="243" t="s">
        <v>18990</v>
      </c>
      <c r="B7" s="243" t="s">
        <v>19064</v>
      </c>
      <c r="C7" s="243" t="s">
        <v>19063</v>
      </c>
      <c r="D7" s="243" t="s">
        <v>19062</v>
      </c>
      <c r="E7" s="244">
        <v>6.22</v>
      </c>
      <c r="F7" s="243" t="s">
        <v>19061</v>
      </c>
      <c r="G7" s="243" t="s">
        <v>640</v>
      </c>
      <c r="H7" s="245">
        <v>9281</v>
      </c>
    </row>
    <row r="8" spans="1:8" ht="12.75" customHeight="1" x14ac:dyDescent="0.2">
      <c r="A8" s="243" t="s">
        <v>18990</v>
      </c>
      <c r="B8" s="243" t="s">
        <v>19060</v>
      </c>
      <c r="C8" s="243" t="s">
        <v>19059</v>
      </c>
      <c r="D8" s="243" t="s">
        <v>3597</v>
      </c>
      <c r="E8" s="244">
        <v>1.68</v>
      </c>
      <c r="F8" s="243" t="s">
        <v>3598</v>
      </c>
      <c r="G8" s="243" t="s">
        <v>640</v>
      </c>
      <c r="H8" s="245">
        <v>9282</v>
      </c>
    </row>
    <row r="9" spans="1:8" ht="12.75" customHeight="1" x14ac:dyDescent="0.2">
      <c r="A9" s="243" t="s">
        <v>18990</v>
      </c>
      <c r="B9" s="243" t="s">
        <v>19058</v>
      </c>
      <c r="C9" s="243" t="s">
        <v>19057</v>
      </c>
      <c r="D9" s="243" t="s">
        <v>18317</v>
      </c>
      <c r="E9" s="244">
        <v>0.41</v>
      </c>
      <c r="F9" s="243" t="s">
        <v>18316</v>
      </c>
      <c r="G9" s="243" t="s">
        <v>640</v>
      </c>
      <c r="H9" s="245">
        <v>9283</v>
      </c>
    </row>
    <row r="10" spans="1:8" ht="12.75" customHeight="1" x14ac:dyDescent="0.2">
      <c r="A10" s="243" t="s">
        <v>18990</v>
      </c>
      <c r="B10" s="243" t="s">
        <v>19056</v>
      </c>
      <c r="C10" s="243" t="s">
        <v>19055</v>
      </c>
      <c r="D10" s="243" t="s">
        <v>648</v>
      </c>
      <c r="E10" s="244">
        <v>3.15</v>
      </c>
      <c r="F10" s="243" t="s">
        <v>647</v>
      </c>
      <c r="G10" s="243" t="s">
        <v>640</v>
      </c>
      <c r="H10" s="245" t="s">
        <v>19054</v>
      </c>
    </row>
    <row r="11" spans="1:8" ht="12.75" customHeight="1" x14ac:dyDescent="0.2">
      <c r="A11" s="243" t="s">
        <v>18990</v>
      </c>
      <c r="B11" s="243" t="s">
        <v>5382</v>
      </c>
      <c r="C11" s="243" t="s">
        <v>19053</v>
      </c>
      <c r="D11" s="243" t="s">
        <v>735</v>
      </c>
      <c r="E11" s="244">
        <v>4.46</v>
      </c>
      <c r="F11" s="243" t="s">
        <v>734</v>
      </c>
      <c r="G11" s="243" t="s">
        <v>640</v>
      </c>
      <c r="H11" s="245">
        <v>9284</v>
      </c>
    </row>
    <row r="12" spans="1:8" ht="12.75" customHeight="1" x14ac:dyDescent="0.2">
      <c r="A12" s="243" t="s">
        <v>18990</v>
      </c>
      <c r="B12" s="243" t="s">
        <v>19052</v>
      </c>
      <c r="C12" s="243" t="s">
        <v>19051</v>
      </c>
      <c r="D12" s="243" t="s">
        <v>19050</v>
      </c>
      <c r="E12" s="244">
        <v>3.36</v>
      </c>
      <c r="F12" s="243" t="s">
        <v>19049</v>
      </c>
      <c r="G12" s="243" t="s">
        <v>640</v>
      </c>
      <c r="H12" s="245">
        <v>9285</v>
      </c>
    </row>
    <row r="13" spans="1:8" ht="12.75" customHeight="1" x14ac:dyDescent="0.2">
      <c r="A13" s="243" t="s">
        <v>18990</v>
      </c>
      <c r="B13" s="243" t="s">
        <v>19048</v>
      </c>
      <c r="C13" s="243" t="s">
        <v>19047</v>
      </c>
      <c r="D13" s="243" t="s">
        <v>1433</v>
      </c>
      <c r="E13" s="244">
        <v>1.89</v>
      </c>
      <c r="F13" s="243" t="s">
        <v>1432</v>
      </c>
      <c r="G13" s="243" t="s">
        <v>640</v>
      </c>
      <c r="H13" s="245">
        <v>9286</v>
      </c>
    </row>
    <row r="14" spans="1:8" ht="12.75" customHeight="1" x14ac:dyDescent="0.2">
      <c r="A14" s="243" t="s">
        <v>18990</v>
      </c>
      <c r="B14" s="243" t="s">
        <v>19046</v>
      </c>
      <c r="C14" s="243" t="s">
        <v>19045</v>
      </c>
      <c r="D14" s="243" t="s">
        <v>995</v>
      </c>
      <c r="E14" s="244">
        <v>3.62</v>
      </c>
      <c r="F14" s="243" t="s">
        <v>994</v>
      </c>
      <c r="G14" s="243" t="s">
        <v>640</v>
      </c>
      <c r="H14" s="245">
        <v>9287</v>
      </c>
    </row>
    <row r="15" spans="1:8" ht="12.75" customHeight="1" x14ac:dyDescent="0.2">
      <c r="A15" s="243" t="s">
        <v>18990</v>
      </c>
      <c r="B15" s="243" t="s">
        <v>19044</v>
      </c>
      <c r="C15" s="243" t="s">
        <v>19043</v>
      </c>
      <c r="D15" s="243" t="s">
        <v>1182</v>
      </c>
      <c r="E15" s="244">
        <v>8.3800000000000008</v>
      </c>
      <c r="F15" s="243" t="s">
        <v>1181</v>
      </c>
      <c r="G15" s="243" t="s">
        <v>640</v>
      </c>
      <c r="H15" s="245">
        <v>9288</v>
      </c>
    </row>
    <row r="16" spans="1:8" ht="12.75" customHeight="1" x14ac:dyDescent="0.2">
      <c r="A16" s="243" t="s">
        <v>18990</v>
      </c>
      <c r="B16" s="243" t="s">
        <v>19042</v>
      </c>
      <c r="C16" s="243" t="s">
        <v>19041</v>
      </c>
      <c r="D16" s="243" t="s">
        <v>4035</v>
      </c>
      <c r="E16" s="244">
        <v>24.58</v>
      </c>
      <c r="F16" s="243" t="s">
        <v>4036</v>
      </c>
      <c r="G16" s="243" t="s">
        <v>640</v>
      </c>
      <c r="H16" s="245">
        <v>9289</v>
      </c>
    </row>
    <row r="17" spans="1:8" ht="12.75" customHeight="1" x14ac:dyDescent="0.2">
      <c r="A17" s="243" t="s">
        <v>18990</v>
      </c>
      <c r="B17" s="243" t="s">
        <v>19040</v>
      </c>
      <c r="C17" s="243" t="s">
        <v>19039</v>
      </c>
      <c r="D17" s="243" t="s">
        <v>13422</v>
      </c>
      <c r="E17" s="244">
        <v>6.16</v>
      </c>
      <c r="F17" s="243" t="s">
        <v>13421</v>
      </c>
      <c r="G17" s="243" t="s">
        <v>640</v>
      </c>
      <c r="H17" s="245">
        <v>9290</v>
      </c>
    </row>
    <row r="18" spans="1:8" ht="12.75" customHeight="1" x14ac:dyDescent="0.2">
      <c r="A18" s="243" t="s">
        <v>18990</v>
      </c>
      <c r="B18" s="243" t="s">
        <v>19038</v>
      </c>
      <c r="C18" s="243" t="s">
        <v>19037</v>
      </c>
      <c r="D18" s="243" t="s">
        <v>13430</v>
      </c>
      <c r="E18" s="244">
        <v>2.0699999999999998</v>
      </c>
      <c r="F18" s="243" t="s">
        <v>13429</v>
      </c>
      <c r="G18" s="243" t="s">
        <v>640</v>
      </c>
      <c r="H18" s="245">
        <v>9291</v>
      </c>
    </row>
    <row r="19" spans="1:8" ht="12.75" customHeight="1" x14ac:dyDescent="0.2">
      <c r="A19" s="243" t="s">
        <v>18990</v>
      </c>
      <c r="B19" s="243" t="s">
        <v>19036</v>
      </c>
      <c r="C19" s="243" t="s">
        <v>19035</v>
      </c>
      <c r="D19" s="243" t="s">
        <v>3927</v>
      </c>
      <c r="E19" s="244">
        <v>3.36</v>
      </c>
      <c r="F19" s="243" t="s">
        <v>3928</v>
      </c>
      <c r="G19" s="243" t="s">
        <v>640</v>
      </c>
      <c r="H19" s="245">
        <v>9292</v>
      </c>
    </row>
    <row r="20" spans="1:8" ht="12.75" customHeight="1" x14ac:dyDescent="0.2">
      <c r="A20" s="243" t="s">
        <v>18990</v>
      </c>
      <c r="B20" s="243" t="s">
        <v>3427</v>
      </c>
      <c r="C20" s="243" t="s">
        <v>19034</v>
      </c>
      <c r="D20" s="243" t="s">
        <v>3923</v>
      </c>
      <c r="E20" s="244">
        <v>3.9</v>
      </c>
      <c r="F20" s="243" t="s">
        <v>3924</v>
      </c>
      <c r="G20" s="243" t="s">
        <v>640</v>
      </c>
      <c r="H20" s="245">
        <v>9293</v>
      </c>
    </row>
    <row r="21" spans="1:8" ht="12.75" customHeight="1" x14ac:dyDescent="0.2">
      <c r="A21" s="243" t="s">
        <v>18990</v>
      </c>
      <c r="B21" s="243" t="s">
        <v>19033</v>
      </c>
      <c r="C21" s="243" t="s">
        <v>19032</v>
      </c>
      <c r="D21" s="243" t="s">
        <v>4755</v>
      </c>
      <c r="E21" s="244">
        <v>4.55</v>
      </c>
      <c r="F21" s="243" t="s">
        <v>4756</v>
      </c>
      <c r="G21" s="243" t="s">
        <v>640</v>
      </c>
      <c r="H21" s="245">
        <v>9294</v>
      </c>
    </row>
    <row r="22" spans="1:8" ht="12.75" customHeight="1" x14ac:dyDescent="0.2">
      <c r="A22" s="243" t="s">
        <v>18990</v>
      </c>
      <c r="B22" s="243" t="s">
        <v>19031</v>
      </c>
      <c r="C22" s="243" t="s">
        <v>19030</v>
      </c>
      <c r="D22" s="243" t="s">
        <v>4987</v>
      </c>
      <c r="E22" s="244">
        <v>5.39</v>
      </c>
      <c r="F22" s="243" t="s">
        <v>4988</v>
      </c>
      <c r="G22" s="243" t="s">
        <v>640</v>
      </c>
      <c r="H22" s="245">
        <v>9295</v>
      </c>
    </row>
    <row r="23" spans="1:8" ht="12.75" customHeight="1" x14ac:dyDescent="0.2">
      <c r="A23" s="243" t="s">
        <v>18990</v>
      </c>
      <c r="B23" s="243" t="s">
        <v>19029</v>
      </c>
      <c r="C23" s="243" t="s">
        <v>19028</v>
      </c>
      <c r="D23" s="243" t="s">
        <v>6074</v>
      </c>
      <c r="E23" s="244">
        <v>2.11</v>
      </c>
      <c r="F23" s="243" t="s">
        <v>16471</v>
      </c>
      <c r="G23" s="243" t="s">
        <v>640</v>
      </c>
      <c r="H23" s="245">
        <v>9296</v>
      </c>
    </row>
    <row r="24" spans="1:8" ht="12.75" customHeight="1" x14ac:dyDescent="0.2">
      <c r="A24" s="243" t="s">
        <v>18990</v>
      </c>
      <c r="B24" s="243" t="s">
        <v>19027</v>
      </c>
      <c r="C24" s="243" t="s">
        <v>19026</v>
      </c>
      <c r="D24" s="243" t="s">
        <v>675</v>
      </c>
      <c r="E24" s="244">
        <v>1.9</v>
      </c>
      <c r="F24" s="243" t="s">
        <v>674</v>
      </c>
      <c r="G24" s="243" t="s">
        <v>640</v>
      </c>
      <c r="H24" s="245">
        <v>9297</v>
      </c>
    </row>
    <row r="25" spans="1:8" ht="12.75" customHeight="1" x14ac:dyDescent="0.2">
      <c r="A25" s="243" t="s">
        <v>18990</v>
      </c>
      <c r="B25" s="243" t="s">
        <v>19025</v>
      </c>
      <c r="C25" s="243" t="s">
        <v>19024</v>
      </c>
      <c r="D25" s="243" t="s">
        <v>13829</v>
      </c>
      <c r="E25" s="244">
        <v>1</v>
      </c>
      <c r="F25" s="243" t="s">
        <v>13828</v>
      </c>
      <c r="G25" s="243" t="s">
        <v>640</v>
      </c>
      <c r="H25" s="245">
        <v>9298</v>
      </c>
    </row>
    <row r="26" spans="1:8" ht="12.75" customHeight="1" x14ac:dyDescent="0.2">
      <c r="A26" s="243" t="s">
        <v>18990</v>
      </c>
      <c r="B26" s="243" t="s">
        <v>16174</v>
      </c>
      <c r="C26" s="243" t="s">
        <v>19023</v>
      </c>
      <c r="D26" s="243" t="s">
        <v>3959</v>
      </c>
      <c r="E26" s="244">
        <v>2.33</v>
      </c>
      <c r="F26" s="243" t="s">
        <v>3960</v>
      </c>
      <c r="G26" s="243" t="s">
        <v>640</v>
      </c>
      <c r="H26" s="245">
        <v>9299</v>
      </c>
    </row>
    <row r="27" spans="1:8" ht="12.75" customHeight="1" x14ac:dyDescent="0.2">
      <c r="A27" s="243" t="s">
        <v>18990</v>
      </c>
      <c r="B27" s="243" t="s">
        <v>19022</v>
      </c>
      <c r="C27" s="243" t="s">
        <v>19021</v>
      </c>
      <c r="D27" s="243" t="s">
        <v>3211</v>
      </c>
      <c r="E27" s="244">
        <v>12.42</v>
      </c>
      <c r="F27" s="243" t="s">
        <v>3212</v>
      </c>
      <c r="G27" s="243" t="s">
        <v>640</v>
      </c>
      <c r="H27" s="245">
        <v>9300</v>
      </c>
    </row>
    <row r="28" spans="1:8" ht="12.75" customHeight="1" x14ac:dyDescent="0.2">
      <c r="A28" s="243" t="s">
        <v>18990</v>
      </c>
      <c r="B28" s="243" t="s">
        <v>19020</v>
      </c>
      <c r="C28" s="243" t="s">
        <v>19019</v>
      </c>
      <c r="D28" s="243" t="s">
        <v>3911</v>
      </c>
      <c r="E28" s="244">
        <v>1.68</v>
      </c>
      <c r="F28" s="243" t="s">
        <v>3912</v>
      </c>
      <c r="G28" s="243" t="s">
        <v>640</v>
      </c>
      <c r="H28" s="245">
        <v>9301</v>
      </c>
    </row>
    <row r="29" spans="1:8" ht="12.75" customHeight="1" x14ac:dyDescent="0.2">
      <c r="A29" s="243" t="s">
        <v>18990</v>
      </c>
      <c r="B29" s="243" t="s">
        <v>19018</v>
      </c>
      <c r="C29" s="243" t="s">
        <v>19017</v>
      </c>
      <c r="D29" s="243" t="s">
        <v>1210</v>
      </c>
      <c r="E29" s="244">
        <v>2.14</v>
      </c>
      <c r="F29" s="243" t="s">
        <v>1209</v>
      </c>
      <c r="G29" s="243" t="s">
        <v>640</v>
      </c>
      <c r="H29" s="245">
        <v>9302</v>
      </c>
    </row>
    <row r="30" spans="1:8" ht="12.75" customHeight="1" x14ac:dyDescent="0.2">
      <c r="A30" s="243" t="s">
        <v>18990</v>
      </c>
      <c r="B30" s="243" t="s">
        <v>19016</v>
      </c>
      <c r="C30" s="243" t="s">
        <v>19015</v>
      </c>
      <c r="D30" s="243" t="s">
        <v>6040</v>
      </c>
      <c r="E30" s="244">
        <v>2.4500000000000002</v>
      </c>
      <c r="F30" s="243" t="s">
        <v>6041</v>
      </c>
      <c r="G30" s="243" t="s">
        <v>640</v>
      </c>
      <c r="H30" s="245">
        <v>9303</v>
      </c>
    </row>
    <row r="31" spans="1:8" ht="12.75" customHeight="1" x14ac:dyDescent="0.2">
      <c r="A31" s="243" t="s">
        <v>18990</v>
      </c>
      <c r="B31" s="243" t="s">
        <v>19014</v>
      </c>
      <c r="C31" s="243" t="s">
        <v>19013</v>
      </c>
      <c r="D31" s="243" t="s">
        <v>5261</v>
      </c>
      <c r="E31" s="244">
        <v>4.37</v>
      </c>
      <c r="F31" s="243" t="s">
        <v>5262</v>
      </c>
      <c r="G31" s="243" t="s">
        <v>640</v>
      </c>
      <c r="H31" s="245">
        <v>9304</v>
      </c>
    </row>
    <row r="32" spans="1:8" ht="12.75" customHeight="1" x14ac:dyDescent="0.2">
      <c r="A32" s="243" t="s">
        <v>18990</v>
      </c>
      <c r="B32" s="243" t="s">
        <v>19012</v>
      </c>
      <c r="C32" s="243" t="s">
        <v>19011</v>
      </c>
      <c r="D32" s="243" t="s">
        <v>970</v>
      </c>
      <c r="E32" s="244">
        <v>16.760000000000002</v>
      </c>
      <c r="F32" s="243" t="s">
        <v>969</v>
      </c>
      <c r="G32" s="243" t="s">
        <v>640</v>
      </c>
      <c r="H32" s="245">
        <v>9305</v>
      </c>
    </row>
    <row r="33" spans="1:11" ht="12.75" customHeight="1" x14ac:dyDescent="0.2">
      <c r="A33" s="243" t="s">
        <v>18990</v>
      </c>
      <c r="B33" s="243" t="s">
        <v>19010</v>
      </c>
      <c r="C33" s="243" t="s">
        <v>19009</v>
      </c>
      <c r="D33" s="243" t="s">
        <v>1064</v>
      </c>
      <c r="E33" s="244">
        <v>1.79</v>
      </c>
      <c r="F33" s="243" t="s">
        <v>1063</v>
      </c>
      <c r="G33" s="243" t="s">
        <v>640</v>
      </c>
      <c r="H33" s="245">
        <v>9306</v>
      </c>
    </row>
    <row r="34" spans="1:11" ht="12.75" customHeight="1" x14ac:dyDescent="0.2">
      <c r="A34" s="243" t="s">
        <v>18990</v>
      </c>
      <c r="B34" s="243" t="s">
        <v>19008</v>
      </c>
      <c r="C34" s="243" t="s">
        <v>19007</v>
      </c>
      <c r="D34" s="243" t="s">
        <v>948</v>
      </c>
      <c r="E34" s="244">
        <v>3.53</v>
      </c>
      <c r="F34" s="243" t="s">
        <v>947</v>
      </c>
      <c r="G34" s="243" t="s">
        <v>640</v>
      </c>
      <c r="H34" s="245">
        <v>9307</v>
      </c>
    </row>
    <row r="35" spans="1:11" ht="12.75" customHeight="1" x14ac:dyDescent="0.2">
      <c r="A35" s="243" t="s">
        <v>18990</v>
      </c>
      <c r="B35" s="243" t="s">
        <v>19006</v>
      </c>
      <c r="C35" s="243" t="s">
        <v>19005</v>
      </c>
      <c r="D35" s="243" t="s">
        <v>16209</v>
      </c>
      <c r="E35" s="244">
        <v>0.67</v>
      </c>
      <c r="F35" s="243" t="s">
        <v>16208</v>
      </c>
      <c r="G35" s="243" t="s">
        <v>640</v>
      </c>
      <c r="H35" s="245">
        <v>9308</v>
      </c>
    </row>
    <row r="36" spans="1:11" ht="12.75" customHeight="1" x14ac:dyDescent="0.2">
      <c r="A36" s="243" t="s">
        <v>18990</v>
      </c>
      <c r="B36" s="243" t="s">
        <v>19004</v>
      </c>
      <c r="C36" s="243" t="s">
        <v>19003</v>
      </c>
      <c r="D36" s="243" t="s">
        <v>1199</v>
      </c>
      <c r="E36" s="244">
        <v>3.36</v>
      </c>
      <c r="F36" s="243" t="s">
        <v>1198</v>
      </c>
      <c r="G36" s="243" t="s">
        <v>640</v>
      </c>
      <c r="H36" s="245">
        <v>9309</v>
      </c>
    </row>
    <row r="37" spans="1:11" ht="12.75" customHeight="1" x14ac:dyDescent="0.2">
      <c r="A37" s="243" t="s">
        <v>18990</v>
      </c>
      <c r="B37" s="243" t="s">
        <v>19002</v>
      </c>
      <c r="C37" s="243" t="s">
        <v>19001</v>
      </c>
      <c r="D37" s="243" t="s">
        <v>1493</v>
      </c>
      <c r="E37" s="244">
        <v>3.7</v>
      </c>
      <c r="F37" s="243" t="s">
        <v>1492</v>
      </c>
      <c r="G37" s="243" t="s">
        <v>640</v>
      </c>
      <c r="H37" s="245">
        <v>9310</v>
      </c>
    </row>
    <row r="38" spans="1:11" ht="12.75" customHeight="1" x14ac:dyDescent="0.2">
      <c r="A38" s="243" t="s">
        <v>18990</v>
      </c>
      <c r="B38" s="243" t="s">
        <v>19000</v>
      </c>
      <c r="C38" s="243" t="s">
        <v>18999</v>
      </c>
      <c r="D38" s="243" t="s">
        <v>1287</v>
      </c>
      <c r="E38" s="244">
        <v>6.48</v>
      </c>
      <c r="F38" s="243" t="s">
        <v>1286</v>
      </c>
      <c r="G38" s="243" t="s">
        <v>640</v>
      </c>
      <c r="H38" s="245">
        <v>9311</v>
      </c>
    </row>
    <row r="39" spans="1:11" ht="12.75" customHeight="1" x14ac:dyDescent="0.2">
      <c r="A39" s="243" t="s">
        <v>18990</v>
      </c>
      <c r="B39" s="243" t="s">
        <v>18998</v>
      </c>
      <c r="C39" s="243" t="s">
        <v>18997</v>
      </c>
      <c r="D39" s="243" t="s">
        <v>896</v>
      </c>
      <c r="E39" s="244">
        <v>5.45</v>
      </c>
      <c r="F39" s="243" t="s">
        <v>895</v>
      </c>
      <c r="G39" s="243" t="s">
        <v>640</v>
      </c>
      <c r="H39" s="245">
        <v>9312</v>
      </c>
    </row>
    <row r="40" spans="1:11" ht="12.75" customHeight="1" x14ac:dyDescent="0.2">
      <c r="A40" s="243" t="s">
        <v>18990</v>
      </c>
      <c r="B40" s="243" t="s">
        <v>18996</v>
      </c>
      <c r="C40" s="243" t="s">
        <v>18995</v>
      </c>
      <c r="D40" s="243" t="s">
        <v>6046</v>
      </c>
      <c r="E40" s="244">
        <v>7.51</v>
      </c>
      <c r="F40" s="243" t="s">
        <v>6047</v>
      </c>
      <c r="G40" s="243" t="s">
        <v>640</v>
      </c>
      <c r="H40" s="245">
        <v>9313</v>
      </c>
    </row>
    <row r="41" spans="1:11" ht="12.75" customHeight="1" x14ac:dyDescent="0.2">
      <c r="A41" s="243" t="s">
        <v>18990</v>
      </c>
      <c r="B41" s="243" t="s">
        <v>18994</v>
      </c>
      <c r="C41" s="243" t="s">
        <v>18993</v>
      </c>
      <c r="D41" s="243" t="s">
        <v>1377</v>
      </c>
      <c r="E41" s="244">
        <v>1.68</v>
      </c>
      <c r="F41" s="243" t="s">
        <v>1376</v>
      </c>
      <c r="G41" s="243" t="s">
        <v>640</v>
      </c>
      <c r="H41" s="245">
        <v>9314</v>
      </c>
    </row>
    <row r="42" spans="1:11" ht="12.75" customHeight="1" x14ac:dyDescent="0.2">
      <c r="A42" s="243" t="s">
        <v>18990</v>
      </c>
      <c r="B42" s="243" t="s">
        <v>18992</v>
      </c>
      <c r="C42" s="243" t="s">
        <v>18991</v>
      </c>
      <c r="D42" s="243" t="s">
        <v>14244</v>
      </c>
      <c r="E42" s="244">
        <v>9.2100000000000009</v>
      </c>
      <c r="F42" s="243" t="s">
        <v>14243</v>
      </c>
      <c r="G42" s="243" t="s">
        <v>640</v>
      </c>
      <c r="H42" s="245">
        <v>9315</v>
      </c>
    </row>
    <row r="43" spans="1:11" ht="12.75" customHeight="1" x14ac:dyDescent="0.2">
      <c r="A43" s="243" t="s">
        <v>18990</v>
      </c>
      <c r="B43" s="243" t="s">
        <v>18989</v>
      </c>
      <c r="C43" s="243" t="s">
        <v>18988</v>
      </c>
      <c r="D43" s="243" t="s">
        <v>1456</v>
      </c>
      <c r="E43" s="244">
        <v>1.84</v>
      </c>
      <c r="F43" s="243" t="s">
        <v>1455</v>
      </c>
      <c r="G43" s="243" t="s">
        <v>640</v>
      </c>
      <c r="H43" s="245">
        <v>9316</v>
      </c>
    </row>
    <row r="44" spans="1:11" ht="12.75" customHeight="1" x14ac:dyDescent="0.2">
      <c r="A44" s="243"/>
      <c r="B44" s="243"/>
      <c r="C44" s="247" t="s">
        <v>3738</v>
      </c>
      <c r="D44" s="243"/>
      <c r="E44" s="246">
        <f>SUM(E3:E43)</f>
        <v>190.64999999999998</v>
      </c>
      <c r="F44" s="243"/>
      <c r="G44" s="243"/>
      <c r="H44" s="245"/>
    </row>
    <row r="45" spans="1:11" ht="12.75" customHeight="1" x14ac:dyDescent="0.2">
      <c r="A45" s="243" t="s">
        <v>18935</v>
      </c>
      <c r="B45" s="243" t="s">
        <v>18987</v>
      </c>
      <c r="C45" s="243" t="s">
        <v>18986</v>
      </c>
      <c r="D45" s="243" t="s">
        <v>10917</v>
      </c>
      <c r="E45" s="244">
        <v>2.63</v>
      </c>
      <c r="F45" s="243" t="s">
        <v>10916</v>
      </c>
      <c r="G45" s="243" t="s">
        <v>640</v>
      </c>
      <c r="H45" s="245">
        <v>9332</v>
      </c>
    </row>
    <row r="46" spans="1:11" ht="12.75" customHeight="1" x14ac:dyDescent="0.2">
      <c r="A46" s="243" t="s">
        <v>18935</v>
      </c>
      <c r="B46" s="243" t="s">
        <v>18985</v>
      </c>
      <c r="C46" s="243" t="s">
        <v>18984</v>
      </c>
      <c r="D46" s="243" t="s">
        <v>2945</v>
      </c>
      <c r="E46" s="244">
        <v>4.45</v>
      </c>
      <c r="F46" s="243" t="s">
        <v>2946</v>
      </c>
      <c r="G46" s="243" t="s">
        <v>640</v>
      </c>
      <c r="H46" s="245">
        <v>9333</v>
      </c>
    </row>
    <row r="47" spans="1:11" ht="12.75" customHeight="1" x14ac:dyDescent="0.2">
      <c r="A47" s="243" t="s">
        <v>18935</v>
      </c>
      <c r="B47" s="243" t="s">
        <v>18983</v>
      </c>
      <c r="C47" s="243" t="s">
        <v>18982</v>
      </c>
      <c r="D47" s="243" t="s">
        <v>3637</v>
      </c>
      <c r="E47" s="244">
        <v>3.93</v>
      </c>
      <c r="F47" s="243" t="s">
        <v>3638</v>
      </c>
      <c r="G47" s="243" t="s">
        <v>640</v>
      </c>
      <c r="H47" s="245">
        <v>9334</v>
      </c>
      <c r="K47" s="122" t="s">
        <v>1053</v>
      </c>
    </row>
    <row r="48" spans="1:11" ht="12.75" customHeight="1" x14ac:dyDescent="0.2">
      <c r="A48" s="243" t="s">
        <v>18935</v>
      </c>
      <c r="B48" s="243" t="s">
        <v>18981</v>
      </c>
      <c r="C48" s="243" t="s">
        <v>18980</v>
      </c>
      <c r="D48" s="243" t="s">
        <v>6060</v>
      </c>
      <c r="E48" s="244">
        <v>2.71</v>
      </c>
      <c r="F48" s="243" t="s">
        <v>6061</v>
      </c>
      <c r="G48" s="243" t="s">
        <v>640</v>
      </c>
      <c r="H48" s="245">
        <v>9335</v>
      </c>
    </row>
    <row r="49" spans="1:15" ht="12.75" customHeight="1" x14ac:dyDescent="0.2">
      <c r="A49" s="243" t="s">
        <v>18935</v>
      </c>
      <c r="B49" s="243" t="s">
        <v>18979</v>
      </c>
      <c r="C49" s="243" t="s">
        <v>18978</v>
      </c>
      <c r="D49" s="243" t="s">
        <v>4097</v>
      </c>
      <c r="E49" s="244">
        <v>2.12</v>
      </c>
      <c r="F49" s="243" t="s">
        <v>4098</v>
      </c>
      <c r="G49" s="243" t="s">
        <v>640</v>
      </c>
      <c r="H49" s="245">
        <v>9336</v>
      </c>
    </row>
    <row r="50" spans="1:15" ht="12.75" customHeight="1" x14ac:dyDescent="0.2">
      <c r="A50" s="243" t="s">
        <v>18935</v>
      </c>
      <c r="B50" s="243" t="s">
        <v>18977</v>
      </c>
      <c r="C50" s="243" t="s">
        <v>18976</v>
      </c>
      <c r="D50" s="243" t="s">
        <v>10846</v>
      </c>
      <c r="E50" s="244">
        <v>0.11</v>
      </c>
      <c r="F50" s="243" t="s">
        <v>10845</v>
      </c>
      <c r="G50" s="243" t="s">
        <v>640</v>
      </c>
      <c r="H50" s="245">
        <v>9337</v>
      </c>
    </row>
    <row r="51" spans="1:15" ht="12.75" customHeight="1" x14ac:dyDescent="0.2">
      <c r="A51" s="243" t="s">
        <v>18935</v>
      </c>
      <c r="B51" s="243" t="s">
        <v>18975</v>
      </c>
      <c r="C51" s="243" t="s">
        <v>18974</v>
      </c>
      <c r="D51" s="243" t="s">
        <v>13270</v>
      </c>
      <c r="E51" s="244">
        <v>7.63</v>
      </c>
      <c r="F51" s="243" t="s">
        <v>13269</v>
      </c>
      <c r="G51" s="243" t="s">
        <v>640</v>
      </c>
      <c r="H51" s="245">
        <v>9338</v>
      </c>
    </row>
    <row r="52" spans="1:15" ht="12.75" customHeight="1" x14ac:dyDescent="0.2">
      <c r="A52" s="243" t="s">
        <v>18935</v>
      </c>
      <c r="B52" s="243" t="s">
        <v>11507</v>
      </c>
      <c r="C52" s="243" t="s">
        <v>18973</v>
      </c>
      <c r="D52" s="243" t="s">
        <v>4651</v>
      </c>
      <c r="E52" s="244">
        <v>1.8</v>
      </c>
      <c r="F52" s="243" t="s">
        <v>4652</v>
      </c>
      <c r="G52" s="243" t="s">
        <v>640</v>
      </c>
      <c r="H52" s="245">
        <v>9339</v>
      </c>
    </row>
    <row r="53" spans="1:15" ht="12.75" customHeight="1" x14ac:dyDescent="0.2">
      <c r="A53" s="243" t="s">
        <v>18935</v>
      </c>
      <c r="B53" s="243" t="s">
        <v>18972</v>
      </c>
      <c r="C53" s="243" t="s">
        <v>18971</v>
      </c>
      <c r="D53" s="243" t="s">
        <v>950</v>
      </c>
      <c r="E53" s="244">
        <v>2.37</v>
      </c>
      <c r="F53" s="243" t="s">
        <v>949</v>
      </c>
      <c r="G53" s="243" t="s">
        <v>640</v>
      </c>
      <c r="H53" s="245">
        <v>9340</v>
      </c>
    </row>
    <row r="54" spans="1:15" ht="12.75" customHeight="1" x14ac:dyDescent="0.2">
      <c r="A54" s="243" t="s">
        <v>18935</v>
      </c>
      <c r="B54" s="243" t="s">
        <v>18970</v>
      </c>
      <c r="C54" s="243" t="s">
        <v>18969</v>
      </c>
      <c r="D54" s="243" t="s">
        <v>18968</v>
      </c>
      <c r="E54" s="244">
        <v>22.14</v>
      </c>
      <c r="F54" s="243" t="s">
        <v>18967</v>
      </c>
      <c r="G54" s="243" t="s">
        <v>640</v>
      </c>
      <c r="H54" s="245">
        <v>9341</v>
      </c>
    </row>
    <row r="55" spans="1:15" ht="12.75" customHeight="1" x14ac:dyDescent="0.2">
      <c r="A55" s="243" t="s">
        <v>18935</v>
      </c>
      <c r="B55" s="243" t="s">
        <v>18966</v>
      </c>
      <c r="C55" s="243" t="s">
        <v>18965</v>
      </c>
      <c r="D55" s="243" t="s">
        <v>6056</v>
      </c>
      <c r="E55" s="244">
        <v>46.29</v>
      </c>
      <c r="F55" s="243" t="s">
        <v>6057</v>
      </c>
      <c r="G55" s="243" t="s">
        <v>640</v>
      </c>
      <c r="H55" s="245">
        <v>9342</v>
      </c>
      <c r="J55" s="122" t="s">
        <v>1529</v>
      </c>
      <c r="M55" s="122" t="s">
        <v>1528</v>
      </c>
    </row>
    <row r="56" spans="1:15" ht="12.75" customHeight="1" x14ac:dyDescent="0.2">
      <c r="A56" s="243" t="s">
        <v>18935</v>
      </c>
      <c r="B56" s="243" t="s">
        <v>18964</v>
      </c>
      <c r="C56" s="243" t="s">
        <v>18963</v>
      </c>
      <c r="D56" s="243" t="s">
        <v>1387</v>
      </c>
      <c r="E56" s="244">
        <v>4.4000000000000004</v>
      </c>
      <c r="F56" s="243" t="s">
        <v>1386</v>
      </c>
      <c r="G56" s="243" t="s">
        <v>640</v>
      </c>
      <c r="H56" s="245">
        <v>9343</v>
      </c>
    </row>
    <row r="57" spans="1:15" ht="12.75" customHeight="1" x14ac:dyDescent="0.2">
      <c r="A57" s="243" t="s">
        <v>18935</v>
      </c>
      <c r="B57" s="243" t="s">
        <v>18962</v>
      </c>
      <c r="C57" s="243" t="s">
        <v>18961</v>
      </c>
      <c r="D57" s="243" t="s">
        <v>934</v>
      </c>
      <c r="E57" s="244">
        <v>6.28</v>
      </c>
      <c r="F57" s="243" t="s">
        <v>933</v>
      </c>
      <c r="G57" s="243" t="s">
        <v>640</v>
      </c>
      <c r="H57" s="245">
        <v>9344</v>
      </c>
    </row>
    <row r="58" spans="1:15" ht="12.75" customHeight="1" x14ac:dyDescent="0.2">
      <c r="A58" s="243" t="s">
        <v>18935</v>
      </c>
      <c r="B58" s="243" t="s">
        <v>18960</v>
      </c>
      <c r="C58" s="243" t="s">
        <v>18959</v>
      </c>
      <c r="D58" s="243" t="s">
        <v>18958</v>
      </c>
      <c r="E58" s="244">
        <v>3.62</v>
      </c>
      <c r="F58" s="243" t="s">
        <v>18957</v>
      </c>
      <c r="G58" s="243" t="s">
        <v>640</v>
      </c>
      <c r="H58" s="245">
        <v>9345</v>
      </c>
    </row>
    <row r="59" spans="1:15" ht="12.75" customHeight="1" x14ac:dyDescent="0.2">
      <c r="A59" s="243" t="s">
        <v>18935</v>
      </c>
      <c r="B59" s="243" t="s">
        <v>18956</v>
      </c>
      <c r="C59" s="243" t="s">
        <v>18955</v>
      </c>
      <c r="D59" s="243" t="s">
        <v>972</v>
      </c>
      <c r="E59" s="244">
        <v>4.3</v>
      </c>
      <c r="F59" s="243" t="s">
        <v>971</v>
      </c>
      <c r="G59" s="243" t="s">
        <v>640</v>
      </c>
      <c r="H59" s="245">
        <v>9346</v>
      </c>
    </row>
    <row r="60" spans="1:15" ht="12.75" customHeight="1" x14ac:dyDescent="0.2">
      <c r="A60" s="243" t="s">
        <v>18935</v>
      </c>
      <c r="B60" s="243" t="s">
        <v>18954</v>
      </c>
      <c r="C60" s="243" t="s">
        <v>18953</v>
      </c>
      <c r="D60" s="243" t="s">
        <v>741</v>
      </c>
      <c r="E60" s="244">
        <v>1.83</v>
      </c>
      <c r="F60" s="243" t="s">
        <v>740</v>
      </c>
      <c r="G60" s="243" t="s">
        <v>640</v>
      </c>
      <c r="H60" s="245">
        <v>9347</v>
      </c>
      <c r="L60" s="122" t="s">
        <v>1527</v>
      </c>
      <c r="O60" s="122" t="s">
        <v>1526</v>
      </c>
    </row>
    <row r="61" spans="1:15" ht="12.75" customHeight="1" x14ac:dyDescent="0.2">
      <c r="A61" s="243" t="s">
        <v>18935</v>
      </c>
      <c r="B61" s="243" t="s">
        <v>18857</v>
      </c>
      <c r="C61" s="243" t="s">
        <v>18952</v>
      </c>
      <c r="D61" s="243" t="s">
        <v>1040</v>
      </c>
      <c r="E61" s="244">
        <v>10.9</v>
      </c>
      <c r="F61" s="243" t="s">
        <v>1039</v>
      </c>
      <c r="G61" s="243" t="s">
        <v>640</v>
      </c>
      <c r="H61" s="245">
        <v>9348</v>
      </c>
    </row>
    <row r="62" spans="1:15" ht="12.75" customHeight="1" x14ac:dyDescent="0.2">
      <c r="A62" s="243" t="s">
        <v>18935</v>
      </c>
      <c r="B62" s="243" t="s">
        <v>18951</v>
      </c>
      <c r="C62" s="243" t="s">
        <v>18950</v>
      </c>
      <c r="D62" s="243" t="s">
        <v>5025</v>
      </c>
      <c r="E62" s="244">
        <v>3.45</v>
      </c>
      <c r="F62" s="243" t="s">
        <v>5026</v>
      </c>
      <c r="G62" s="243" t="s">
        <v>640</v>
      </c>
      <c r="H62" s="245">
        <v>9349</v>
      </c>
    </row>
    <row r="63" spans="1:15" ht="12.75" customHeight="1" x14ac:dyDescent="0.2">
      <c r="A63" s="243" t="s">
        <v>18935</v>
      </c>
      <c r="B63" s="243" t="s">
        <v>18949</v>
      </c>
      <c r="C63" s="243" t="s">
        <v>18948</v>
      </c>
      <c r="D63" s="243" t="s">
        <v>1237</v>
      </c>
      <c r="E63" s="244">
        <v>10.72</v>
      </c>
      <c r="F63" s="243" t="s">
        <v>1236</v>
      </c>
      <c r="G63" s="243" t="s">
        <v>640</v>
      </c>
      <c r="H63" s="245">
        <v>9350</v>
      </c>
      <c r="K63" s="250"/>
    </row>
    <row r="64" spans="1:15" ht="12.75" customHeight="1" x14ac:dyDescent="0.2">
      <c r="A64" s="243" t="s">
        <v>18935</v>
      </c>
      <c r="B64" s="243" t="s">
        <v>18947</v>
      </c>
      <c r="C64" s="243" t="s">
        <v>18946</v>
      </c>
      <c r="D64" s="243" t="s">
        <v>18945</v>
      </c>
      <c r="E64" s="244">
        <v>1.36</v>
      </c>
      <c r="F64" s="243" t="s">
        <v>18944</v>
      </c>
      <c r="G64" s="243" t="s">
        <v>640</v>
      </c>
      <c r="H64" s="245">
        <v>9351</v>
      </c>
    </row>
    <row r="65" spans="1:8" ht="12.75" customHeight="1" x14ac:dyDescent="0.2">
      <c r="A65" s="243" t="s">
        <v>18935</v>
      </c>
      <c r="B65" s="243" t="s">
        <v>18943</v>
      </c>
      <c r="C65" s="243" t="s">
        <v>18942</v>
      </c>
      <c r="D65" s="243" t="s">
        <v>1475</v>
      </c>
      <c r="E65" s="244">
        <v>1.68</v>
      </c>
      <c r="F65" s="243" t="s">
        <v>1474</v>
      </c>
      <c r="G65" s="243" t="s">
        <v>640</v>
      </c>
      <c r="H65" s="245">
        <v>9352</v>
      </c>
    </row>
    <row r="66" spans="1:8" ht="12.75" customHeight="1" x14ac:dyDescent="0.2">
      <c r="A66" s="243" t="s">
        <v>18935</v>
      </c>
      <c r="B66" s="243" t="s">
        <v>18941</v>
      </c>
      <c r="C66" s="243" t="s">
        <v>18940</v>
      </c>
      <c r="D66" s="243" t="s">
        <v>1034</v>
      </c>
      <c r="E66" s="244">
        <v>3.7</v>
      </c>
      <c r="F66" s="243" t="s">
        <v>1033</v>
      </c>
      <c r="G66" s="243" t="s">
        <v>640</v>
      </c>
      <c r="H66" s="245">
        <v>9353</v>
      </c>
    </row>
    <row r="67" spans="1:8" ht="12.75" customHeight="1" x14ac:dyDescent="0.2">
      <c r="A67" s="243" t="s">
        <v>18935</v>
      </c>
      <c r="B67" s="243" t="s">
        <v>18939</v>
      </c>
      <c r="C67" s="243" t="s">
        <v>18938</v>
      </c>
      <c r="D67" s="243" t="s">
        <v>3716</v>
      </c>
      <c r="E67" s="244">
        <v>12.34</v>
      </c>
      <c r="F67" s="243" t="s">
        <v>3717</v>
      </c>
      <c r="G67" s="243" t="s">
        <v>640</v>
      </c>
      <c r="H67" s="245">
        <v>9354</v>
      </c>
    </row>
    <row r="68" spans="1:8" ht="12.75" customHeight="1" x14ac:dyDescent="0.2">
      <c r="A68" s="243" t="s">
        <v>18935</v>
      </c>
      <c r="B68" s="243" t="s">
        <v>18937</v>
      </c>
      <c r="C68" s="243" t="s">
        <v>18936</v>
      </c>
      <c r="D68" s="243" t="s">
        <v>5180</v>
      </c>
      <c r="E68" s="244">
        <v>3.71</v>
      </c>
      <c r="F68" s="243" t="s">
        <v>5181</v>
      </c>
      <c r="G68" s="243" t="s">
        <v>640</v>
      </c>
      <c r="H68" s="245">
        <v>9355</v>
      </c>
    </row>
    <row r="69" spans="1:8" ht="12.75" customHeight="1" x14ac:dyDescent="0.2">
      <c r="A69" s="243" t="s">
        <v>18935</v>
      </c>
      <c r="B69" s="243" t="s">
        <v>18934</v>
      </c>
      <c r="C69" s="243" t="s">
        <v>18933</v>
      </c>
      <c r="D69" s="243" t="s">
        <v>18932</v>
      </c>
      <c r="E69" s="244">
        <v>65.38</v>
      </c>
      <c r="F69" s="243" t="s">
        <v>18931</v>
      </c>
      <c r="G69" s="243" t="s">
        <v>640</v>
      </c>
      <c r="H69" s="245">
        <v>9356</v>
      </c>
    </row>
    <row r="70" spans="1:8" ht="12.75" customHeight="1" x14ac:dyDescent="0.2">
      <c r="A70" s="243"/>
      <c r="B70" s="243"/>
      <c r="C70" s="247" t="s">
        <v>3578</v>
      </c>
      <c r="D70" s="243"/>
      <c r="E70" s="246">
        <f>SUM(E45:E69)</f>
        <v>229.85000000000002</v>
      </c>
      <c r="F70" s="243"/>
      <c r="G70" s="243"/>
      <c r="H70" s="245"/>
    </row>
    <row r="71" spans="1:8" ht="12.75" customHeight="1" x14ac:dyDescent="0.2">
      <c r="A71" s="243" t="s">
        <v>18911</v>
      </c>
      <c r="B71" s="243" t="s">
        <v>18930</v>
      </c>
      <c r="C71" s="243" t="s">
        <v>18929</v>
      </c>
      <c r="D71" s="243" t="s">
        <v>11518</v>
      </c>
      <c r="E71" s="244">
        <v>20.82</v>
      </c>
      <c r="F71" s="243" t="s">
        <v>11517</v>
      </c>
      <c r="G71" s="243" t="s">
        <v>640</v>
      </c>
      <c r="H71" s="245">
        <v>9357</v>
      </c>
    </row>
    <row r="72" spans="1:8" ht="12.75" customHeight="1" x14ac:dyDescent="0.2">
      <c r="A72" s="243" t="s">
        <v>18911</v>
      </c>
      <c r="B72" s="243" t="s">
        <v>18928</v>
      </c>
      <c r="C72" s="243" t="s">
        <v>18927</v>
      </c>
      <c r="D72" s="243" t="s">
        <v>4632</v>
      </c>
      <c r="E72" s="244">
        <v>2.87</v>
      </c>
      <c r="F72" s="243" t="s">
        <v>4633</v>
      </c>
      <c r="G72" s="243" t="s">
        <v>640</v>
      </c>
      <c r="H72" s="245">
        <v>9358</v>
      </c>
    </row>
    <row r="73" spans="1:8" ht="12.75" customHeight="1" x14ac:dyDescent="0.2">
      <c r="A73" s="243" t="s">
        <v>18911</v>
      </c>
      <c r="B73" s="243" t="s">
        <v>18926</v>
      </c>
      <c r="C73" s="243" t="s">
        <v>18925</v>
      </c>
      <c r="D73" s="243" t="s">
        <v>5718</v>
      </c>
      <c r="E73" s="244">
        <v>2.4900000000000002</v>
      </c>
      <c r="F73" s="243" t="s">
        <v>5719</v>
      </c>
      <c r="G73" s="243" t="s">
        <v>640</v>
      </c>
      <c r="H73" s="245">
        <v>9359</v>
      </c>
    </row>
    <row r="74" spans="1:8" ht="12.75" customHeight="1" x14ac:dyDescent="0.2">
      <c r="A74" s="243" t="s">
        <v>18911</v>
      </c>
      <c r="B74" s="243" t="s">
        <v>13982</v>
      </c>
      <c r="C74" s="243" t="s">
        <v>18924</v>
      </c>
      <c r="D74" s="243" t="s">
        <v>3899</v>
      </c>
      <c r="E74" s="244">
        <v>10.96</v>
      </c>
      <c r="F74" s="243" t="s">
        <v>3900</v>
      </c>
      <c r="G74" s="243" t="s">
        <v>640</v>
      </c>
      <c r="H74" s="245">
        <v>9360</v>
      </c>
    </row>
    <row r="75" spans="1:8" ht="12.75" customHeight="1" x14ac:dyDescent="0.2">
      <c r="A75" s="243" t="s">
        <v>18911</v>
      </c>
      <c r="B75" s="243" t="s">
        <v>18923</v>
      </c>
      <c r="C75" s="243" t="s">
        <v>18922</v>
      </c>
      <c r="D75" s="243" t="s">
        <v>1325</v>
      </c>
      <c r="E75" s="244">
        <v>3.87</v>
      </c>
      <c r="F75" s="243" t="s">
        <v>1324</v>
      </c>
      <c r="G75" s="243" t="s">
        <v>640</v>
      </c>
      <c r="H75" s="245">
        <v>9361</v>
      </c>
    </row>
    <row r="76" spans="1:8" ht="12.75" customHeight="1" x14ac:dyDescent="0.2">
      <c r="A76" s="243" t="s">
        <v>18911</v>
      </c>
      <c r="B76" s="243" t="s">
        <v>18921</v>
      </c>
      <c r="C76" s="243" t="s">
        <v>18920</v>
      </c>
      <c r="D76" s="243" t="s">
        <v>1405</v>
      </c>
      <c r="E76" s="244">
        <v>6.68</v>
      </c>
      <c r="F76" s="243" t="s">
        <v>1404</v>
      </c>
      <c r="G76" s="243" t="s">
        <v>640</v>
      </c>
      <c r="H76" s="245">
        <v>9362</v>
      </c>
    </row>
    <row r="77" spans="1:8" ht="12.75" customHeight="1" x14ac:dyDescent="0.2">
      <c r="A77" s="243" t="s">
        <v>18911</v>
      </c>
      <c r="B77" s="243" t="s">
        <v>18919</v>
      </c>
      <c r="C77" s="243" t="s">
        <v>18918</v>
      </c>
      <c r="D77" s="243" t="s">
        <v>3089</v>
      </c>
      <c r="E77" s="244">
        <v>2.4900000000000002</v>
      </c>
      <c r="F77" s="243" t="s">
        <v>3090</v>
      </c>
      <c r="G77" s="243" t="s">
        <v>640</v>
      </c>
      <c r="H77" s="245">
        <v>9363</v>
      </c>
    </row>
    <row r="78" spans="1:8" ht="12.75" customHeight="1" x14ac:dyDescent="0.2">
      <c r="A78" s="243" t="s">
        <v>18911</v>
      </c>
      <c r="B78" s="243" t="s">
        <v>18917</v>
      </c>
      <c r="C78" s="243" t="s">
        <v>18916</v>
      </c>
      <c r="D78" s="243" t="s">
        <v>6054</v>
      </c>
      <c r="E78" s="244">
        <v>1.68</v>
      </c>
      <c r="F78" s="243" t="s">
        <v>6055</v>
      </c>
      <c r="G78" s="243" t="s">
        <v>640</v>
      </c>
      <c r="H78" s="245">
        <v>9364</v>
      </c>
    </row>
    <row r="79" spans="1:8" ht="12.75" customHeight="1" x14ac:dyDescent="0.2">
      <c r="A79" s="243" t="s">
        <v>18911</v>
      </c>
      <c r="B79" s="243" t="s">
        <v>18915</v>
      </c>
      <c r="C79" s="243" t="s">
        <v>18914</v>
      </c>
      <c r="D79" s="243" t="s">
        <v>1007</v>
      </c>
      <c r="E79" s="244">
        <v>1.68</v>
      </c>
      <c r="F79" s="243" t="s">
        <v>1006</v>
      </c>
      <c r="G79" s="243" t="s">
        <v>640</v>
      </c>
      <c r="H79" s="245">
        <v>9365</v>
      </c>
    </row>
    <row r="80" spans="1:8" ht="12.75" customHeight="1" x14ac:dyDescent="0.2">
      <c r="A80" s="243" t="s">
        <v>18911</v>
      </c>
      <c r="B80" s="243" t="s">
        <v>18913</v>
      </c>
      <c r="C80" s="243" t="s">
        <v>18912</v>
      </c>
      <c r="D80" s="243" t="s">
        <v>871</v>
      </c>
      <c r="E80" s="244">
        <v>3.48</v>
      </c>
      <c r="F80" s="243" t="s">
        <v>870</v>
      </c>
      <c r="G80" s="243" t="s">
        <v>640</v>
      </c>
      <c r="H80" s="245">
        <v>9366</v>
      </c>
    </row>
    <row r="81" spans="1:9" ht="12.75" customHeight="1" x14ac:dyDescent="0.2">
      <c r="A81" s="243" t="s">
        <v>18911</v>
      </c>
      <c r="B81" s="243" t="s">
        <v>18910</v>
      </c>
      <c r="C81" s="243" t="s">
        <v>18909</v>
      </c>
      <c r="D81" s="243" t="s">
        <v>1220</v>
      </c>
      <c r="E81" s="244">
        <v>7.58</v>
      </c>
      <c r="F81" s="243" t="s">
        <v>1219</v>
      </c>
      <c r="G81" s="243" t="s">
        <v>640</v>
      </c>
      <c r="H81" s="245">
        <v>9367</v>
      </c>
    </row>
    <row r="82" spans="1:9" ht="12.75" customHeight="1" x14ac:dyDescent="0.2">
      <c r="A82" s="243"/>
      <c r="B82" s="243"/>
      <c r="C82" s="247" t="s">
        <v>3578</v>
      </c>
      <c r="D82" s="243"/>
      <c r="E82" s="246">
        <f>SUM(E71:E81)</f>
        <v>64.599999999999994</v>
      </c>
      <c r="F82" s="243"/>
      <c r="G82" s="243"/>
      <c r="H82" s="245"/>
    </row>
    <row r="83" spans="1:9" ht="12.75" customHeight="1" x14ac:dyDescent="0.2">
      <c r="A83" s="243" t="s">
        <v>18893</v>
      </c>
      <c r="B83" s="243" t="s">
        <v>15972</v>
      </c>
      <c r="C83" s="243" t="s">
        <v>18908</v>
      </c>
      <c r="D83" s="243" t="s">
        <v>1170</v>
      </c>
      <c r="E83" s="244">
        <v>3.32</v>
      </c>
      <c r="F83" s="243" t="s">
        <v>1169</v>
      </c>
      <c r="G83" s="243" t="s">
        <v>640</v>
      </c>
      <c r="H83" s="245">
        <v>9368</v>
      </c>
    </row>
    <row r="84" spans="1:9" ht="12.75" customHeight="1" x14ac:dyDescent="0.2">
      <c r="A84" s="243" t="s">
        <v>18893</v>
      </c>
      <c r="B84" s="243" t="s">
        <v>18907</v>
      </c>
      <c r="C84" s="243" t="s">
        <v>18906</v>
      </c>
      <c r="D84" s="243" t="s">
        <v>11428</v>
      </c>
      <c r="E84" s="244">
        <v>1.68</v>
      </c>
      <c r="F84" s="243" t="s">
        <v>11427</v>
      </c>
      <c r="G84" s="243" t="s">
        <v>640</v>
      </c>
      <c r="H84" s="245">
        <v>9369</v>
      </c>
    </row>
    <row r="85" spans="1:9" ht="12.75" customHeight="1" x14ac:dyDescent="0.2">
      <c r="A85" s="243" t="s">
        <v>18893</v>
      </c>
      <c r="B85" s="243" t="s">
        <v>18905</v>
      </c>
      <c r="C85" s="243" t="s">
        <v>18904</v>
      </c>
      <c r="D85" s="243" t="s">
        <v>1016</v>
      </c>
      <c r="E85" s="244">
        <v>8.3800000000000008</v>
      </c>
      <c r="F85" s="243" t="s">
        <v>1015</v>
      </c>
      <c r="G85" s="243" t="s">
        <v>640</v>
      </c>
      <c r="H85" s="245">
        <v>9370</v>
      </c>
    </row>
    <row r="86" spans="1:9" ht="12.75" customHeight="1" x14ac:dyDescent="0.2">
      <c r="A86" s="243" t="s">
        <v>18893</v>
      </c>
      <c r="B86" s="243" t="s">
        <v>18903</v>
      </c>
      <c r="C86" s="243" t="s">
        <v>18902</v>
      </c>
      <c r="D86" s="243" t="s">
        <v>13260</v>
      </c>
      <c r="E86" s="244">
        <v>1.68</v>
      </c>
      <c r="F86" s="243" t="s">
        <v>13259</v>
      </c>
      <c r="G86" s="243" t="s">
        <v>640</v>
      </c>
      <c r="H86" s="245">
        <v>9371</v>
      </c>
    </row>
    <row r="87" spans="1:9" ht="12.75" customHeight="1" x14ac:dyDescent="0.2">
      <c r="A87" s="243" t="s">
        <v>18893</v>
      </c>
      <c r="B87" s="243" t="s">
        <v>18901</v>
      </c>
      <c r="C87" s="243" t="s">
        <v>18900</v>
      </c>
      <c r="D87" s="243" t="s">
        <v>18899</v>
      </c>
      <c r="E87" s="244">
        <v>4.4000000000000004</v>
      </c>
      <c r="F87" s="243" t="s">
        <v>18898</v>
      </c>
      <c r="G87" s="243" t="s">
        <v>640</v>
      </c>
      <c r="H87" s="245">
        <v>9372</v>
      </c>
    </row>
    <row r="88" spans="1:9" ht="12.75" customHeight="1" x14ac:dyDescent="0.2">
      <c r="A88" s="243" t="s">
        <v>18893</v>
      </c>
      <c r="B88" s="243" t="s">
        <v>18897</v>
      </c>
      <c r="C88" s="243" t="s">
        <v>18896</v>
      </c>
      <c r="D88" s="243" t="s">
        <v>4735</v>
      </c>
      <c r="E88" s="244">
        <v>1.69</v>
      </c>
      <c r="F88" s="243" t="s">
        <v>4736</v>
      </c>
      <c r="G88" s="243" t="s">
        <v>640</v>
      </c>
      <c r="H88" s="245">
        <v>9373</v>
      </c>
      <c r="I88" s="249"/>
    </row>
    <row r="89" spans="1:9" ht="12.75" customHeight="1" x14ac:dyDescent="0.2">
      <c r="A89" s="243" t="s">
        <v>18893</v>
      </c>
      <c r="B89" s="243" t="s">
        <v>18895</v>
      </c>
      <c r="C89" s="243" t="s">
        <v>18894</v>
      </c>
      <c r="D89" s="243" t="s">
        <v>4849</v>
      </c>
      <c r="E89" s="244">
        <v>5.04</v>
      </c>
      <c r="F89" s="243" t="s">
        <v>4850</v>
      </c>
      <c r="G89" s="243" t="s">
        <v>640</v>
      </c>
      <c r="H89" s="245">
        <v>9374</v>
      </c>
    </row>
    <row r="90" spans="1:9" ht="12.75" customHeight="1" x14ac:dyDescent="0.2">
      <c r="A90" s="243" t="s">
        <v>18893</v>
      </c>
      <c r="B90" s="243" t="s">
        <v>5070</v>
      </c>
      <c r="C90" s="243" t="s">
        <v>18892</v>
      </c>
      <c r="D90" s="243" t="s">
        <v>3679</v>
      </c>
      <c r="E90" s="244">
        <v>20.92</v>
      </c>
      <c r="F90" s="243" t="s">
        <v>3680</v>
      </c>
      <c r="G90" s="243" t="s">
        <v>640</v>
      </c>
      <c r="H90" s="245">
        <v>9375</v>
      </c>
    </row>
    <row r="91" spans="1:9" ht="12.75" customHeight="1" x14ac:dyDescent="0.2">
      <c r="A91" s="243"/>
      <c r="B91" s="243"/>
      <c r="C91" s="247" t="s">
        <v>3578</v>
      </c>
      <c r="D91" s="243"/>
      <c r="E91" s="246">
        <f>SUM(E83:E90)</f>
        <v>47.11</v>
      </c>
      <c r="F91" s="243"/>
      <c r="G91" s="243"/>
      <c r="H91" s="245"/>
    </row>
    <row r="92" spans="1:9" ht="12.75" customHeight="1" x14ac:dyDescent="0.2">
      <c r="A92" s="243" t="s">
        <v>18845</v>
      </c>
      <c r="B92" s="243" t="s">
        <v>18891</v>
      </c>
      <c r="C92" s="243" t="s">
        <v>18890</v>
      </c>
      <c r="D92" s="243" t="s">
        <v>4392</v>
      </c>
      <c r="E92" s="244">
        <v>1.9</v>
      </c>
      <c r="F92" s="243" t="s">
        <v>4393</v>
      </c>
      <c r="G92" s="243" t="s">
        <v>640</v>
      </c>
      <c r="H92" s="245">
        <v>9716</v>
      </c>
    </row>
    <row r="93" spans="1:9" ht="12.75" customHeight="1" x14ac:dyDescent="0.2">
      <c r="A93" s="243" t="s">
        <v>18845</v>
      </c>
      <c r="B93" s="243" t="s">
        <v>18889</v>
      </c>
      <c r="C93" s="243" t="s">
        <v>18888</v>
      </c>
      <c r="D93" s="243" t="s">
        <v>3324</v>
      </c>
      <c r="E93" s="244">
        <v>2.0699999999999998</v>
      </c>
      <c r="F93" s="243" t="s">
        <v>3325</v>
      </c>
      <c r="G93" s="243" t="s">
        <v>640</v>
      </c>
      <c r="H93" s="245">
        <v>9717</v>
      </c>
    </row>
    <row r="94" spans="1:9" ht="12.75" customHeight="1" x14ac:dyDescent="0.2">
      <c r="A94" s="243" t="s">
        <v>18845</v>
      </c>
      <c r="B94" s="243" t="s">
        <v>18887</v>
      </c>
      <c r="C94" s="243" t="s">
        <v>18886</v>
      </c>
      <c r="D94" s="243" t="s">
        <v>13835</v>
      </c>
      <c r="E94" s="244">
        <v>24.36</v>
      </c>
      <c r="F94" s="243" t="s">
        <v>13834</v>
      </c>
      <c r="G94" s="243" t="s">
        <v>640</v>
      </c>
      <c r="H94" s="245">
        <v>9718</v>
      </c>
    </row>
    <row r="95" spans="1:9" ht="12.75" customHeight="1" x14ac:dyDescent="0.2">
      <c r="A95" s="243" t="s">
        <v>18845</v>
      </c>
      <c r="B95" s="243" t="s">
        <v>18885</v>
      </c>
      <c r="C95" s="243" t="s">
        <v>18884</v>
      </c>
      <c r="D95" s="243" t="s">
        <v>4234</v>
      </c>
      <c r="E95" s="244">
        <v>7.81</v>
      </c>
      <c r="F95" s="243" t="s">
        <v>4235</v>
      </c>
      <c r="G95" s="243" t="s">
        <v>640</v>
      </c>
      <c r="H95" s="245">
        <v>9719</v>
      </c>
    </row>
    <row r="96" spans="1:9" ht="12.75" customHeight="1" x14ac:dyDescent="0.2">
      <c r="A96" s="243" t="s">
        <v>18845</v>
      </c>
      <c r="B96" s="243" t="s">
        <v>18883</v>
      </c>
      <c r="C96" s="243" t="s">
        <v>18882</v>
      </c>
      <c r="D96" s="243" t="s">
        <v>894</v>
      </c>
      <c r="E96" s="244">
        <v>3.71</v>
      </c>
      <c r="F96" s="243" t="s">
        <v>893</v>
      </c>
      <c r="G96" s="243" t="s">
        <v>640</v>
      </c>
      <c r="H96" s="245">
        <v>9720</v>
      </c>
    </row>
    <row r="97" spans="1:8" ht="12.75" customHeight="1" x14ac:dyDescent="0.2">
      <c r="A97" s="243" t="s">
        <v>18845</v>
      </c>
      <c r="B97" s="243" t="s">
        <v>18881</v>
      </c>
      <c r="C97" s="243" t="s">
        <v>18880</v>
      </c>
      <c r="D97" s="243" t="s">
        <v>952</v>
      </c>
      <c r="E97" s="244">
        <v>3.16</v>
      </c>
      <c r="F97" s="243" t="s">
        <v>951</v>
      </c>
      <c r="G97" s="243" t="s">
        <v>640</v>
      </c>
      <c r="H97" s="245">
        <v>9721</v>
      </c>
    </row>
    <row r="98" spans="1:8" ht="12.75" customHeight="1" x14ac:dyDescent="0.2">
      <c r="A98" s="243" t="s">
        <v>18845</v>
      </c>
      <c r="B98" s="243" t="s">
        <v>18879</v>
      </c>
      <c r="C98" s="243" t="s">
        <v>18878</v>
      </c>
      <c r="D98" s="243" t="s">
        <v>16292</v>
      </c>
      <c r="E98" s="244">
        <v>4.4000000000000004</v>
      </c>
      <c r="F98" s="243" t="s">
        <v>16291</v>
      </c>
      <c r="G98" s="243" t="s">
        <v>640</v>
      </c>
      <c r="H98" s="245">
        <v>9722</v>
      </c>
    </row>
    <row r="99" spans="1:8" ht="12.75" customHeight="1" x14ac:dyDescent="0.2">
      <c r="A99" s="243" t="s">
        <v>18845</v>
      </c>
      <c r="B99" s="243" t="s">
        <v>18877</v>
      </c>
      <c r="C99" s="243" t="s">
        <v>18876</v>
      </c>
      <c r="D99" s="243" t="s">
        <v>932</v>
      </c>
      <c r="E99" s="244">
        <v>1.68</v>
      </c>
      <c r="F99" s="243" t="s">
        <v>931</v>
      </c>
      <c r="G99" s="243" t="s">
        <v>640</v>
      </c>
      <c r="H99" s="245">
        <v>9723</v>
      </c>
    </row>
    <row r="100" spans="1:8" ht="12.75" customHeight="1" x14ac:dyDescent="0.2">
      <c r="A100" s="243" t="s">
        <v>18845</v>
      </c>
      <c r="B100" s="243" t="s">
        <v>18875</v>
      </c>
      <c r="C100" s="243" t="s">
        <v>18874</v>
      </c>
      <c r="D100" s="243" t="s">
        <v>16540</v>
      </c>
      <c r="E100" s="244">
        <v>1.46</v>
      </c>
      <c r="F100" s="243" t="s">
        <v>16539</v>
      </c>
      <c r="G100" s="243" t="s">
        <v>640</v>
      </c>
      <c r="H100" s="245">
        <v>9724</v>
      </c>
    </row>
    <row r="101" spans="1:8" ht="12.75" customHeight="1" x14ac:dyDescent="0.2">
      <c r="A101" s="243" t="s">
        <v>18845</v>
      </c>
      <c r="B101" s="243" t="s">
        <v>18873</v>
      </c>
      <c r="C101" s="243" t="s">
        <v>18872</v>
      </c>
      <c r="D101" s="243" t="s">
        <v>1050</v>
      </c>
      <c r="E101" s="244">
        <v>1.68</v>
      </c>
      <c r="F101" s="243" t="s">
        <v>1049</v>
      </c>
      <c r="G101" s="243" t="s">
        <v>640</v>
      </c>
      <c r="H101" s="245">
        <v>9725</v>
      </c>
    </row>
    <row r="102" spans="1:8" ht="12.75" customHeight="1" x14ac:dyDescent="0.2">
      <c r="A102" s="243" t="s">
        <v>18845</v>
      </c>
      <c r="B102" s="243" t="s">
        <v>18871</v>
      </c>
      <c r="C102" s="243" t="s">
        <v>18870</v>
      </c>
      <c r="D102" s="243" t="s">
        <v>5951</v>
      </c>
      <c r="E102" s="244">
        <v>2.2599999999999998</v>
      </c>
      <c r="F102" s="243" t="s">
        <v>5952</v>
      </c>
      <c r="G102" s="243" t="s">
        <v>640</v>
      </c>
      <c r="H102" s="245">
        <v>9726</v>
      </c>
    </row>
    <row r="103" spans="1:8" ht="12.75" customHeight="1" x14ac:dyDescent="0.2">
      <c r="A103" s="243" t="s">
        <v>18845</v>
      </c>
      <c r="B103" s="243" t="s">
        <v>18869</v>
      </c>
      <c r="C103" s="243" t="s">
        <v>18868</v>
      </c>
      <c r="D103" s="243" t="s">
        <v>3503</v>
      </c>
      <c r="E103" s="244">
        <v>1.79</v>
      </c>
      <c r="F103" s="243" t="s">
        <v>3504</v>
      </c>
      <c r="G103" s="243" t="s">
        <v>640</v>
      </c>
      <c r="H103" s="245">
        <v>9727</v>
      </c>
    </row>
    <row r="104" spans="1:8" ht="12.75" customHeight="1" x14ac:dyDescent="0.2">
      <c r="A104" s="243" t="s">
        <v>18845</v>
      </c>
      <c r="B104" s="243" t="s">
        <v>18867</v>
      </c>
      <c r="C104" s="243" t="s">
        <v>18866</v>
      </c>
      <c r="D104" s="243" t="s">
        <v>999</v>
      </c>
      <c r="E104" s="244">
        <v>2.65</v>
      </c>
      <c r="F104" s="243" t="s">
        <v>998</v>
      </c>
      <c r="G104" s="243" t="s">
        <v>640</v>
      </c>
      <c r="H104" s="245">
        <v>9728</v>
      </c>
    </row>
    <row r="105" spans="1:8" ht="12.75" customHeight="1" x14ac:dyDescent="0.2">
      <c r="A105" s="243" t="s">
        <v>18845</v>
      </c>
      <c r="B105" s="243" t="s">
        <v>18865</v>
      </c>
      <c r="C105" s="243" t="s">
        <v>18864</v>
      </c>
      <c r="D105" s="243" t="s">
        <v>4154</v>
      </c>
      <c r="E105" s="244">
        <v>3.43</v>
      </c>
      <c r="F105" s="243" t="s">
        <v>4151</v>
      </c>
      <c r="G105" s="243" t="s">
        <v>640</v>
      </c>
      <c r="H105" s="245">
        <v>9729</v>
      </c>
    </row>
    <row r="106" spans="1:8" ht="12.75" customHeight="1" x14ac:dyDescent="0.2">
      <c r="A106" s="243" t="s">
        <v>18845</v>
      </c>
      <c r="B106" s="243" t="s">
        <v>18863</v>
      </c>
      <c r="C106" s="243" t="s">
        <v>18862</v>
      </c>
      <c r="D106" s="243" t="s">
        <v>4150</v>
      </c>
      <c r="E106" s="244">
        <v>3.38</v>
      </c>
      <c r="F106" s="243" t="s">
        <v>4151</v>
      </c>
      <c r="G106" s="243" t="s">
        <v>640</v>
      </c>
      <c r="H106" s="245">
        <v>9730</v>
      </c>
    </row>
    <row r="107" spans="1:8" ht="12.75" customHeight="1" x14ac:dyDescent="0.2">
      <c r="A107" s="243" t="s">
        <v>18845</v>
      </c>
      <c r="B107" s="243" t="s">
        <v>18861</v>
      </c>
      <c r="C107" s="243" t="s">
        <v>18860</v>
      </c>
      <c r="D107" s="243" t="s">
        <v>18309</v>
      </c>
      <c r="E107" s="244">
        <v>0.32</v>
      </c>
      <c r="F107" s="243" t="s">
        <v>18308</v>
      </c>
      <c r="G107" s="243" t="s">
        <v>640</v>
      </c>
      <c r="H107" s="245">
        <v>9731</v>
      </c>
    </row>
    <row r="108" spans="1:8" ht="12.75" customHeight="1" x14ac:dyDescent="0.2">
      <c r="A108" s="243" t="s">
        <v>18845</v>
      </c>
      <c r="B108" s="243" t="s">
        <v>18859</v>
      </c>
      <c r="C108" s="243" t="s">
        <v>18858</v>
      </c>
      <c r="D108" s="243" t="s">
        <v>11128</v>
      </c>
      <c r="E108" s="244">
        <v>5.22</v>
      </c>
      <c r="F108" s="243" t="s">
        <v>11127</v>
      </c>
      <c r="G108" s="243" t="s">
        <v>640</v>
      </c>
      <c r="H108" s="245">
        <v>9732</v>
      </c>
    </row>
    <row r="109" spans="1:8" ht="12.75" customHeight="1" x14ac:dyDescent="0.2">
      <c r="A109" s="243" t="s">
        <v>18845</v>
      </c>
      <c r="B109" s="243" t="s">
        <v>18857</v>
      </c>
      <c r="C109" s="243" t="s">
        <v>18856</v>
      </c>
      <c r="D109" s="243" t="s">
        <v>18855</v>
      </c>
      <c r="E109" s="244">
        <v>0.51</v>
      </c>
      <c r="F109" s="243" t="s">
        <v>18854</v>
      </c>
      <c r="G109" s="243" t="s">
        <v>640</v>
      </c>
      <c r="H109" s="245">
        <v>9733</v>
      </c>
    </row>
    <row r="110" spans="1:8" ht="12.75" customHeight="1" x14ac:dyDescent="0.2">
      <c r="A110" s="243" t="s">
        <v>18845</v>
      </c>
      <c r="B110" s="243" t="s">
        <v>18853</v>
      </c>
      <c r="C110" s="243" t="s">
        <v>18852</v>
      </c>
      <c r="D110" s="243" t="s">
        <v>3933</v>
      </c>
      <c r="E110" s="244">
        <v>2.98</v>
      </c>
      <c r="F110" s="243" t="s">
        <v>3934</v>
      </c>
      <c r="G110" s="243" t="s">
        <v>640</v>
      </c>
      <c r="H110" s="245">
        <v>9734</v>
      </c>
    </row>
    <row r="111" spans="1:8" ht="12.75" customHeight="1" x14ac:dyDescent="0.2">
      <c r="A111" s="243" t="s">
        <v>18845</v>
      </c>
      <c r="B111" s="243" t="s">
        <v>18851</v>
      </c>
      <c r="C111" s="243" t="s">
        <v>18850</v>
      </c>
      <c r="D111" s="243" t="s">
        <v>1382</v>
      </c>
      <c r="E111" s="244">
        <v>3.91</v>
      </c>
      <c r="F111" s="243" t="s">
        <v>1381</v>
      </c>
      <c r="G111" s="243" t="s">
        <v>640</v>
      </c>
      <c r="H111" s="245">
        <v>9735</v>
      </c>
    </row>
    <row r="112" spans="1:8" ht="12.75" customHeight="1" x14ac:dyDescent="0.2">
      <c r="A112" s="243" t="s">
        <v>18845</v>
      </c>
      <c r="B112" s="243" t="s">
        <v>18849</v>
      </c>
      <c r="C112" s="243" t="s">
        <v>18848</v>
      </c>
      <c r="D112" s="243" t="s">
        <v>4527</v>
      </c>
      <c r="E112" s="244">
        <v>9.1999999999999993</v>
      </c>
      <c r="F112" s="243" t="s">
        <v>4528</v>
      </c>
      <c r="G112" s="243" t="s">
        <v>640</v>
      </c>
      <c r="H112" s="245">
        <v>9736</v>
      </c>
    </row>
    <row r="113" spans="1:11" ht="12.75" customHeight="1" x14ac:dyDescent="0.2">
      <c r="A113" s="243" t="s">
        <v>18845</v>
      </c>
      <c r="B113" s="243" t="s">
        <v>18847</v>
      </c>
      <c r="C113" s="243" t="s">
        <v>18846</v>
      </c>
      <c r="D113" s="243" t="s">
        <v>13962</v>
      </c>
      <c r="E113" s="244">
        <v>28.45</v>
      </c>
      <c r="F113" s="243" t="s">
        <v>13961</v>
      </c>
      <c r="G113" s="243" t="s">
        <v>640</v>
      </c>
      <c r="H113" s="245">
        <v>9737</v>
      </c>
    </row>
    <row r="114" spans="1:11" ht="12.75" customHeight="1" x14ac:dyDescent="0.2">
      <c r="A114" s="243" t="s">
        <v>18845</v>
      </c>
      <c r="B114" s="243" t="s">
        <v>18844</v>
      </c>
      <c r="C114" s="243" t="s">
        <v>18843</v>
      </c>
      <c r="D114" s="243" t="s">
        <v>3084</v>
      </c>
      <c r="E114" s="244">
        <v>1.71</v>
      </c>
      <c r="F114" s="243" t="s">
        <v>3085</v>
      </c>
      <c r="G114" s="243" t="s">
        <v>640</v>
      </c>
      <c r="H114" s="245">
        <v>9738</v>
      </c>
    </row>
    <row r="115" spans="1:11" ht="12.75" customHeight="1" x14ac:dyDescent="0.2">
      <c r="A115" s="243"/>
      <c r="B115" s="243"/>
      <c r="C115" s="247" t="s">
        <v>3578</v>
      </c>
      <c r="D115" s="243"/>
      <c r="E115" s="246">
        <f>SUM(E92:E114)</f>
        <v>118.03999999999999</v>
      </c>
      <c r="F115" s="243"/>
      <c r="G115" s="243"/>
      <c r="H115" s="245"/>
    </row>
    <row r="116" spans="1:11" ht="12.75" customHeight="1" x14ac:dyDescent="0.2">
      <c r="A116" s="243" t="s">
        <v>18793</v>
      </c>
      <c r="B116" s="243" t="s">
        <v>18842</v>
      </c>
      <c r="C116" s="243" t="s">
        <v>18841</v>
      </c>
      <c r="D116" s="243" t="s">
        <v>1068</v>
      </c>
      <c r="E116" s="244">
        <v>1.75</v>
      </c>
      <c r="F116" s="243" t="s">
        <v>1067</v>
      </c>
      <c r="G116" s="243" t="s">
        <v>640</v>
      </c>
      <c r="H116" s="245">
        <v>9761</v>
      </c>
    </row>
    <row r="117" spans="1:11" ht="12.75" customHeight="1" x14ac:dyDescent="0.2">
      <c r="A117" s="243" t="s">
        <v>18793</v>
      </c>
      <c r="B117" s="243" t="s">
        <v>18840</v>
      </c>
      <c r="C117" s="243" t="s">
        <v>18839</v>
      </c>
      <c r="D117" s="243" t="s">
        <v>1235</v>
      </c>
      <c r="E117" s="244">
        <v>1.68</v>
      </c>
      <c r="F117" s="243" t="s">
        <v>1234</v>
      </c>
      <c r="G117" s="243" t="s">
        <v>640</v>
      </c>
      <c r="H117" s="245">
        <v>9762</v>
      </c>
    </row>
    <row r="118" spans="1:11" ht="12.75" customHeight="1" x14ac:dyDescent="0.2">
      <c r="A118" s="243" t="s">
        <v>18793</v>
      </c>
      <c r="B118" s="243" t="s">
        <v>18838</v>
      </c>
      <c r="C118" s="243" t="s">
        <v>18837</v>
      </c>
      <c r="D118" s="243" t="s">
        <v>4001</v>
      </c>
      <c r="E118" s="244">
        <v>3.73</v>
      </c>
      <c r="F118" s="243" t="s">
        <v>4002</v>
      </c>
      <c r="G118" s="243" t="s">
        <v>640</v>
      </c>
      <c r="H118" s="245">
        <v>9763</v>
      </c>
    </row>
    <row r="119" spans="1:11" ht="12.75" customHeight="1" x14ac:dyDescent="0.2">
      <c r="A119" s="243" t="s">
        <v>18793</v>
      </c>
      <c r="B119" s="243" t="s">
        <v>18836</v>
      </c>
      <c r="C119" s="243" t="s">
        <v>18835</v>
      </c>
      <c r="D119" s="243" t="s">
        <v>1210</v>
      </c>
      <c r="E119" s="244">
        <v>7.88</v>
      </c>
      <c r="F119" s="243" t="s">
        <v>1209</v>
      </c>
      <c r="G119" s="243" t="s">
        <v>640</v>
      </c>
      <c r="H119" s="245">
        <v>9764</v>
      </c>
    </row>
    <row r="120" spans="1:11" ht="12.75" customHeight="1" x14ac:dyDescent="0.2">
      <c r="A120" s="243" t="s">
        <v>18793</v>
      </c>
      <c r="B120" s="243" t="s">
        <v>18834</v>
      </c>
      <c r="C120" s="243" t="s">
        <v>18833</v>
      </c>
      <c r="D120" s="243" t="s">
        <v>1297</v>
      </c>
      <c r="E120" s="244">
        <v>6.27</v>
      </c>
      <c r="F120" s="243" t="s">
        <v>1296</v>
      </c>
      <c r="G120" s="243" t="s">
        <v>640</v>
      </c>
      <c r="H120" s="245">
        <v>9765</v>
      </c>
    </row>
    <row r="121" spans="1:11" ht="12.75" customHeight="1" x14ac:dyDescent="0.2">
      <c r="A121" s="243" t="s">
        <v>18793</v>
      </c>
      <c r="B121" s="243" t="s">
        <v>18832</v>
      </c>
      <c r="C121" s="243" t="s">
        <v>18831</v>
      </c>
      <c r="D121" s="243" t="s">
        <v>4093</v>
      </c>
      <c r="E121" s="244">
        <v>1.68</v>
      </c>
      <c r="F121" s="243" t="s">
        <v>4094</v>
      </c>
      <c r="G121" s="243" t="s">
        <v>640</v>
      </c>
      <c r="H121" s="245">
        <v>9766</v>
      </c>
    </row>
    <row r="122" spans="1:11" ht="12.75" customHeight="1" x14ac:dyDescent="0.2">
      <c r="A122" s="243" t="s">
        <v>18793</v>
      </c>
      <c r="B122" s="243" t="s">
        <v>18830</v>
      </c>
      <c r="C122" s="243" t="s">
        <v>18829</v>
      </c>
      <c r="D122" s="243" t="s">
        <v>4039</v>
      </c>
      <c r="E122" s="244">
        <v>5.91</v>
      </c>
      <c r="F122" s="243" t="s">
        <v>4040</v>
      </c>
      <c r="G122" s="243" t="s">
        <v>640</v>
      </c>
      <c r="H122" s="245">
        <v>9767</v>
      </c>
    </row>
    <row r="123" spans="1:11" ht="12.75" customHeight="1" x14ac:dyDescent="0.2">
      <c r="A123" s="243" t="s">
        <v>18793</v>
      </c>
      <c r="B123" s="243" t="s">
        <v>18828</v>
      </c>
      <c r="C123" s="243" t="s">
        <v>18827</v>
      </c>
      <c r="D123" s="243" t="s">
        <v>668</v>
      </c>
      <c r="E123" s="244">
        <v>1.68</v>
      </c>
      <c r="F123" s="243" t="s">
        <v>667</v>
      </c>
      <c r="G123" s="243" t="s">
        <v>640</v>
      </c>
      <c r="H123" s="245">
        <v>9768</v>
      </c>
      <c r="K123" s="248"/>
    </row>
    <row r="124" spans="1:11" ht="12.75" customHeight="1" x14ac:dyDescent="0.2">
      <c r="A124" s="243" t="s">
        <v>18793</v>
      </c>
      <c r="B124" s="243" t="s">
        <v>18826</v>
      </c>
      <c r="C124" s="243" t="s">
        <v>18825</v>
      </c>
      <c r="D124" s="243" t="s">
        <v>3866</v>
      </c>
      <c r="E124" s="244">
        <v>2.21</v>
      </c>
      <c r="F124" s="243" t="s">
        <v>3867</v>
      </c>
      <c r="G124" s="243" t="s">
        <v>640</v>
      </c>
      <c r="H124" s="245">
        <v>9769</v>
      </c>
      <c r="K124" s="248"/>
    </row>
    <row r="125" spans="1:11" ht="12.75" customHeight="1" x14ac:dyDescent="0.2">
      <c r="A125" s="243" t="s">
        <v>18793</v>
      </c>
      <c r="B125" s="243" t="s">
        <v>18319</v>
      </c>
      <c r="C125" s="243" t="s">
        <v>18824</v>
      </c>
      <c r="D125" s="243" t="s">
        <v>652</v>
      </c>
      <c r="E125" s="244">
        <v>3.88</v>
      </c>
      <c r="F125" s="243" t="s">
        <v>651</v>
      </c>
      <c r="G125" s="243" t="s">
        <v>640</v>
      </c>
      <c r="H125" s="245">
        <v>9770</v>
      </c>
      <c r="K125" s="248"/>
    </row>
    <row r="126" spans="1:11" ht="12.75" customHeight="1" x14ac:dyDescent="0.2">
      <c r="A126" s="243" t="s">
        <v>18793</v>
      </c>
      <c r="B126" s="243" t="s">
        <v>13481</v>
      </c>
      <c r="C126" s="243" t="s">
        <v>18823</v>
      </c>
      <c r="D126" s="243" t="s">
        <v>18822</v>
      </c>
      <c r="E126" s="244">
        <v>61.77</v>
      </c>
      <c r="F126" s="243" t="s">
        <v>18821</v>
      </c>
      <c r="G126" s="243" t="s">
        <v>640</v>
      </c>
      <c r="H126" s="245">
        <v>9771</v>
      </c>
      <c r="K126" s="248"/>
    </row>
    <row r="127" spans="1:11" ht="12.75" customHeight="1" x14ac:dyDescent="0.2">
      <c r="A127" s="243" t="s">
        <v>18793</v>
      </c>
      <c r="B127" s="243" t="s">
        <v>18820</v>
      </c>
      <c r="C127" s="243" t="s">
        <v>18819</v>
      </c>
      <c r="D127" s="243" t="s">
        <v>3945</v>
      </c>
      <c r="E127" s="244">
        <v>13.18</v>
      </c>
      <c r="F127" s="243" t="s">
        <v>3946</v>
      </c>
      <c r="G127" s="243" t="s">
        <v>640</v>
      </c>
      <c r="H127" s="245">
        <v>9772</v>
      </c>
      <c r="K127" s="248"/>
    </row>
    <row r="128" spans="1:11" ht="12.75" customHeight="1" x14ac:dyDescent="0.2">
      <c r="A128" s="243" t="s">
        <v>18793</v>
      </c>
      <c r="B128" s="243" t="s">
        <v>18818</v>
      </c>
      <c r="C128" s="243" t="s">
        <v>18817</v>
      </c>
      <c r="D128" s="243" t="s">
        <v>1583</v>
      </c>
      <c r="E128" s="244">
        <v>89.99</v>
      </c>
      <c r="F128" s="243" t="s">
        <v>1584</v>
      </c>
      <c r="G128" s="243" t="s">
        <v>640</v>
      </c>
      <c r="H128" s="245">
        <v>9773</v>
      </c>
      <c r="K128" s="248"/>
    </row>
    <row r="129" spans="1:11" ht="12.75" customHeight="1" x14ac:dyDescent="0.2">
      <c r="A129" s="243" t="s">
        <v>18793</v>
      </c>
      <c r="B129" s="243" t="s">
        <v>18816</v>
      </c>
      <c r="C129" s="243" t="s">
        <v>18815</v>
      </c>
      <c r="D129" s="243" t="s">
        <v>978</v>
      </c>
      <c r="E129" s="244">
        <v>0.84</v>
      </c>
      <c r="F129" s="243" t="s">
        <v>977</v>
      </c>
      <c r="G129" s="243" t="s">
        <v>640</v>
      </c>
      <c r="H129" s="245">
        <v>9774</v>
      </c>
      <c r="K129" s="248"/>
    </row>
    <row r="130" spans="1:11" ht="12.75" customHeight="1" x14ac:dyDescent="0.2">
      <c r="A130" s="243" t="s">
        <v>18793</v>
      </c>
      <c r="B130" s="243" t="s">
        <v>18814</v>
      </c>
      <c r="C130" s="243" t="s">
        <v>18813</v>
      </c>
      <c r="D130" s="243" t="s">
        <v>1005</v>
      </c>
      <c r="E130" s="244">
        <v>7.92</v>
      </c>
      <c r="F130" s="243" t="s">
        <v>1004</v>
      </c>
      <c r="G130" s="243" t="s">
        <v>640</v>
      </c>
      <c r="H130" s="245">
        <v>9775</v>
      </c>
    </row>
    <row r="131" spans="1:11" ht="12.75" customHeight="1" x14ac:dyDescent="0.2">
      <c r="A131" s="243" t="s">
        <v>18793</v>
      </c>
      <c r="B131" s="243" t="s">
        <v>18812</v>
      </c>
      <c r="C131" s="243" t="s">
        <v>18811</v>
      </c>
      <c r="D131" s="243" t="s">
        <v>11203</v>
      </c>
      <c r="E131" s="244">
        <v>1.74</v>
      </c>
      <c r="F131" s="243" t="s">
        <v>11202</v>
      </c>
      <c r="G131" s="243" t="s">
        <v>640</v>
      </c>
      <c r="H131" s="245">
        <v>9776</v>
      </c>
    </row>
    <row r="132" spans="1:11" ht="12.75" customHeight="1" x14ac:dyDescent="0.2">
      <c r="A132" s="243" t="s">
        <v>18793</v>
      </c>
      <c r="B132" s="243" t="s">
        <v>18810</v>
      </c>
      <c r="C132" s="243" t="s">
        <v>18809</v>
      </c>
      <c r="D132" s="243" t="s">
        <v>18808</v>
      </c>
      <c r="E132" s="244">
        <v>1.78</v>
      </c>
      <c r="F132" s="243" t="s">
        <v>18804</v>
      </c>
      <c r="G132" s="243" t="s">
        <v>640</v>
      </c>
      <c r="H132" s="245">
        <v>9777</v>
      </c>
    </row>
    <row r="133" spans="1:11" ht="12.75" customHeight="1" x14ac:dyDescent="0.2">
      <c r="A133" s="243" t="s">
        <v>18793</v>
      </c>
      <c r="B133" s="243" t="s">
        <v>18807</v>
      </c>
      <c r="C133" s="243" t="s">
        <v>18806</v>
      </c>
      <c r="D133" s="243" t="s">
        <v>18805</v>
      </c>
      <c r="E133" s="244">
        <v>14.63</v>
      </c>
      <c r="F133" s="243" t="s">
        <v>18804</v>
      </c>
      <c r="G133" s="243" t="s">
        <v>640</v>
      </c>
      <c r="H133" s="245">
        <v>9778</v>
      </c>
    </row>
    <row r="134" spans="1:11" ht="12.75" customHeight="1" x14ac:dyDescent="0.2">
      <c r="A134" s="243" t="s">
        <v>18793</v>
      </c>
      <c r="B134" s="243" t="s">
        <v>18803</v>
      </c>
      <c r="C134" s="243" t="s">
        <v>18802</v>
      </c>
      <c r="D134" s="243" t="s">
        <v>827</v>
      </c>
      <c r="E134" s="244">
        <v>3.23</v>
      </c>
      <c r="F134" s="243" t="s">
        <v>826</v>
      </c>
      <c r="G134" s="243" t="s">
        <v>640</v>
      </c>
      <c r="H134" s="245">
        <v>9779</v>
      </c>
    </row>
    <row r="135" spans="1:11" ht="12.75" customHeight="1" x14ac:dyDescent="0.2">
      <c r="A135" s="243" t="s">
        <v>18793</v>
      </c>
      <c r="B135" s="243" t="s">
        <v>18801</v>
      </c>
      <c r="C135" s="243" t="s">
        <v>18800</v>
      </c>
      <c r="D135" s="243" t="s">
        <v>5394</v>
      </c>
      <c r="E135" s="244">
        <v>2.81</v>
      </c>
      <c r="F135" s="243" t="s">
        <v>5395</v>
      </c>
      <c r="G135" s="243" t="s">
        <v>640</v>
      </c>
      <c r="H135" s="245">
        <v>9780</v>
      </c>
    </row>
    <row r="136" spans="1:11" ht="12.75" customHeight="1" x14ac:dyDescent="0.2">
      <c r="A136" s="243" t="s">
        <v>18793</v>
      </c>
      <c r="B136" s="243" t="s">
        <v>18799</v>
      </c>
      <c r="C136" s="243" t="s">
        <v>18798</v>
      </c>
      <c r="D136" s="243" t="s">
        <v>11054</v>
      </c>
      <c r="E136" s="244">
        <v>14.52</v>
      </c>
      <c r="F136" s="243" t="s">
        <v>11053</v>
      </c>
      <c r="G136" s="243" t="s">
        <v>640</v>
      </c>
      <c r="H136" s="245">
        <v>9781</v>
      </c>
    </row>
    <row r="137" spans="1:11" ht="12.75" customHeight="1" x14ac:dyDescent="0.2">
      <c r="A137" s="243" t="s">
        <v>18793</v>
      </c>
      <c r="B137" s="243" t="s">
        <v>18797</v>
      </c>
      <c r="C137" s="243" t="s">
        <v>18796</v>
      </c>
      <c r="D137" s="243" t="s">
        <v>5572</v>
      </c>
      <c r="E137" s="244">
        <v>10.210000000000001</v>
      </c>
      <c r="F137" s="243" t="s">
        <v>5573</v>
      </c>
      <c r="G137" s="243" t="s">
        <v>640</v>
      </c>
      <c r="H137" s="245">
        <v>9782</v>
      </c>
    </row>
    <row r="138" spans="1:11" ht="12.75" customHeight="1" x14ac:dyDescent="0.2">
      <c r="A138" s="243" t="s">
        <v>18793</v>
      </c>
      <c r="B138" s="243" t="s">
        <v>18795</v>
      </c>
      <c r="C138" s="243" t="s">
        <v>18794</v>
      </c>
      <c r="D138" s="243" t="s">
        <v>4546</v>
      </c>
      <c r="E138" s="244">
        <v>2.2400000000000002</v>
      </c>
      <c r="F138" s="243" t="s">
        <v>4547</v>
      </c>
      <c r="G138" s="243" t="s">
        <v>640</v>
      </c>
      <c r="H138" s="245">
        <v>9783</v>
      </c>
    </row>
    <row r="139" spans="1:11" ht="12.75" customHeight="1" x14ac:dyDescent="0.2">
      <c r="A139" s="243" t="s">
        <v>18793</v>
      </c>
      <c r="B139" s="243" t="s">
        <v>18792</v>
      </c>
      <c r="C139" s="243" t="s">
        <v>18791</v>
      </c>
      <c r="D139" s="243" t="s">
        <v>10736</v>
      </c>
      <c r="E139" s="244">
        <v>6.46</v>
      </c>
      <c r="F139" s="243" t="s">
        <v>10735</v>
      </c>
      <c r="G139" s="243" t="s">
        <v>640</v>
      </c>
      <c r="H139" s="245">
        <v>9784</v>
      </c>
    </row>
    <row r="140" spans="1:11" ht="12.75" customHeight="1" x14ac:dyDescent="0.2">
      <c r="A140" s="243"/>
      <c r="B140" s="243"/>
      <c r="C140" s="247" t="s">
        <v>3578</v>
      </c>
      <c r="D140" s="243"/>
      <c r="E140" s="246">
        <f>SUM(E116:E139)</f>
        <v>267.99</v>
      </c>
      <c r="F140" s="243"/>
      <c r="G140" s="243"/>
      <c r="H140" s="245"/>
    </row>
    <row r="141" spans="1:11" ht="12.75" customHeight="1" x14ac:dyDescent="0.2">
      <c r="A141" s="243" t="s">
        <v>18737</v>
      </c>
      <c r="B141" s="243" t="s">
        <v>18790</v>
      </c>
      <c r="C141" s="243" t="s">
        <v>18789</v>
      </c>
      <c r="D141" s="243" t="s">
        <v>3997</v>
      </c>
      <c r="E141" s="244">
        <v>1.68</v>
      </c>
      <c r="F141" s="243" t="s">
        <v>3998</v>
      </c>
      <c r="G141" s="243" t="s">
        <v>640</v>
      </c>
      <c r="H141" s="245">
        <v>9860</v>
      </c>
    </row>
    <row r="142" spans="1:11" ht="12.75" customHeight="1" x14ac:dyDescent="0.2">
      <c r="A142" s="243" t="s">
        <v>18737</v>
      </c>
      <c r="B142" s="243" t="s">
        <v>18788</v>
      </c>
      <c r="C142" s="243" t="s">
        <v>18787</v>
      </c>
      <c r="D142" s="243" t="s">
        <v>11385</v>
      </c>
      <c r="E142" s="244">
        <v>5.04</v>
      </c>
      <c r="F142" s="243" t="s">
        <v>11384</v>
      </c>
      <c r="G142" s="243" t="s">
        <v>640</v>
      </c>
      <c r="H142" s="245">
        <v>9861</v>
      </c>
    </row>
    <row r="143" spans="1:11" ht="12.75" customHeight="1" x14ac:dyDescent="0.2">
      <c r="A143" s="243" t="s">
        <v>18737</v>
      </c>
      <c r="B143" s="243" t="s">
        <v>18786</v>
      </c>
      <c r="C143" s="243" t="s">
        <v>18785</v>
      </c>
      <c r="D143" s="243" t="s">
        <v>18784</v>
      </c>
      <c r="E143" s="244">
        <v>6.33</v>
      </c>
      <c r="F143" s="243" t="s">
        <v>18783</v>
      </c>
      <c r="G143" s="243" t="s">
        <v>640</v>
      </c>
      <c r="H143" s="245">
        <v>9862</v>
      </c>
    </row>
    <row r="144" spans="1:11" ht="12.75" customHeight="1" x14ac:dyDescent="0.2">
      <c r="A144" s="243" t="s">
        <v>18737</v>
      </c>
      <c r="B144" s="243" t="s">
        <v>18310</v>
      </c>
      <c r="C144" s="243" t="s">
        <v>18782</v>
      </c>
      <c r="D144" s="243" t="s">
        <v>4466</v>
      </c>
      <c r="E144" s="244">
        <v>36.9</v>
      </c>
      <c r="F144" s="243" t="s">
        <v>4467</v>
      </c>
      <c r="G144" s="243" t="s">
        <v>640</v>
      </c>
      <c r="H144" s="245">
        <v>9863</v>
      </c>
    </row>
    <row r="145" spans="1:8" ht="12.75" customHeight="1" x14ac:dyDescent="0.2">
      <c r="A145" s="243" t="s">
        <v>18737</v>
      </c>
      <c r="B145" s="243" t="s">
        <v>18781</v>
      </c>
      <c r="C145" s="243" t="s">
        <v>18780</v>
      </c>
      <c r="D145" s="243" t="s">
        <v>3667</v>
      </c>
      <c r="E145" s="244">
        <v>5.08</v>
      </c>
      <c r="F145" s="243" t="s">
        <v>3668</v>
      </c>
      <c r="G145" s="243" t="s">
        <v>640</v>
      </c>
      <c r="H145" s="245">
        <v>9864</v>
      </c>
    </row>
    <row r="146" spans="1:8" ht="12.75" customHeight="1" x14ac:dyDescent="0.2">
      <c r="A146" s="243" t="s">
        <v>18737</v>
      </c>
      <c r="B146" s="243" t="s">
        <v>18779</v>
      </c>
      <c r="C146" s="243" t="s">
        <v>18778</v>
      </c>
      <c r="D146" s="243" t="s">
        <v>976</v>
      </c>
      <c r="E146" s="244">
        <v>3.38</v>
      </c>
      <c r="F146" s="243" t="s">
        <v>975</v>
      </c>
      <c r="G146" s="243" t="s">
        <v>640</v>
      </c>
      <c r="H146" s="245">
        <v>9865</v>
      </c>
    </row>
    <row r="147" spans="1:8" ht="12.75" customHeight="1" x14ac:dyDescent="0.2">
      <c r="A147" s="243" t="s">
        <v>18737</v>
      </c>
      <c r="B147" s="243" t="s">
        <v>18777</v>
      </c>
      <c r="C147" s="243" t="s">
        <v>18776</v>
      </c>
      <c r="D147" s="243" t="s">
        <v>1464</v>
      </c>
      <c r="E147" s="244">
        <v>16.760000000000002</v>
      </c>
      <c r="F147" s="243" t="s">
        <v>1463</v>
      </c>
      <c r="G147" s="243" t="s">
        <v>640</v>
      </c>
      <c r="H147" s="245">
        <v>9866</v>
      </c>
    </row>
    <row r="148" spans="1:8" ht="12.75" customHeight="1" x14ac:dyDescent="0.2">
      <c r="A148" s="243" t="s">
        <v>18737</v>
      </c>
      <c r="B148" s="243" t="s">
        <v>18775</v>
      </c>
      <c r="C148" s="243" t="s">
        <v>18774</v>
      </c>
      <c r="D148" s="243" t="s">
        <v>759</v>
      </c>
      <c r="E148" s="244">
        <v>6.13</v>
      </c>
      <c r="F148" s="243" t="s">
        <v>758</v>
      </c>
      <c r="G148" s="243" t="s">
        <v>640</v>
      </c>
      <c r="H148" s="245">
        <v>9867</v>
      </c>
    </row>
    <row r="149" spans="1:8" ht="12.75" customHeight="1" x14ac:dyDescent="0.2">
      <c r="A149" s="243" t="s">
        <v>18737</v>
      </c>
      <c r="B149" s="243" t="s">
        <v>18773</v>
      </c>
      <c r="C149" s="243" t="s">
        <v>18772</v>
      </c>
      <c r="D149" s="243" t="s">
        <v>16241</v>
      </c>
      <c r="E149" s="244">
        <v>11.95</v>
      </c>
      <c r="F149" s="243" t="s">
        <v>16240</v>
      </c>
      <c r="G149" s="243" t="s">
        <v>640</v>
      </c>
      <c r="H149" s="245">
        <v>9868</v>
      </c>
    </row>
    <row r="150" spans="1:8" ht="12.75" customHeight="1" x14ac:dyDescent="0.2">
      <c r="A150" s="243" t="s">
        <v>18737</v>
      </c>
      <c r="B150" s="243" t="s">
        <v>18771</v>
      </c>
      <c r="C150" s="243" t="s">
        <v>18770</v>
      </c>
      <c r="D150" s="243" t="s">
        <v>10534</v>
      </c>
      <c r="E150" s="244">
        <v>3.36</v>
      </c>
      <c r="F150" s="243" t="s">
        <v>10533</v>
      </c>
      <c r="G150" s="243" t="s">
        <v>640</v>
      </c>
      <c r="H150" s="245">
        <v>9869</v>
      </c>
    </row>
    <row r="151" spans="1:8" ht="12.75" customHeight="1" x14ac:dyDescent="0.2">
      <c r="A151" s="243" t="s">
        <v>18737</v>
      </c>
      <c r="B151" s="243" t="s">
        <v>18769</v>
      </c>
      <c r="C151" s="243" t="s">
        <v>18768</v>
      </c>
      <c r="D151" s="243" t="s">
        <v>4696</v>
      </c>
      <c r="E151" s="244">
        <v>4.33</v>
      </c>
      <c r="F151" s="243" t="s">
        <v>4697</v>
      </c>
      <c r="G151" s="243" t="s">
        <v>640</v>
      </c>
      <c r="H151" s="245">
        <v>9870</v>
      </c>
    </row>
    <row r="152" spans="1:8" ht="12.75" customHeight="1" x14ac:dyDescent="0.2">
      <c r="A152" s="243" t="s">
        <v>18737</v>
      </c>
      <c r="B152" s="243" t="s">
        <v>18767</v>
      </c>
      <c r="C152" s="243" t="s">
        <v>18766</v>
      </c>
      <c r="D152" s="243" t="s">
        <v>1251</v>
      </c>
      <c r="E152" s="244">
        <v>17.59</v>
      </c>
      <c r="F152" s="243" t="s">
        <v>1250</v>
      </c>
      <c r="G152" s="243" t="s">
        <v>640</v>
      </c>
      <c r="H152" s="245">
        <v>9871</v>
      </c>
    </row>
    <row r="153" spans="1:8" ht="12.75" customHeight="1" x14ac:dyDescent="0.2">
      <c r="A153" s="243" t="s">
        <v>18737</v>
      </c>
      <c r="B153" s="243" t="s">
        <v>18765</v>
      </c>
      <c r="C153" s="243" t="s">
        <v>18764</v>
      </c>
      <c r="D153" s="243" t="s">
        <v>18763</v>
      </c>
      <c r="E153" s="244">
        <v>4.13</v>
      </c>
      <c r="F153" s="243" t="s">
        <v>18762</v>
      </c>
      <c r="G153" s="243" t="s">
        <v>640</v>
      </c>
      <c r="H153" s="245">
        <v>9872</v>
      </c>
    </row>
    <row r="154" spans="1:8" ht="12.75" customHeight="1" x14ac:dyDescent="0.2">
      <c r="A154" s="243" t="s">
        <v>18737</v>
      </c>
      <c r="B154" s="243" t="s">
        <v>18761</v>
      </c>
      <c r="C154" s="243" t="s">
        <v>18760</v>
      </c>
      <c r="D154" s="243" t="s">
        <v>5239</v>
      </c>
      <c r="E154" s="244">
        <v>5.32</v>
      </c>
      <c r="F154" s="243" t="s">
        <v>5240</v>
      </c>
      <c r="G154" s="243" t="s">
        <v>640</v>
      </c>
      <c r="H154" s="245">
        <v>9873</v>
      </c>
    </row>
    <row r="155" spans="1:8" ht="12.75" customHeight="1" x14ac:dyDescent="0.2">
      <c r="A155" s="243" t="s">
        <v>18737</v>
      </c>
      <c r="B155" s="243" t="s">
        <v>18759</v>
      </c>
      <c r="C155" s="243" t="s">
        <v>18758</v>
      </c>
      <c r="D155" s="243" t="s">
        <v>13465</v>
      </c>
      <c r="E155" s="244">
        <v>0.1</v>
      </c>
      <c r="F155" s="243" t="s">
        <v>13464</v>
      </c>
      <c r="G155" s="243" t="s">
        <v>640</v>
      </c>
      <c r="H155" s="245">
        <v>9874</v>
      </c>
    </row>
    <row r="156" spans="1:8" ht="12.75" customHeight="1" x14ac:dyDescent="0.2">
      <c r="A156" s="243" t="s">
        <v>18737</v>
      </c>
      <c r="B156" s="243" t="s">
        <v>18757</v>
      </c>
      <c r="C156" s="243" t="s">
        <v>18756</v>
      </c>
      <c r="D156" s="243" t="s">
        <v>5875</v>
      </c>
      <c r="E156" s="244">
        <v>2.33</v>
      </c>
      <c r="F156" s="243" t="s">
        <v>5876</v>
      </c>
      <c r="G156" s="243" t="s">
        <v>640</v>
      </c>
      <c r="H156" s="245">
        <v>9875</v>
      </c>
    </row>
    <row r="157" spans="1:8" ht="12.75" customHeight="1" x14ac:dyDescent="0.2">
      <c r="A157" s="243" t="s">
        <v>18737</v>
      </c>
      <c r="B157" s="243" t="s">
        <v>11554</v>
      </c>
      <c r="C157" s="243" t="s">
        <v>18755</v>
      </c>
      <c r="D157" s="243" t="s">
        <v>698</v>
      </c>
      <c r="E157" s="244">
        <v>16.760000000000002</v>
      </c>
      <c r="F157" s="243" t="s">
        <v>697</v>
      </c>
      <c r="G157" s="243" t="s">
        <v>640</v>
      </c>
      <c r="H157" s="245">
        <v>9876</v>
      </c>
    </row>
    <row r="158" spans="1:8" ht="12.75" customHeight="1" x14ac:dyDescent="0.2">
      <c r="A158" s="243" t="s">
        <v>18737</v>
      </c>
      <c r="B158" s="243" t="s">
        <v>18754</v>
      </c>
      <c r="C158" s="243" t="s">
        <v>18753</v>
      </c>
      <c r="D158" s="243" t="s">
        <v>1042</v>
      </c>
      <c r="E158" s="244">
        <v>7.32</v>
      </c>
      <c r="F158" s="243" t="s">
        <v>1041</v>
      </c>
      <c r="G158" s="243" t="s">
        <v>640</v>
      </c>
      <c r="H158" s="245">
        <v>9877</v>
      </c>
    </row>
    <row r="159" spans="1:8" ht="12.75" customHeight="1" x14ac:dyDescent="0.2">
      <c r="A159" s="243" t="s">
        <v>18737</v>
      </c>
      <c r="B159" s="243" t="s">
        <v>18752</v>
      </c>
      <c r="C159" s="243" t="s">
        <v>18751</v>
      </c>
      <c r="D159" s="243" t="s">
        <v>997</v>
      </c>
      <c r="E159" s="244">
        <v>6.94</v>
      </c>
      <c r="F159" s="243" t="s">
        <v>996</v>
      </c>
      <c r="G159" s="243" t="s">
        <v>640</v>
      </c>
      <c r="H159" s="245">
        <v>9878</v>
      </c>
    </row>
    <row r="160" spans="1:8" ht="12.75" customHeight="1" x14ac:dyDescent="0.2">
      <c r="A160" s="243" t="s">
        <v>18737</v>
      </c>
      <c r="B160" s="243" t="s">
        <v>11040</v>
      </c>
      <c r="C160" s="243" t="s">
        <v>18750</v>
      </c>
      <c r="D160" s="243" t="s">
        <v>3036</v>
      </c>
      <c r="E160" s="244">
        <v>7.15</v>
      </c>
      <c r="F160" s="243" t="s">
        <v>3037</v>
      </c>
      <c r="G160" s="243" t="s">
        <v>640</v>
      </c>
      <c r="H160" s="245">
        <v>9879</v>
      </c>
    </row>
    <row r="161" spans="1:8" ht="12.75" customHeight="1" x14ac:dyDescent="0.2">
      <c r="A161" s="243" t="s">
        <v>18737</v>
      </c>
      <c r="B161" s="243" t="s">
        <v>18749</v>
      </c>
      <c r="C161" s="243" t="s">
        <v>18748</v>
      </c>
      <c r="D161" s="243" t="s">
        <v>4276</v>
      </c>
      <c r="E161" s="244">
        <v>5.04</v>
      </c>
      <c r="F161" s="243" t="s">
        <v>4277</v>
      </c>
      <c r="G161" s="243" t="s">
        <v>640</v>
      </c>
      <c r="H161" s="245">
        <v>9880</v>
      </c>
    </row>
    <row r="162" spans="1:8" ht="12.75" customHeight="1" x14ac:dyDescent="0.2">
      <c r="A162" s="243" t="s">
        <v>18737</v>
      </c>
      <c r="B162" s="243" t="s">
        <v>18747</v>
      </c>
      <c r="C162" s="243" t="s">
        <v>18746</v>
      </c>
      <c r="D162" s="243" t="s">
        <v>4272</v>
      </c>
      <c r="E162" s="244">
        <v>2.74</v>
      </c>
      <c r="F162" s="243" t="s">
        <v>4273</v>
      </c>
      <c r="G162" s="243" t="s">
        <v>640</v>
      </c>
      <c r="H162" s="245">
        <v>9881</v>
      </c>
    </row>
    <row r="163" spans="1:8" ht="12.75" customHeight="1" x14ac:dyDescent="0.2">
      <c r="A163" s="243" t="s">
        <v>18737</v>
      </c>
      <c r="B163" s="243" t="s">
        <v>18745</v>
      </c>
      <c r="C163" s="243" t="s">
        <v>18744</v>
      </c>
      <c r="D163" s="243" t="s">
        <v>3885</v>
      </c>
      <c r="E163" s="244">
        <v>9.27</v>
      </c>
      <c r="F163" s="243" t="s">
        <v>3886</v>
      </c>
      <c r="G163" s="243" t="s">
        <v>640</v>
      </c>
      <c r="H163" s="245">
        <v>9882</v>
      </c>
    </row>
    <row r="164" spans="1:8" ht="12.75" customHeight="1" x14ac:dyDescent="0.2">
      <c r="A164" s="243" t="s">
        <v>18737</v>
      </c>
      <c r="B164" s="243" t="s">
        <v>18743</v>
      </c>
      <c r="C164" s="243" t="s">
        <v>18742</v>
      </c>
      <c r="D164" s="243" t="s">
        <v>1573</v>
      </c>
      <c r="E164" s="244">
        <v>7.72</v>
      </c>
      <c r="F164" s="243" t="s">
        <v>1572</v>
      </c>
      <c r="G164" s="243" t="s">
        <v>640</v>
      </c>
      <c r="H164" s="245">
        <v>9883</v>
      </c>
    </row>
    <row r="165" spans="1:8" ht="12.75" customHeight="1" x14ac:dyDescent="0.2">
      <c r="A165" s="243" t="s">
        <v>18737</v>
      </c>
      <c r="B165" s="243" t="s">
        <v>18741</v>
      </c>
      <c r="C165" s="243" t="s">
        <v>18740</v>
      </c>
      <c r="D165" s="243" t="s">
        <v>18739</v>
      </c>
      <c r="E165" s="244">
        <v>2</v>
      </c>
      <c r="F165" s="243" t="s">
        <v>18738</v>
      </c>
      <c r="G165" s="243" t="s">
        <v>640</v>
      </c>
      <c r="H165" s="245">
        <v>9884</v>
      </c>
    </row>
    <row r="166" spans="1:8" ht="12.75" customHeight="1" x14ac:dyDescent="0.2">
      <c r="A166" s="243" t="s">
        <v>18737</v>
      </c>
      <c r="B166" s="243" t="s">
        <v>18736</v>
      </c>
      <c r="C166" s="243" t="s">
        <v>18735</v>
      </c>
      <c r="D166" s="243" t="s">
        <v>4083</v>
      </c>
      <c r="E166" s="244">
        <v>5.28</v>
      </c>
      <c r="F166" s="243" t="s">
        <v>4084</v>
      </c>
      <c r="G166" s="243" t="s">
        <v>640</v>
      </c>
      <c r="H166" s="245">
        <v>9885</v>
      </c>
    </row>
    <row r="167" spans="1:8" ht="12.75" customHeight="1" x14ac:dyDescent="0.2">
      <c r="A167" s="243"/>
      <c r="B167" s="243"/>
      <c r="C167" s="247" t="s">
        <v>3578</v>
      </c>
      <c r="D167" s="243"/>
      <c r="E167" s="246">
        <f>SUM(E141:E166)</f>
        <v>200.63</v>
      </c>
      <c r="F167" s="243"/>
      <c r="G167" s="243"/>
      <c r="H167" s="245"/>
    </row>
    <row r="168" spans="1:8" ht="12.75" customHeight="1" x14ac:dyDescent="0.2">
      <c r="A168" s="243" t="s">
        <v>18685</v>
      </c>
      <c r="B168" s="243" t="s">
        <v>18734</v>
      </c>
      <c r="C168" s="243" t="s">
        <v>18733</v>
      </c>
      <c r="D168" s="243" t="s">
        <v>5333</v>
      </c>
      <c r="E168" s="244">
        <v>61.2</v>
      </c>
      <c r="F168" s="243" t="s">
        <v>5334</v>
      </c>
      <c r="G168" s="243" t="s">
        <v>640</v>
      </c>
      <c r="H168" s="245">
        <v>9927</v>
      </c>
    </row>
    <row r="169" spans="1:8" ht="12.75" customHeight="1" x14ac:dyDescent="0.2">
      <c r="A169" s="243" t="s">
        <v>18685</v>
      </c>
      <c r="B169" s="243" t="s">
        <v>18732</v>
      </c>
      <c r="C169" s="243" t="s">
        <v>18731</v>
      </c>
      <c r="D169" s="243" t="s">
        <v>926</v>
      </c>
      <c r="E169" s="244">
        <v>1.72</v>
      </c>
      <c r="F169" s="243" t="s">
        <v>925</v>
      </c>
      <c r="G169" s="243" t="s">
        <v>640</v>
      </c>
      <c r="H169" s="245">
        <v>9928</v>
      </c>
    </row>
    <row r="170" spans="1:8" ht="12.75" customHeight="1" x14ac:dyDescent="0.2">
      <c r="A170" s="243" t="s">
        <v>18685</v>
      </c>
      <c r="B170" s="243" t="s">
        <v>18730</v>
      </c>
      <c r="C170" s="243" t="s">
        <v>18729</v>
      </c>
      <c r="D170" s="243" t="s">
        <v>4676</v>
      </c>
      <c r="E170" s="244">
        <v>3.54</v>
      </c>
      <c r="F170" s="243" t="s">
        <v>4677</v>
      </c>
      <c r="G170" s="243" t="s">
        <v>640</v>
      </c>
      <c r="H170" s="245">
        <v>9929</v>
      </c>
    </row>
    <row r="171" spans="1:8" ht="12.75" customHeight="1" x14ac:dyDescent="0.2">
      <c r="A171" s="243" t="s">
        <v>18685</v>
      </c>
      <c r="B171" s="243" t="s">
        <v>18728</v>
      </c>
      <c r="C171" s="243" t="s">
        <v>18727</v>
      </c>
      <c r="D171" s="243" t="s">
        <v>10925</v>
      </c>
      <c r="E171" s="244">
        <v>2.35</v>
      </c>
      <c r="F171" s="243" t="s">
        <v>10924</v>
      </c>
      <c r="G171" s="243" t="s">
        <v>640</v>
      </c>
      <c r="H171" s="245">
        <v>9930</v>
      </c>
    </row>
    <row r="172" spans="1:8" ht="12.75" customHeight="1" x14ac:dyDescent="0.2">
      <c r="A172" s="243" t="s">
        <v>18685</v>
      </c>
      <c r="B172" s="243" t="s">
        <v>10960</v>
      </c>
      <c r="C172" s="243" t="s">
        <v>18726</v>
      </c>
      <c r="D172" s="243" t="s">
        <v>11060</v>
      </c>
      <c r="E172" s="244">
        <v>6.55</v>
      </c>
      <c r="F172" s="243" t="s">
        <v>11059</v>
      </c>
      <c r="G172" s="243" t="s">
        <v>640</v>
      </c>
      <c r="H172" s="245">
        <v>9931</v>
      </c>
    </row>
    <row r="173" spans="1:8" ht="12.75" customHeight="1" x14ac:dyDescent="0.2">
      <c r="A173" s="243" t="s">
        <v>18685</v>
      </c>
      <c r="B173" s="243" t="s">
        <v>18725</v>
      </c>
      <c r="C173" s="243" t="s">
        <v>18724</v>
      </c>
      <c r="D173" s="243" t="s">
        <v>18723</v>
      </c>
      <c r="E173" s="244">
        <v>27.6</v>
      </c>
      <c r="F173" s="243" t="s">
        <v>18722</v>
      </c>
      <c r="G173" s="243" t="s">
        <v>640</v>
      </c>
      <c r="H173" s="245">
        <v>9932</v>
      </c>
    </row>
    <row r="174" spans="1:8" ht="12.75" customHeight="1" x14ac:dyDescent="0.2">
      <c r="A174" s="243" t="s">
        <v>18685</v>
      </c>
      <c r="B174" s="243" t="s">
        <v>18721</v>
      </c>
      <c r="C174" s="243" t="s">
        <v>18720</v>
      </c>
      <c r="D174" s="243" t="s">
        <v>11369</v>
      </c>
      <c r="E174" s="244">
        <v>3.63</v>
      </c>
      <c r="F174" s="243" t="s">
        <v>11365</v>
      </c>
      <c r="G174" s="243" t="s">
        <v>640</v>
      </c>
      <c r="H174" s="245">
        <v>9933</v>
      </c>
    </row>
    <row r="175" spans="1:8" ht="12.75" customHeight="1" x14ac:dyDescent="0.2">
      <c r="A175" s="243" t="s">
        <v>18685</v>
      </c>
      <c r="B175" s="243" t="s">
        <v>18719</v>
      </c>
      <c r="C175" s="243" t="s">
        <v>18718</v>
      </c>
      <c r="D175" s="243" t="s">
        <v>11366</v>
      </c>
      <c r="E175" s="244">
        <v>3.69</v>
      </c>
      <c r="F175" s="243" t="s">
        <v>11365</v>
      </c>
      <c r="G175" s="243" t="s">
        <v>640</v>
      </c>
      <c r="H175" s="245">
        <v>9934</v>
      </c>
    </row>
    <row r="176" spans="1:8" ht="12.75" customHeight="1" x14ac:dyDescent="0.2">
      <c r="A176" s="243" t="s">
        <v>18685</v>
      </c>
      <c r="B176" s="243" t="s">
        <v>18717</v>
      </c>
      <c r="C176" s="243" t="s">
        <v>18716</v>
      </c>
      <c r="D176" s="243" t="s">
        <v>725</v>
      </c>
      <c r="E176" s="244">
        <v>5.92</v>
      </c>
      <c r="F176" s="243" t="s">
        <v>724</v>
      </c>
      <c r="G176" s="243" t="s">
        <v>640</v>
      </c>
      <c r="H176" s="245">
        <v>9935</v>
      </c>
    </row>
    <row r="177" spans="1:8" ht="12.75" customHeight="1" x14ac:dyDescent="0.2">
      <c r="A177" s="243" t="s">
        <v>18685</v>
      </c>
      <c r="B177" s="243" t="s">
        <v>18715</v>
      </c>
      <c r="C177" s="243" t="s">
        <v>18714</v>
      </c>
      <c r="D177" s="243" t="s">
        <v>10842</v>
      </c>
      <c r="E177" s="244">
        <v>2.11</v>
      </c>
      <c r="F177" s="243" t="s">
        <v>10841</v>
      </c>
      <c r="G177" s="243" t="s">
        <v>640</v>
      </c>
      <c r="H177" s="245">
        <v>9936</v>
      </c>
    </row>
    <row r="178" spans="1:8" ht="12.75" customHeight="1" x14ac:dyDescent="0.2">
      <c r="A178" s="243" t="s">
        <v>18685</v>
      </c>
      <c r="B178" s="243" t="s">
        <v>18713</v>
      </c>
      <c r="C178" s="243" t="s">
        <v>18712</v>
      </c>
      <c r="D178" s="243" t="s">
        <v>1424</v>
      </c>
      <c r="E178" s="244">
        <v>9.92</v>
      </c>
      <c r="F178" s="243" t="s">
        <v>1423</v>
      </c>
      <c r="G178" s="243" t="s">
        <v>640</v>
      </c>
      <c r="H178" s="245">
        <v>9937</v>
      </c>
    </row>
    <row r="179" spans="1:8" ht="12.75" customHeight="1" x14ac:dyDescent="0.2">
      <c r="A179" s="243" t="s">
        <v>18685</v>
      </c>
      <c r="B179" s="243" t="s">
        <v>18711</v>
      </c>
      <c r="C179" s="243" t="s">
        <v>18710</v>
      </c>
      <c r="D179" s="243" t="s">
        <v>3671</v>
      </c>
      <c r="E179" s="244">
        <v>1.68</v>
      </c>
      <c r="F179" s="243" t="s">
        <v>3672</v>
      </c>
      <c r="G179" s="243" t="s">
        <v>640</v>
      </c>
      <c r="H179" s="245">
        <v>9938</v>
      </c>
    </row>
    <row r="180" spans="1:8" ht="12.75" customHeight="1" x14ac:dyDescent="0.2">
      <c r="A180" s="243" t="s">
        <v>18685</v>
      </c>
      <c r="B180" s="243" t="s">
        <v>18709</v>
      </c>
      <c r="C180" s="243" t="s">
        <v>18708</v>
      </c>
      <c r="D180" s="243" t="s">
        <v>4384</v>
      </c>
      <c r="E180" s="244">
        <v>4.5599999999999996</v>
      </c>
      <c r="F180" s="243" t="s">
        <v>4385</v>
      </c>
      <c r="G180" s="243" t="s">
        <v>640</v>
      </c>
      <c r="H180" s="245">
        <v>9939</v>
      </c>
    </row>
    <row r="181" spans="1:8" ht="12.75" customHeight="1" x14ac:dyDescent="0.2">
      <c r="A181" s="243" t="s">
        <v>18685</v>
      </c>
      <c r="B181" s="243" t="s">
        <v>5777</v>
      </c>
      <c r="C181" s="243" t="s">
        <v>18707</v>
      </c>
      <c r="D181" s="243" t="s">
        <v>745</v>
      </c>
      <c r="E181" s="244">
        <v>26.81</v>
      </c>
      <c r="F181" s="243" t="s">
        <v>744</v>
      </c>
      <c r="G181" s="243" t="s">
        <v>640</v>
      </c>
      <c r="H181" s="245">
        <v>9940</v>
      </c>
    </row>
    <row r="182" spans="1:8" ht="12.75" customHeight="1" x14ac:dyDescent="0.2">
      <c r="A182" s="243" t="s">
        <v>18685</v>
      </c>
      <c r="B182" s="243" t="s">
        <v>18706</v>
      </c>
      <c r="C182" s="243" t="s">
        <v>18705</v>
      </c>
      <c r="D182" s="243" t="s">
        <v>18704</v>
      </c>
      <c r="E182" s="244">
        <v>2.31</v>
      </c>
      <c r="F182" s="243" t="s">
        <v>18703</v>
      </c>
      <c r="G182" s="243" t="s">
        <v>640</v>
      </c>
      <c r="H182" s="245">
        <v>9941</v>
      </c>
    </row>
    <row r="183" spans="1:8" ht="12.75" customHeight="1" x14ac:dyDescent="0.2">
      <c r="A183" s="243" t="s">
        <v>18685</v>
      </c>
      <c r="B183" s="243" t="s">
        <v>18702</v>
      </c>
      <c r="C183" s="243" t="s">
        <v>18701</v>
      </c>
      <c r="D183" s="243" t="s">
        <v>968</v>
      </c>
      <c r="E183" s="244">
        <v>10.28</v>
      </c>
      <c r="F183" s="243" t="s">
        <v>967</v>
      </c>
      <c r="G183" s="243" t="s">
        <v>640</v>
      </c>
      <c r="H183" s="245">
        <v>9942</v>
      </c>
    </row>
    <row r="184" spans="1:8" ht="12.75" customHeight="1" x14ac:dyDescent="0.2">
      <c r="A184" s="243" t="s">
        <v>18685</v>
      </c>
      <c r="B184" s="243" t="s">
        <v>2614</v>
      </c>
      <c r="C184" s="243" t="s">
        <v>18700</v>
      </c>
      <c r="D184" s="243" t="s">
        <v>786</v>
      </c>
      <c r="E184" s="244">
        <v>3.08</v>
      </c>
      <c r="F184" s="243" t="s">
        <v>785</v>
      </c>
      <c r="G184" s="243" t="s">
        <v>640</v>
      </c>
      <c r="H184" s="245">
        <v>9943</v>
      </c>
    </row>
    <row r="185" spans="1:8" ht="12.75" customHeight="1" x14ac:dyDescent="0.2">
      <c r="A185" s="243" t="s">
        <v>18685</v>
      </c>
      <c r="B185" s="243" t="s">
        <v>5457</v>
      </c>
      <c r="C185" s="243" t="s">
        <v>18699</v>
      </c>
      <c r="D185" s="243" t="s">
        <v>787</v>
      </c>
      <c r="E185" s="244">
        <v>7.66</v>
      </c>
      <c r="F185" s="243" t="s">
        <v>785</v>
      </c>
      <c r="G185" s="243" t="s">
        <v>640</v>
      </c>
      <c r="H185" s="245">
        <v>9944</v>
      </c>
    </row>
    <row r="186" spans="1:8" ht="12.75" customHeight="1" x14ac:dyDescent="0.2">
      <c r="A186" s="243" t="s">
        <v>18685</v>
      </c>
      <c r="B186" s="243" t="s">
        <v>18698</v>
      </c>
      <c r="C186" s="243" t="s">
        <v>18697</v>
      </c>
      <c r="D186" s="243" t="s">
        <v>13333</v>
      </c>
      <c r="E186" s="244">
        <v>0.65</v>
      </c>
      <c r="F186" s="243" t="s">
        <v>13332</v>
      </c>
      <c r="G186" s="243" t="s">
        <v>640</v>
      </c>
      <c r="H186" s="245">
        <v>9945</v>
      </c>
    </row>
    <row r="187" spans="1:8" ht="12.75" customHeight="1" x14ac:dyDescent="0.2">
      <c r="A187" s="243" t="s">
        <v>18685</v>
      </c>
      <c r="B187" s="243" t="s">
        <v>18696</v>
      </c>
      <c r="C187" s="243" t="s">
        <v>18695</v>
      </c>
      <c r="D187" s="243" t="s">
        <v>5895</v>
      </c>
      <c r="E187" s="244">
        <v>10.36</v>
      </c>
      <c r="F187" s="243" t="s">
        <v>5896</v>
      </c>
      <c r="G187" s="243" t="s">
        <v>640</v>
      </c>
      <c r="H187" s="245">
        <v>9946</v>
      </c>
    </row>
    <row r="188" spans="1:8" ht="12.75" customHeight="1" x14ac:dyDescent="0.2">
      <c r="A188" s="243" t="s">
        <v>18685</v>
      </c>
      <c r="B188" s="243" t="s">
        <v>18694</v>
      </c>
      <c r="C188" s="243" t="s">
        <v>18693</v>
      </c>
      <c r="D188" s="243" t="s">
        <v>964</v>
      </c>
      <c r="E188" s="244">
        <v>4.22</v>
      </c>
      <c r="F188" s="243" t="s">
        <v>963</v>
      </c>
      <c r="G188" s="243" t="s">
        <v>640</v>
      </c>
      <c r="H188" s="245">
        <v>9947</v>
      </c>
    </row>
    <row r="189" spans="1:8" ht="12.75" customHeight="1" x14ac:dyDescent="0.2">
      <c r="A189" s="243" t="s">
        <v>18685</v>
      </c>
      <c r="B189" s="243" t="s">
        <v>18692</v>
      </c>
      <c r="C189" s="243" t="s">
        <v>18691</v>
      </c>
      <c r="D189" s="243" t="s">
        <v>5940</v>
      </c>
      <c r="E189" s="244">
        <v>14.84</v>
      </c>
      <c r="F189" s="243" t="s">
        <v>5941</v>
      </c>
      <c r="G189" s="243" t="s">
        <v>640</v>
      </c>
      <c r="H189" s="245">
        <v>9948</v>
      </c>
    </row>
    <row r="190" spans="1:8" ht="12.75" customHeight="1" x14ac:dyDescent="0.2">
      <c r="A190" s="243" t="s">
        <v>18685</v>
      </c>
      <c r="B190" s="243" t="s">
        <v>16012</v>
      </c>
      <c r="C190" s="243" t="s">
        <v>18690</v>
      </c>
      <c r="D190" s="243" t="s">
        <v>838</v>
      </c>
      <c r="E190" s="244">
        <v>4.51</v>
      </c>
      <c r="F190" s="243" t="s">
        <v>837</v>
      </c>
      <c r="G190" s="243" t="s">
        <v>640</v>
      </c>
      <c r="H190" s="245">
        <v>9949</v>
      </c>
    </row>
    <row r="191" spans="1:8" ht="12.75" customHeight="1" x14ac:dyDescent="0.2">
      <c r="A191" s="243" t="s">
        <v>18685</v>
      </c>
      <c r="B191" s="243" t="s">
        <v>18689</v>
      </c>
      <c r="C191" s="243" t="s">
        <v>18688</v>
      </c>
      <c r="D191" s="243" t="s">
        <v>879</v>
      </c>
      <c r="E191" s="244">
        <v>4.4000000000000004</v>
      </c>
      <c r="F191" s="243" t="s">
        <v>878</v>
      </c>
      <c r="G191" s="243" t="s">
        <v>640</v>
      </c>
      <c r="H191" s="245">
        <v>9950</v>
      </c>
    </row>
    <row r="192" spans="1:8" ht="12.75" customHeight="1" x14ac:dyDescent="0.2">
      <c r="A192" s="243" t="s">
        <v>18685</v>
      </c>
      <c r="B192" s="243" t="s">
        <v>18687</v>
      </c>
      <c r="C192" s="243" t="s">
        <v>18686</v>
      </c>
      <c r="D192" s="243" t="s">
        <v>660</v>
      </c>
      <c r="E192" s="244">
        <v>5.86</v>
      </c>
      <c r="F192" s="243" t="s">
        <v>659</v>
      </c>
      <c r="G192" s="243" t="s">
        <v>640</v>
      </c>
      <c r="H192" s="245">
        <v>9951</v>
      </c>
    </row>
    <row r="193" spans="1:9" ht="12.75" customHeight="1" x14ac:dyDescent="0.2">
      <c r="A193" s="243" t="s">
        <v>18685</v>
      </c>
      <c r="B193" s="243" t="s">
        <v>18684</v>
      </c>
      <c r="C193" s="243" t="s">
        <v>18683</v>
      </c>
      <c r="D193" s="243" t="s">
        <v>3667</v>
      </c>
      <c r="E193" s="244">
        <v>5.08</v>
      </c>
      <c r="F193" s="243" t="s">
        <v>3668</v>
      </c>
      <c r="G193" s="243" t="s">
        <v>640</v>
      </c>
      <c r="H193" s="245" t="s">
        <v>18682</v>
      </c>
    </row>
    <row r="194" spans="1:9" ht="12.75" customHeight="1" x14ac:dyDescent="0.2">
      <c r="A194" s="243"/>
      <c r="B194" s="243"/>
      <c r="C194" s="247" t="s">
        <v>3578</v>
      </c>
      <c r="D194" s="243"/>
      <c r="E194" s="246">
        <f>SUM(E168:E193)</f>
        <v>234.53000000000003</v>
      </c>
      <c r="F194" s="243"/>
      <c r="G194" s="243"/>
      <c r="H194" s="245"/>
    </row>
    <row r="195" spans="1:9" ht="12.75" customHeight="1" x14ac:dyDescent="0.2">
      <c r="A195" s="243" t="s">
        <v>18654</v>
      </c>
      <c r="B195" s="243" t="s">
        <v>18681</v>
      </c>
      <c r="C195" s="243" t="s">
        <v>18680</v>
      </c>
      <c r="D195" s="243" t="s">
        <v>4200</v>
      </c>
      <c r="E195" s="244">
        <v>4.13</v>
      </c>
      <c r="F195" s="243" t="s">
        <v>4201</v>
      </c>
      <c r="G195" s="243" t="s">
        <v>640</v>
      </c>
      <c r="H195" s="245">
        <v>9979</v>
      </c>
    </row>
    <row r="196" spans="1:9" ht="12.75" customHeight="1" x14ac:dyDescent="0.2">
      <c r="A196" s="243" t="s">
        <v>18654</v>
      </c>
      <c r="B196" s="243" t="s">
        <v>18679</v>
      </c>
      <c r="C196" s="243" t="s">
        <v>18678</v>
      </c>
      <c r="D196" s="243" t="s">
        <v>1150</v>
      </c>
      <c r="E196" s="244">
        <v>1.68</v>
      </c>
      <c r="F196" s="243" t="s">
        <v>1149</v>
      </c>
      <c r="G196" s="243" t="s">
        <v>640</v>
      </c>
      <c r="H196" s="245">
        <v>9980</v>
      </c>
    </row>
    <row r="197" spans="1:9" ht="12.75" customHeight="1" x14ac:dyDescent="0.2">
      <c r="A197" s="243" t="s">
        <v>18654</v>
      </c>
      <c r="B197" s="243" t="s">
        <v>16325</v>
      </c>
      <c r="C197" s="243" t="s">
        <v>18677</v>
      </c>
      <c r="D197" s="243" t="s">
        <v>4807</v>
      </c>
      <c r="E197" s="244">
        <v>16.760000000000002</v>
      </c>
      <c r="F197" s="243" t="s">
        <v>4808</v>
      </c>
      <c r="G197" s="243" t="s">
        <v>640</v>
      </c>
      <c r="H197" s="245">
        <v>9981</v>
      </c>
    </row>
    <row r="198" spans="1:9" ht="12.75" customHeight="1" x14ac:dyDescent="0.2">
      <c r="A198" s="243" t="s">
        <v>18654</v>
      </c>
      <c r="B198" s="243" t="s">
        <v>18676</v>
      </c>
      <c r="C198" s="243" t="s">
        <v>18675</v>
      </c>
      <c r="D198" s="243" t="s">
        <v>982</v>
      </c>
      <c r="E198" s="244">
        <v>6.92</v>
      </c>
      <c r="F198" s="243" t="s">
        <v>981</v>
      </c>
      <c r="G198" s="243" t="s">
        <v>640</v>
      </c>
      <c r="H198" s="245">
        <v>9982</v>
      </c>
    </row>
    <row r="199" spans="1:9" ht="12.75" customHeight="1" x14ac:dyDescent="0.2">
      <c r="A199" s="243" t="s">
        <v>18654</v>
      </c>
      <c r="B199" s="243" t="s">
        <v>18674</v>
      </c>
      <c r="C199" s="243" t="s">
        <v>18673</v>
      </c>
      <c r="D199" s="243" t="s">
        <v>10610</v>
      </c>
      <c r="E199" s="244">
        <v>3.41</v>
      </c>
      <c r="F199" s="243" t="s">
        <v>10609</v>
      </c>
      <c r="G199" s="243" t="s">
        <v>640</v>
      </c>
      <c r="H199" s="245">
        <v>9983</v>
      </c>
    </row>
    <row r="200" spans="1:9" ht="12.75" customHeight="1" x14ac:dyDescent="0.2">
      <c r="A200" s="243" t="s">
        <v>18654</v>
      </c>
      <c r="B200" s="243" t="s">
        <v>18672</v>
      </c>
      <c r="C200" s="243" t="s">
        <v>18671</v>
      </c>
      <c r="D200" s="243" t="s">
        <v>4143</v>
      </c>
      <c r="E200" s="244">
        <v>1.73</v>
      </c>
      <c r="F200" s="243" t="s">
        <v>4140</v>
      </c>
      <c r="G200" s="243" t="s">
        <v>640</v>
      </c>
      <c r="H200" s="245">
        <v>9984</v>
      </c>
      <c r="I200" s="122">
        <v>10791</v>
      </c>
    </row>
    <row r="201" spans="1:9" ht="12.75" customHeight="1" x14ac:dyDescent="0.2">
      <c r="A201" s="243" t="s">
        <v>18654</v>
      </c>
      <c r="B201" s="243" t="s">
        <v>18670</v>
      </c>
      <c r="C201" s="243" t="s">
        <v>18669</v>
      </c>
      <c r="D201" s="243" t="s">
        <v>4139</v>
      </c>
      <c r="E201" s="244">
        <v>2.39</v>
      </c>
      <c r="F201" s="243" t="s">
        <v>4140</v>
      </c>
      <c r="G201" s="243" t="s">
        <v>640</v>
      </c>
      <c r="H201" s="245">
        <v>9985</v>
      </c>
      <c r="I201" s="122">
        <v>10792</v>
      </c>
    </row>
    <row r="202" spans="1:9" ht="12.75" customHeight="1" x14ac:dyDescent="0.2">
      <c r="A202" s="243" t="s">
        <v>18654</v>
      </c>
      <c r="B202" s="243" t="s">
        <v>18668</v>
      </c>
      <c r="C202" s="243" t="s">
        <v>18667</v>
      </c>
      <c r="D202" s="243" t="s">
        <v>672</v>
      </c>
      <c r="E202" s="244">
        <v>4.24</v>
      </c>
      <c r="F202" s="243" t="s">
        <v>671</v>
      </c>
      <c r="G202" s="243" t="s">
        <v>640</v>
      </c>
      <c r="H202" s="245">
        <v>9986</v>
      </c>
    </row>
    <row r="203" spans="1:9" ht="12.75" customHeight="1" x14ac:dyDescent="0.2">
      <c r="A203" s="243" t="s">
        <v>18654</v>
      </c>
      <c r="B203" s="243" t="s">
        <v>18666</v>
      </c>
      <c r="C203" s="243" t="s">
        <v>18665</v>
      </c>
      <c r="D203" s="243" t="s">
        <v>944</v>
      </c>
      <c r="E203" s="244">
        <v>4.2</v>
      </c>
      <c r="F203" s="243" t="s">
        <v>943</v>
      </c>
      <c r="G203" s="243" t="s">
        <v>640</v>
      </c>
      <c r="H203" s="245">
        <v>9987</v>
      </c>
    </row>
    <row r="204" spans="1:9" ht="12.75" customHeight="1" x14ac:dyDescent="0.2">
      <c r="A204" s="243" t="s">
        <v>18654</v>
      </c>
      <c r="B204" s="243" t="s">
        <v>18664</v>
      </c>
      <c r="C204" s="243" t="s">
        <v>18663</v>
      </c>
      <c r="D204" s="243" t="s">
        <v>3825</v>
      </c>
      <c r="E204" s="244">
        <v>7.75</v>
      </c>
      <c r="F204" s="243" t="s">
        <v>3826</v>
      </c>
      <c r="G204" s="243" t="s">
        <v>640</v>
      </c>
      <c r="H204" s="245">
        <v>9988</v>
      </c>
    </row>
    <row r="205" spans="1:9" ht="12.75" customHeight="1" x14ac:dyDescent="0.2">
      <c r="A205" s="243" t="s">
        <v>18654</v>
      </c>
      <c r="B205" s="243" t="s">
        <v>18662</v>
      </c>
      <c r="C205" s="243" t="s">
        <v>18661</v>
      </c>
      <c r="D205" s="243" t="s">
        <v>5432</v>
      </c>
      <c r="E205" s="244">
        <v>1.86</v>
      </c>
      <c r="F205" s="243" t="s">
        <v>5433</v>
      </c>
      <c r="G205" s="243" t="s">
        <v>640</v>
      </c>
      <c r="H205" s="245">
        <v>9989</v>
      </c>
    </row>
    <row r="206" spans="1:9" ht="12.75" customHeight="1" x14ac:dyDescent="0.2">
      <c r="A206" s="243" t="s">
        <v>18654</v>
      </c>
      <c r="B206" s="243" t="s">
        <v>18660</v>
      </c>
      <c r="C206" s="243" t="s">
        <v>18659</v>
      </c>
      <c r="D206" s="243" t="s">
        <v>5056</v>
      </c>
      <c r="E206" s="244">
        <v>4.0999999999999996</v>
      </c>
      <c r="F206" s="243" t="s">
        <v>5057</v>
      </c>
      <c r="G206" s="243" t="s">
        <v>640</v>
      </c>
      <c r="H206" s="245">
        <v>9990</v>
      </c>
    </row>
    <row r="207" spans="1:9" ht="12.75" customHeight="1" x14ac:dyDescent="0.2">
      <c r="A207" s="243" t="s">
        <v>18654</v>
      </c>
      <c r="B207" s="243" t="s">
        <v>18658</v>
      </c>
      <c r="C207" s="243" t="s">
        <v>18657</v>
      </c>
      <c r="D207" s="243" t="s">
        <v>4911</v>
      </c>
      <c r="E207" s="244">
        <v>16.079999999999998</v>
      </c>
      <c r="F207" s="243" t="s">
        <v>4912</v>
      </c>
      <c r="G207" s="243" t="s">
        <v>640</v>
      </c>
      <c r="H207" s="245">
        <v>9991</v>
      </c>
    </row>
    <row r="208" spans="1:9" ht="12.75" customHeight="1" x14ac:dyDescent="0.2">
      <c r="A208" s="243" t="s">
        <v>18654</v>
      </c>
      <c r="B208" s="243" t="s">
        <v>18656</v>
      </c>
      <c r="C208" s="243" t="s">
        <v>18655</v>
      </c>
      <c r="D208" s="243" t="s">
        <v>5289</v>
      </c>
      <c r="E208" s="244">
        <v>5.0999999999999996</v>
      </c>
      <c r="F208" s="243" t="s">
        <v>5290</v>
      </c>
      <c r="G208" s="243" t="s">
        <v>640</v>
      </c>
      <c r="H208" s="245">
        <v>9992</v>
      </c>
    </row>
    <row r="209" spans="1:8" ht="12.75" customHeight="1" x14ac:dyDescent="0.2">
      <c r="A209" s="243" t="s">
        <v>18654</v>
      </c>
      <c r="B209" s="243" t="s">
        <v>4504</v>
      </c>
      <c r="C209" s="243" t="s">
        <v>18653</v>
      </c>
      <c r="D209" s="243" t="s">
        <v>10805</v>
      </c>
      <c r="E209" s="244">
        <v>8.7100000000000009</v>
      </c>
      <c r="F209" s="243" t="s">
        <v>10804</v>
      </c>
      <c r="G209" s="243" t="s">
        <v>640</v>
      </c>
      <c r="H209" s="245">
        <v>9993</v>
      </c>
    </row>
    <row r="210" spans="1:8" ht="12.75" customHeight="1" x14ac:dyDescent="0.2">
      <c r="A210" s="243"/>
      <c r="B210" s="243"/>
      <c r="C210" s="247" t="s">
        <v>3579</v>
      </c>
      <c r="D210" s="243"/>
      <c r="E210" s="246">
        <f>SUM(E195:E209)</f>
        <v>89.06</v>
      </c>
      <c r="F210" s="243"/>
      <c r="G210" s="243"/>
      <c r="H210" s="245"/>
    </row>
    <row r="211" spans="1:8" ht="12.75" customHeight="1" x14ac:dyDescent="0.2">
      <c r="A211" s="243" t="s">
        <v>18633</v>
      </c>
      <c r="B211" s="243" t="s">
        <v>18652</v>
      </c>
      <c r="C211" s="243" t="s">
        <v>18651</v>
      </c>
      <c r="D211" s="243" t="s">
        <v>18650</v>
      </c>
      <c r="E211" s="244">
        <v>3.52</v>
      </c>
      <c r="F211" s="243" t="s">
        <v>18649</v>
      </c>
      <c r="G211" s="243" t="s">
        <v>640</v>
      </c>
      <c r="H211" s="245">
        <v>9994</v>
      </c>
    </row>
    <row r="212" spans="1:8" ht="12.75" customHeight="1" x14ac:dyDescent="0.2">
      <c r="A212" s="243" t="s">
        <v>18633</v>
      </c>
      <c r="B212" s="243" t="s">
        <v>18648</v>
      </c>
      <c r="C212" s="243" t="s">
        <v>18647</v>
      </c>
      <c r="D212" s="243" t="s">
        <v>646</v>
      </c>
      <c r="E212" s="244">
        <v>6.99</v>
      </c>
      <c r="F212" s="243" t="s">
        <v>645</v>
      </c>
      <c r="G212" s="243" t="s">
        <v>640</v>
      </c>
      <c r="H212" s="245">
        <v>9995</v>
      </c>
    </row>
    <row r="213" spans="1:8" ht="12.75" customHeight="1" x14ac:dyDescent="0.2">
      <c r="A213" s="243" t="s">
        <v>18633</v>
      </c>
      <c r="B213" s="243" t="s">
        <v>18646</v>
      </c>
      <c r="C213" s="243" t="s">
        <v>18645</v>
      </c>
      <c r="D213" s="243" t="s">
        <v>1316</v>
      </c>
      <c r="E213" s="244">
        <v>3.36</v>
      </c>
      <c r="F213" s="243" t="s">
        <v>1315</v>
      </c>
      <c r="G213" s="243" t="s">
        <v>640</v>
      </c>
      <c r="H213" s="245">
        <v>9996</v>
      </c>
    </row>
    <row r="214" spans="1:8" ht="12.75" customHeight="1" x14ac:dyDescent="0.2">
      <c r="A214" s="243" t="s">
        <v>18633</v>
      </c>
      <c r="B214" s="243" t="s">
        <v>18644</v>
      </c>
      <c r="C214" s="243" t="s">
        <v>18643</v>
      </c>
      <c r="D214" s="243" t="s">
        <v>1291</v>
      </c>
      <c r="E214" s="244">
        <v>1.76</v>
      </c>
      <c r="F214" s="243" t="s">
        <v>1290</v>
      </c>
      <c r="G214" s="243" t="s">
        <v>640</v>
      </c>
      <c r="H214" s="245">
        <v>9997</v>
      </c>
    </row>
    <row r="215" spans="1:8" ht="12.75" customHeight="1" x14ac:dyDescent="0.2">
      <c r="A215" s="243" t="s">
        <v>18633</v>
      </c>
      <c r="B215" s="243" t="s">
        <v>18642</v>
      </c>
      <c r="C215" s="243" t="s">
        <v>18641</v>
      </c>
      <c r="D215" s="243" t="s">
        <v>946</v>
      </c>
      <c r="E215" s="244">
        <v>34.11</v>
      </c>
      <c r="F215" s="243" t="s">
        <v>945</v>
      </c>
      <c r="G215" s="243" t="s">
        <v>640</v>
      </c>
      <c r="H215" s="245">
        <v>9998</v>
      </c>
    </row>
    <row r="216" spans="1:8" ht="12.75" customHeight="1" x14ac:dyDescent="0.2">
      <c r="A216" s="243" t="s">
        <v>18633</v>
      </c>
      <c r="B216" s="243" t="s">
        <v>18640</v>
      </c>
      <c r="C216" s="243" t="s">
        <v>18639</v>
      </c>
      <c r="D216" s="243" t="s">
        <v>6042</v>
      </c>
      <c r="E216" s="244">
        <v>6.94</v>
      </c>
      <c r="F216" s="243" t="s">
        <v>6043</v>
      </c>
      <c r="G216" s="243" t="s">
        <v>640</v>
      </c>
      <c r="H216" s="245">
        <v>9999</v>
      </c>
    </row>
    <row r="217" spans="1:8" ht="12.75" customHeight="1" x14ac:dyDescent="0.2">
      <c r="A217" s="243" t="s">
        <v>18633</v>
      </c>
      <c r="B217" s="243" t="s">
        <v>18638</v>
      </c>
      <c r="C217" s="243" t="s">
        <v>18637</v>
      </c>
      <c r="D217" s="243" t="s">
        <v>1146</v>
      </c>
      <c r="E217" s="244">
        <v>11.26</v>
      </c>
      <c r="F217" s="243" t="s">
        <v>673</v>
      </c>
      <c r="G217" s="243" t="s">
        <v>640</v>
      </c>
      <c r="H217" s="245">
        <v>10000</v>
      </c>
    </row>
    <row r="218" spans="1:8" ht="12.75" customHeight="1" x14ac:dyDescent="0.2">
      <c r="A218" s="243" t="s">
        <v>18633</v>
      </c>
      <c r="B218" s="243" t="s">
        <v>3209</v>
      </c>
      <c r="C218" s="243" t="s">
        <v>18636</v>
      </c>
      <c r="D218" s="243" t="s">
        <v>4295</v>
      </c>
      <c r="E218" s="244">
        <v>12.53</v>
      </c>
      <c r="F218" s="243" t="s">
        <v>4296</v>
      </c>
      <c r="G218" s="243" t="s">
        <v>640</v>
      </c>
      <c r="H218" s="245">
        <v>10001</v>
      </c>
    </row>
    <row r="219" spans="1:8" ht="12.75" customHeight="1" x14ac:dyDescent="0.2">
      <c r="A219" s="243" t="s">
        <v>18633</v>
      </c>
      <c r="B219" s="243" t="s">
        <v>18635</v>
      </c>
      <c r="C219" s="243" t="s">
        <v>18634</v>
      </c>
      <c r="D219" s="243" t="s">
        <v>679</v>
      </c>
      <c r="E219" s="244">
        <v>5.77</v>
      </c>
      <c r="F219" s="243" t="s">
        <v>678</v>
      </c>
      <c r="G219" s="243" t="s">
        <v>640</v>
      </c>
      <c r="H219" s="245">
        <v>10002</v>
      </c>
    </row>
    <row r="220" spans="1:8" ht="12.75" customHeight="1" x14ac:dyDescent="0.2">
      <c r="A220" s="243" t="s">
        <v>18633</v>
      </c>
      <c r="B220" s="243" t="s">
        <v>18632</v>
      </c>
      <c r="C220" s="243" t="s">
        <v>18631</v>
      </c>
      <c r="D220" s="243" t="s">
        <v>4335</v>
      </c>
      <c r="E220" s="244">
        <v>2.2599999999999998</v>
      </c>
      <c r="F220" s="243" t="s">
        <v>4336</v>
      </c>
      <c r="G220" s="243" t="s">
        <v>640</v>
      </c>
      <c r="H220" s="245">
        <v>10003</v>
      </c>
    </row>
    <row r="221" spans="1:8" ht="12.75" customHeight="1" x14ac:dyDescent="0.2">
      <c r="A221" s="243"/>
      <c r="B221" s="243"/>
      <c r="C221" s="247" t="s">
        <v>3579</v>
      </c>
      <c r="D221" s="243"/>
      <c r="E221" s="246">
        <f>SUM(E211:E220)</f>
        <v>88.5</v>
      </c>
      <c r="F221" s="243"/>
      <c r="G221" s="243"/>
      <c r="H221" s="245"/>
    </row>
    <row r="222" spans="1:8" ht="12.75" customHeight="1" x14ac:dyDescent="0.2">
      <c r="A222" s="243" t="s">
        <v>18614</v>
      </c>
      <c r="B222" s="243" t="s">
        <v>18630</v>
      </c>
      <c r="C222" s="243" t="s">
        <v>18629</v>
      </c>
      <c r="D222" s="243" t="s">
        <v>18628</v>
      </c>
      <c r="E222" s="244">
        <v>11.36</v>
      </c>
      <c r="F222" s="243" t="s">
        <v>18627</v>
      </c>
      <c r="G222" s="243" t="s">
        <v>640</v>
      </c>
      <c r="H222" s="245">
        <v>10004</v>
      </c>
    </row>
    <row r="223" spans="1:8" ht="12.75" customHeight="1" x14ac:dyDescent="0.2">
      <c r="A223" s="243" t="s">
        <v>18614</v>
      </c>
      <c r="B223" s="243" t="s">
        <v>18626</v>
      </c>
      <c r="C223" s="243" t="s">
        <v>18625</v>
      </c>
      <c r="D223" s="243" t="s">
        <v>18624</v>
      </c>
      <c r="E223" s="244">
        <v>3.37</v>
      </c>
      <c r="F223" s="243" t="s">
        <v>18623</v>
      </c>
      <c r="G223" s="243" t="s">
        <v>640</v>
      </c>
      <c r="H223" s="245">
        <v>10005</v>
      </c>
    </row>
    <row r="224" spans="1:8" ht="12.75" customHeight="1" x14ac:dyDescent="0.2">
      <c r="A224" s="243" t="s">
        <v>18614</v>
      </c>
      <c r="B224" s="243" t="s">
        <v>18622</v>
      </c>
      <c r="C224" s="243" t="s">
        <v>18621</v>
      </c>
      <c r="D224" s="243" t="s">
        <v>819</v>
      </c>
      <c r="E224" s="244">
        <v>3.9</v>
      </c>
      <c r="F224" s="243" t="s">
        <v>818</v>
      </c>
      <c r="G224" s="243" t="s">
        <v>640</v>
      </c>
      <c r="H224" s="245">
        <v>10006</v>
      </c>
    </row>
    <row r="225" spans="1:8" ht="12.75" customHeight="1" x14ac:dyDescent="0.2">
      <c r="A225" s="243" t="s">
        <v>18614</v>
      </c>
      <c r="B225" s="243" t="s">
        <v>18620</v>
      </c>
      <c r="C225" s="243" t="s">
        <v>18619</v>
      </c>
      <c r="D225" s="243" t="s">
        <v>3993</v>
      </c>
      <c r="E225" s="244">
        <v>3.62</v>
      </c>
      <c r="F225" s="243" t="s">
        <v>3994</v>
      </c>
      <c r="G225" s="243" t="s">
        <v>640</v>
      </c>
      <c r="H225" s="245">
        <v>10007</v>
      </c>
    </row>
    <row r="226" spans="1:8" ht="12.75" customHeight="1" x14ac:dyDescent="0.2">
      <c r="A226" s="243" t="s">
        <v>18614</v>
      </c>
      <c r="B226" s="243" t="s">
        <v>18618</v>
      </c>
      <c r="C226" s="243" t="s">
        <v>18617</v>
      </c>
      <c r="D226" s="243" t="s">
        <v>4531</v>
      </c>
      <c r="E226" s="244">
        <v>3.36</v>
      </c>
      <c r="F226" s="243" t="s">
        <v>4532</v>
      </c>
      <c r="G226" s="243" t="s">
        <v>640</v>
      </c>
      <c r="H226" s="245">
        <v>10008</v>
      </c>
    </row>
    <row r="227" spans="1:8" ht="12.75" customHeight="1" x14ac:dyDescent="0.2">
      <c r="A227" s="243" t="s">
        <v>18614</v>
      </c>
      <c r="B227" s="243" t="s">
        <v>18616</v>
      </c>
      <c r="C227" s="243" t="s">
        <v>18615</v>
      </c>
      <c r="D227" s="243" t="s">
        <v>1046</v>
      </c>
      <c r="E227" s="244">
        <v>3.93</v>
      </c>
      <c r="F227" s="243" t="s">
        <v>1045</v>
      </c>
      <c r="G227" s="243" t="s">
        <v>640</v>
      </c>
      <c r="H227" s="245">
        <v>10009</v>
      </c>
    </row>
    <row r="228" spans="1:8" ht="12.75" customHeight="1" x14ac:dyDescent="0.2">
      <c r="A228" s="243" t="s">
        <v>18614</v>
      </c>
      <c r="B228" s="243" t="s">
        <v>18613</v>
      </c>
      <c r="C228" s="243" t="s">
        <v>18612</v>
      </c>
      <c r="D228" s="243" t="s">
        <v>1038</v>
      </c>
      <c r="E228" s="244">
        <v>22.88</v>
      </c>
      <c r="F228" s="243" t="s">
        <v>1037</v>
      </c>
      <c r="G228" s="243" t="s">
        <v>640</v>
      </c>
      <c r="H228" s="245">
        <v>10010</v>
      </c>
    </row>
    <row r="229" spans="1:8" ht="12.75" customHeight="1" x14ac:dyDescent="0.2">
      <c r="A229" s="243"/>
      <c r="B229" s="243"/>
      <c r="C229" s="247" t="s">
        <v>3579</v>
      </c>
      <c r="D229" s="243"/>
      <c r="E229" s="246">
        <f>SUM(E222:E228)</f>
        <v>52.42</v>
      </c>
      <c r="F229" s="243"/>
      <c r="G229" s="243"/>
      <c r="H229" s="245"/>
    </row>
    <row r="230" spans="1:8" ht="12.75" customHeight="1" x14ac:dyDescent="0.2">
      <c r="A230" s="243" t="s">
        <v>18574</v>
      </c>
      <c r="B230" s="243" t="s">
        <v>18611</v>
      </c>
      <c r="C230" s="243" t="s">
        <v>18610</v>
      </c>
      <c r="D230" s="243" t="s">
        <v>1485</v>
      </c>
      <c r="E230" s="244">
        <v>4.97</v>
      </c>
      <c r="F230" s="243" t="s">
        <v>1484</v>
      </c>
      <c r="G230" s="243" t="s">
        <v>640</v>
      </c>
      <c r="H230" s="245">
        <v>10045</v>
      </c>
    </row>
    <row r="231" spans="1:8" ht="12.75" customHeight="1" x14ac:dyDescent="0.2">
      <c r="A231" s="243" t="s">
        <v>18574</v>
      </c>
      <c r="B231" s="243" t="s">
        <v>18609</v>
      </c>
      <c r="C231" s="243" t="s">
        <v>18608</v>
      </c>
      <c r="D231" s="243" t="s">
        <v>4789</v>
      </c>
      <c r="E231" s="244">
        <v>5.94</v>
      </c>
      <c r="F231" s="243" t="s">
        <v>4790</v>
      </c>
      <c r="G231" s="243" t="s">
        <v>640</v>
      </c>
      <c r="H231" s="245">
        <v>10046</v>
      </c>
    </row>
    <row r="232" spans="1:8" ht="12.75" customHeight="1" x14ac:dyDescent="0.2">
      <c r="A232" s="243" t="s">
        <v>18574</v>
      </c>
      <c r="B232" s="243" t="s">
        <v>18607</v>
      </c>
      <c r="C232" s="243" t="s">
        <v>18606</v>
      </c>
      <c r="D232" s="243" t="s">
        <v>3919</v>
      </c>
      <c r="E232" s="244">
        <v>5.79</v>
      </c>
      <c r="F232" s="243" t="s">
        <v>3920</v>
      </c>
      <c r="G232" s="243" t="s">
        <v>640</v>
      </c>
      <c r="H232" s="245">
        <v>10047</v>
      </c>
    </row>
    <row r="233" spans="1:8" ht="12.75" customHeight="1" x14ac:dyDescent="0.2">
      <c r="A233" s="243" t="s">
        <v>18574</v>
      </c>
      <c r="B233" s="243" t="s">
        <v>18605</v>
      </c>
      <c r="C233" s="243" t="s">
        <v>18604</v>
      </c>
      <c r="D233" s="243" t="s">
        <v>1333</v>
      </c>
      <c r="E233" s="244">
        <v>5.35</v>
      </c>
      <c r="F233" s="243" t="s">
        <v>1332</v>
      </c>
      <c r="G233" s="243" t="s">
        <v>640</v>
      </c>
      <c r="H233" s="245">
        <v>10048</v>
      </c>
    </row>
    <row r="234" spans="1:8" ht="12.75" customHeight="1" x14ac:dyDescent="0.2">
      <c r="A234" s="243" t="s">
        <v>18574</v>
      </c>
      <c r="B234" s="243" t="s">
        <v>18603</v>
      </c>
      <c r="C234" s="243" t="s">
        <v>18602</v>
      </c>
      <c r="D234" s="243" t="s">
        <v>11577</v>
      </c>
      <c r="E234" s="244">
        <v>4.72</v>
      </c>
      <c r="F234" s="243" t="s">
        <v>11576</v>
      </c>
      <c r="G234" s="243" t="s">
        <v>640</v>
      </c>
      <c r="H234" s="245">
        <v>10049</v>
      </c>
    </row>
    <row r="235" spans="1:8" ht="12.75" customHeight="1" x14ac:dyDescent="0.2">
      <c r="A235" s="243" t="s">
        <v>18574</v>
      </c>
      <c r="B235" s="243" t="s">
        <v>18601</v>
      </c>
      <c r="C235" s="243" t="s">
        <v>18600</v>
      </c>
      <c r="D235" s="243" t="s">
        <v>4228</v>
      </c>
      <c r="E235" s="244">
        <v>5.1100000000000003</v>
      </c>
      <c r="F235" s="243" t="s">
        <v>4229</v>
      </c>
      <c r="G235" s="243" t="s">
        <v>640</v>
      </c>
      <c r="H235" s="245">
        <v>10050</v>
      </c>
    </row>
    <row r="236" spans="1:8" ht="12.75" customHeight="1" x14ac:dyDescent="0.2">
      <c r="A236" s="243" t="s">
        <v>18574</v>
      </c>
      <c r="B236" s="243" t="s">
        <v>18599</v>
      </c>
      <c r="C236" s="243" t="s">
        <v>18598</v>
      </c>
      <c r="D236" s="243" t="s">
        <v>1458</v>
      </c>
      <c r="E236" s="244">
        <v>3.81</v>
      </c>
      <c r="F236" s="243" t="s">
        <v>1457</v>
      </c>
      <c r="G236" s="243" t="s">
        <v>640</v>
      </c>
      <c r="H236" s="245">
        <v>10051</v>
      </c>
    </row>
    <row r="237" spans="1:8" ht="12.75" customHeight="1" x14ac:dyDescent="0.2">
      <c r="A237" s="243" t="s">
        <v>18574</v>
      </c>
      <c r="B237" s="243" t="s">
        <v>18597</v>
      </c>
      <c r="C237" s="243" t="s">
        <v>18596</v>
      </c>
      <c r="D237" s="243" t="s">
        <v>18595</v>
      </c>
      <c r="E237" s="244">
        <v>25.14</v>
      </c>
      <c r="F237" s="243" t="s">
        <v>18594</v>
      </c>
      <c r="G237" s="243" t="s">
        <v>640</v>
      </c>
      <c r="H237" s="245">
        <v>10052</v>
      </c>
    </row>
    <row r="238" spans="1:8" ht="12.75" customHeight="1" x14ac:dyDescent="0.2">
      <c r="A238" s="243" t="s">
        <v>18574</v>
      </c>
      <c r="B238" s="243" t="s">
        <v>18593</v>
      </c>
      <c r="C238" s="243" t="s">
        <v>18592</v>
      </c>
      <c r="D238" s="243" t="s">
        <v>18591</v>
      </c>
      <c r="E238" s="244">
        <v>3.04</v>
      </c>
      <c r="F238" s="243" t="s">
        <v>18590</v>
      </c>
      <c r="G238" s="243" t="s">
        <v>640</v>
      </c>
      <c r="H238" s="245">
        <v>10053</v>
      </c>
    </row>
    <row r="239" spans="1:8" ht="12.75" customHeight="1" x14ac:dyDescent="0.2">
      <c r="A239" s="243" t="s">
        <v>18574</v>
      </c>
      <c r="B239" s="243" t="s">
        <v>3823</v>
      </c>
      <c r="C239" s="243" t="s">
        <v>18589</v>
      </c>
      <c r="D239" s="243" t="s">
        <v>13545</v>
      </c>
      <c r="E239" s="244">
        <v>0.27</v>
      </c>
      <c r="F239" s="243" t="s">
        <v>13544</v>
      </c>
      <c r="G239" s="243" t="s">
        <v>640</v>
      </c>
      <c r="H239" s="245">
        <v>10054</v>
      </c>
    </row>
    <row r="240" spans="1:8" ht="12.75" customHeight="1" x14ac:dyDescent="0.2">
      <c r="A240" s="243" t="s">
        <v>18574</v>
      </c>
      <c r="B240" s="243" t="s">
        <v>18588</v>
      </c>
      <c r="C240" s="243" t="s">
        <v>18587</v>
      </c>
      <c r="D240" s="243" t="s">
        <v>5270</v>
      </c>
      <c r="E240" s="244">
        <v>10.119999999999999</v>
      </c>
      <c r="F240" s="243" t="s">
        <v>738</v>
      </c>
      <c r="G240" s="243" t="s">
        <v>640</v>
      </c>
      <c r="H240" s="245">
        <v>10055</v>
      </c>
    </row>
    <row r="241" spans="1:8" ht="12.75" customHeight="1" x14ac:dyDescent="0.2">
      <c r="A241" s="243" t="s">
        <v>18574</v>
      </c>
      <c r="B241" s="243" t="s">
        <v>18586</v>
      </c>
      <c r="C241" s="243" t="s">
        <v>18585</v>
      </c>
      <c r="D241" s="243" t="s">
        <v>4169</v>
      </c>
      <c r="E241" s="244">
        <v>1.76</v>
      </c>
      <c r="F241" s="243" t="s">
        <v>4170</v>
      </c>
      <c r="G241" s="243" t="s">
        <v>640</v>
      </c>
      <c r="H241" s="245">
        <v>10056</v>
      </c>
    </row>
    <row r="242" spans="1:8" ht="12.75" customHeight="1" x14ac:dyDescent="0.2">
      <c r="A242" s="243" t="s">
        <v>18574</v>
      </c>
      <c r="B242" s="243" t="s">
        <v>18584</v>
      </c>
      <c r="C242" s="243" t="s">
        <v>18583</v>
      </c>
      <c r="D242" s="243" t="s">
        <v>4173</v>
      </c>
      <c r="E242" s="244">
        <v>1.68</v>
      </c>
      <c r="F242" s="243" t="s">
        <v>4174</v>
      </c>
      <c r="G242" s="243" t="s">
        <v>640</v>
      </c>
      <c r="H242" s="245">
        <v>10057</v>
      </c>
    </row>
    <row r="243" spans="1:8" ht="12.75" customHeight="1" x14ac:dyDescent="0.2">
      <c r="A243" s="243" t="s">
        <v>18574</v>
      </c>
      <c r="B243" s="243" t="s">
        <v>18582</v>
      </c>
      <c r="C243" s="243" t="s">
        <v>18581</v>
      </c>
      <c r="D243" s="243" t="s">
        <v>1361</v>
      </c>
      <c r="E243" s="244">
        <v>12.3</v>
      </c>
      <c r="F243" s="243" t="s">
        <v>1360</v>
      </c>
      <c r="G243" s="243" t="s">
        <v>640</v>
      </c>
      <c r="H243" s="245">
        <v>10058</v>
      </c>
    </row>
    <row r="244" spans="1:8" ht="12.75" customHeight="1" x14ac:dyDescent="0.2">
      <c r="A244" s="243" t="s">
        <v>18574</v>
      </c>
      <c r="B244" s="243" t="s">
        <v>18580</v>
      </c>
      <c r="C244" s="243" t="s">
        <v>18579</v>
      </c>
      <c r="D244" s="243" t="s">
        <v>930</v>
      </c>
      <c r="E244" s="244">
        <v>4.3099999999999996</v>
      </c>
      <c r="F244" s="243" t="s">
        <v>929</v>
      </c>
      <c r="G244" s="243" t="s">
        <v>640</v>
      </c>
      <c r="H244" s="245">
        <v>10059</v>
      </c>
    </row>
    <row r="245" spans="1:8" ht="12.75" customHeight="1" x14ac:dyDescent="0.2">
      <c r="A245" s="243" t="s">
        <v>18574</v>
      </c>
      <c r="B245" s="243" t="s">
        <v>18578</v>
      </c>
      <c r="C245" s="243" t="s">
        <v>18577</v>
      </c>
      <c r="D245" s="243" t="s">
        <v>644</v>
      </c>
      <c r="E245" s="244">
        <v>7.43</v>
      </c>
      <c r="F245" s="243" t="s">
        <v>643</v>
      </c>
      <c r="G245" s="243" t="s">
        <v>640</v>
      </c>
      <c r="H245" s="245">
        <v>10060</v>
      </c>
    </row>
    <row r="246" spans="1:8" ht="12.75" customHeight="1" x14ac:dyDescent="0.2">
      <c r="A246" s="243" t="s">
        <v>18574</v>
      </c>
      <c r="B246" s="243" t="s">
        <v>18576</v>
      </c>
      <c r="C246" s="243" t="s">
        <v>18575</v>
      </c>
      <c r="D246" s="243" t="s">
        <v>4367</v>
      </c>
      <c r="E246" s="244">
        <v>2.82</v>
      </c>
      <c r="F246" s="243" t="s">
        <v>4368</v>
      </c>
      <c r="G246" s="243" t="s">
        <v>640</v>
      </c>
      <c r="H246" s="245">
        <v>10061</v>
      </c>
    </row>
    <row r="247" spans="1:8" ht="12.75" customHeight="1" x14ac:dyDescent="0.2">
      <c r="A247" s="243" t="s">
        <v>18574</v>
      </c>
      <c r="B247" s="243" t="s">
        <v>18573</v>
      </c>
      <c r="C247" s="243" t="s">
        <v>18572</v>
      </c>
      <c r="D247" s="243" t="s">
        <v>1511</v>
      </c>
      <c r="E247" s="244">
        <v>2.16</v>
      </c>
      <c r="F247" s="243" t="s">
        <v>1510</v>
      </c>
      <c r="G247" s="243" t="s">
        <v>640</v>
      </c>
      <c r="H247" s="245">
        <v>10062</v>
      </c>
    </row>
    <row r="248" spans="1:8" ht="12.75" customHeight="1" x14ac:dyDescent="0.2">
      <c r="A248" s="243"/>
      <c r="B248" s="243"/>
      <c r="C248" s="247" t="s">
        <v>3579</v>
      </c>
      <c r="D248" s="243"/>
      <c r="E248" s="246">
        <f>SUM(E230:E247)</f>
        <v>106.72</v>
      </c>
      <c r="F248" s="243"/>
      <c r="G248" s="243"/>
      <c r="H248" s="245"/>
    </row>
    <row r="249" spans="1:8" ht="12.75" customHeight="1" x14ac:dyDescent="0.2">
      <c r="A249" s="243" t="s">
        <v>18539</v>
      </c>
      <c r="B249" s="243" t="s">
        <v>18571</v>
      </c>
      <c r="C249" s="243" t="s">
        <v>18570</v>
      </c>
      <c r="D249" s="243" t="s">
        <v>11304</v>
      </c>
      <c r="E249" s="244">
        <v>7.47</v>
      </c>
      <c r="F249" s="243" t="s">
        <v>11303</v>
      </c>
      <c r="G249" s="243" t="s">
        <v>640</v>
      </c>
      <c r="H249" s="245">
        <v>10096</v>
      </c>
    </row>
    <row r="250" spans="1:8" ht="12.75" customHeight="1" x14ac:dyDescent="0.2">
      <c r="A250" s="243" t="s">
        <v>18539</v>
      </c>
      <c r="B250" s="243" t="s">
        <v>18569</v>
      </c>
      <c r="C250" s="243" t="s">
        <v>18568</v>
      </c>
      <c r="D250" s="243" t="s">
        <v>14049</v>
      </c>
      <c r="E250" s="244">
        <v>1.85</v>
      </c>
      <c r="F250" s="243" t="s">
        <v>14048</v>
      </c>
      <c r="G250" s="243" t="s">
        <v>640</v>
      </c>
      <c r="H250" s="245">
        <v>10097</v>
      </c>
    </row>
    <row r="251" spans="1:8" ht="12.75" customHeight="1" x14ac:dyDescent="0.2">
      <c r="A251" s="243" t="s">
        <v>18539</v>
      </c>
      <c r="B251" s="243" t="s">
        <v>3591</v>
      </c>
      <c r="C251" s="243" t="s">
        <v>18567</v>
      </c>
      <c r="D251" s="243" t="s">
        <v>989</v>
      </c>
      <c r="E251" s="244">
        <v>18.45</v>
      </c>
      <c r="F251" s="243" t="s">
        <v>988</v>
      </c>
      <c r="G251" s="243" t="s">
        <v>640</v>
      </c>
      <c r="H251" s="245">
        <v>10098</v>
      </c>
    </row>
    <row r="252" spans="1:8" ht="12.75" customHeight="1" x14ac:dyDescent="0.2">
      <c r="A252" s="243" t="s">
        <v>18539</v>
      </c>
      <c r="B252" s="243" t="s">
        <v>18566</v>
      </c>
      <c r="C252" s="243" t="s">
        <v>18565</v>
      </c>
      <c r="D252" s="243" t="s">
        <v>5329</v>
      </c>
      <c r="E252" s="244">
        <v>2.3199999999999998</v>
      </c>
      <c r="F252" s="243" t="s">
        <v>5330</v>
      </c>
      <c r="G252" s="243" t="s">
        <v>640</v>
      </c>
      <c r="H252" s="245">
        <v>10099</v>
      </c>
    </row>
    <row r="253" spans="1:8" ht="12.75" customHeight="1" x14ac:dyDescent="0.2">
      <c r="A253" s="243" t="s">
        <v>18539</v>
      </c>
      <c r="B253" s="243" t="s">
        <v>18564</v>
      </c>
      <c r="C253" s="243" t="s">
        <v>18563</v>
      </c>
      <c r="D253" s="243" t="s">
        <v>5823</v>
      </c>
      <c r="E253" s="244">
        <v>10.59</v>
      </c>
      <c r="F253" s="243" t="s">
        <v>5824</v>
      </c>
      <c r="G253" s="243" t="s">
        <v>640</v>
      </c>
      <c r="H253" s="245">
        <v>10100</v>
      </c>
    </row>
    <row r="254" spans="1:8" ht="12.75" customHeight="1" x14ac:dyDescent="0.2">
      <c r="A254" s="243" t="s">
        <v>18539</v>
      </c>
      <c r="B254" s="243" t="s">
        <v>18562</v>
      </c>
      <c r="C254" s="243" t="s">
        <v>18561</v>
      </c>
      <c r="D254" s="243" t="s">
        <v>10536</v>
      </c>
      <c r="E254" s="244">
        <v>3.17</v>
      </c>
      <c r="F254" s="243" t="s">
        <v>10535</v>
      </c>
      <c r="G254" s="243" t="s">
        <v>640</v>
      </c>
      <c r="H254" s="245">
        <v>10101</v>
      </c>
    </row>
    <row r="255" spans="1:8" ht="12.75" customHeight="1" x14ac:dyDescent="0.2">
      <c r="A255" s="243" t="s">
        <v>18539</v>
      </c>
      <c r="B255" s="243" t="s">
        <v>18560</v>
      </c>
      <c r="C255" s="243" t="s">
        <v>18559</v>
      </c>
      <c r="D255" s="243" t="s">
        <v>1431</v>
      </c>
      <c r="E255" s="244">
        <v>5.97</v>
      </c>
      <c r="F255" s="243" t="s">
        <v>1430</v>
      </c>
      <c r="G255" s="243" t="s">
        <v>640</v>
      </c>
      <c r="H255" s="245">
        <v>10102</v>
      </c>
    </row>
    <row r="256" spans="1:8" ht="12.75" customHeight="1" x14ac:dyDescent="0.2">
      <c r="A256" s="243" t="s">
        <v>18539</v>
      </c>
      <c r="B256" s="243" t="s">
        <v>18558</v>
      </c>
      <c r="C256" s="243" t="s">
        <v>18557</v>
      </c>
      <c r="D256" s="243" t="s">
        <v>4109</v>
      </c>
      <c r="E256" s="244">
        <v>1.94</v>
      </c>
      <c r="F256" s="243" t="s">
        <v>16297</v>
      </c>
      <c r="G256" s="243" t="s">
        <v>640</v>
      </c>
      <c r="H256" s="245">
        <v>10103</v>
      </c>
    </row>
    <row r="257" spans="1:8" ht="12.75" customHeight="1" x14ac:dyDescent="0.2">
      <c r="A257" s="243" t="s">
        <v>18539</v>
      </c>
      <c r="B257" s="243" t="s">
        <v>18556</v>
      </c>
      <c r="C257" s="243" t="s">
        <v>18555</v>
      </c>
      <c r="D257" s="243" t="s">
        <v>922</v>
      </c>
      <c r="E257" s="244">
        <v>8.3800000000000008</v>
      </c>
      <c r="F257" s="243" t="s">
        <v>921</v>
      </c>
      <c r="G257" s="243" t="s">
        <v>640</v>
      </c>
      <c r="H257" s="245">
        <v>10104</v>
      </c>
    </row>
    <row r="258" spans="1:8" ht="12.75" customHeight="1" x14ac:dyDescent="0.2">
      <c r="A258" s="243" t="s">
        <v>18539</v>
      </c>
      <c r="B258" s="243" t="s">
        <v>18554</v>
      </c>
      <c r="C258" s="243" t="s">
        <v>18553</v>
      </c>
      <c r="D258" s="243" t="s">
        <v>3601</v>
      </c>
      <c r="E258" s="244">
        <v>1.68</v>
      </c>
      <c r="F258" s="243" t="s">
        <v>3602</v>
      </c>
      <c r="G258" s="243" t="s">
        <v>640</v>
      </c>
      <c r="H258" s="245">
        <v>10105</v>
      </c>
    </row>
    <row r="259" spans="1:8" ht="12.75" customHeight="1" x14ac:dyDescent="0.2">
      <c r="A259" s="243" t="s">
        <v>18539</v>
      </c>
      <c r="B259" s="243" t="s">
        <v>18552</v>
      </c>
      <c r="C259" s="243" t="s">
        <v>18551</v>
      </c>
      <c r="D259" s="243" t="s">
        <v>16247</v>
      </c>
      <c r="E259" s="244">
        <v>1.68</v>
      </c>
      <c r="F259" s="243" t="s">
        <v>16246</v>
      </c>
      <c r="G259" s="243" t="s">
        <v>640</v>
      </c>
      <c r="H259" s="245">
        <v>10106</v>
      </c>
    </row>
    <row r="260" spans="1:8" ht="12.75" customHeight="1" x14ac:dyDescent="0.2">
      <c r="A260" s="243" t="s">
        <v>18539</v>
      </c>
      <c r="B260" s="243" t="s">
        <v>18550</v>
      </c>
      <c r="C260" s="243" t="s">
        <v>18549</v>
      </c>
      <c r="D260" s="243" t="s">
        <v>13871</v>
      </c>
      <c r="E260" s="244">
        <v>0.37</v>
      </c>
      <c r="F260" s="243" t="s">
        <v>13870</v>
      </c>
      <c r="G260" s="243" t="s">
        <v>640</v>
      </c>
      <c r="H260" s="245">
        <v>10107</v>
      </c>
    </row>
    <row r="261" spans="1:8" ht="12.75" customHeight="1" x14ac:dyDescent="0.2">
      <c r="A261" s="243" t="s">
        <v>18539</v>
      </c>
      <c r="B261" s="243" t="s">
        <v>18548</v>
      </c>
      <c r="C261" s="243" t="s">
        <v>18547</v>
      </c>
      <c r="D261" s="243" t="s">
        <v>16354</v>
      </c>
      <c r="E261" s="244">
        <v>4.91</v>
      </c>
      <c r="F261" s="243" t="s">
        <v>13870</v>
      </c>
      <c r="G261" s="243" t="s">
        <v>640</v>
      </c>
      <c r="H261" s="245">
        <v>10108</v>
      </c>
    </row>
    <row r="262" spans="1:8" ht="12.75" customHeight="1" x14ac:dyDescent="0.2">
      <c r="A262" s="243" t="s">
        <v>18539</v>
      </c>
      <c r="B262" s="243" t="s">
        <v>18546</v>
      </c>
      <c r="C262" s="243" t="s">
        <v>18545</v>
      </c>
      <c r="D262" s="243" t="s">
        <v>1239</v>
      </c>
      <c r="E262" s="244">
        <v>6.22</v>
      </c>
      <c r="F262" s="243" t="s">
        <v>1238</v>
      </c>
      <c r="G262" s="243" t="s">
        <v>640</v>
      </c>
      <c r="H262" s="245">
        <v>10109</v>
      </c>
    </row>
    <row r="263" spans="1:8" ht="12.75" customHeight="1" x14ac:dyDescent="0.2">
      <c r="A263" s="243" t="s">
        <v>18539</v>
      </c>
      <c r="B263" s="243" t="s">
        <v>18544</v>
      </c>
      <c r="C263" s="243" t="s">
        <v>18543</v>
      </c>
      <c r="D263" s="243" t="s">
        <v>18542</v>
      </c>
      <c r="E263" s="244">
        <v>1.1299999999999999</v>
      </c>
      <c r="F263" s="243" t="s">
        <v>5965</v>
      </c>
      <c r="G263" s="243" t="s">
        <v>640</v>
      </c>
      <c r="H263" s="245">
        <v>10110</v>
      </c>
    </row>
    <row r="264" spans="1:8" ht="12.75" customHeight="1" x14ac:dyDescent="0.2">
      <c r="A264" s="243" t="s">
        <v>18539</v>
      </c>
      <c r="B264" s="243" t="s">
        <v>18541</v>
      </c>
      <c r="C264" s="243" t="s">
        <v>18540</v>
      </c>
      <c r="D264" s="243" t="s">
        <v>5964</v>
      </c>
      <c r="E264" s="244">
        <v>5.55</v>
      </c>
      <c r="F264" s="243" t="s">
        <v>5965</v>
      </c>
      <c r="G264" s="243" t="s">
        <v>640</v>
      </c>
      <c r="H264" s="245">
        <v>10111</v>
      </c>
    </row>
    <row r="265" spans="1:8" ht="12.75" customHeight="1" x14ac:dyDescent="0.2">
      <c r="A265" s="243" t="s">
        <v>18539</v>
      </c>
      <c r="B265" s="243" t="s">
        <v>18538</v>
      </c>
      <c r="C265" s="243" t="s">
        <v>18537</v>
      </c>
      <c r="D265" s="243" t="s">
        <v>18536</v>
      </c>
      <c r="E265" s="244">
        <v>6.11</v>
      </c>
      <c r="F265" s="243" t="s">
        <v>18535</v>
      </c>
      <c r="G265" s="243" t="s">
        <v>640</v>
      </c>
      <c r="H265" s="245">
        <v>10112</v>
      </c>
    </row>
    <row r="266" spans="1:8" ht="12.75" customHeight="1" x14ac:dyDescent="0.2">
      <c r="A266" s="243"/>
      <c r="B266" s="243"/>
      <c r="C266" s="247" t="s">
        <v>3579</v>
      </c>
      <c r="D266" s="243"/>
      <c r="E266" s="246">
        <f>SUM(E249:E265)</f>
        <v>87.789999999999992</v>
      </c>
      <c r="F266" s="243"/>
      <c r="G266" s="243"/>
      <c r="H266" s="245"/>
    </row>
    <row r="267" spans="1:8" ht="12.75" customHeight="1" x14ac:dyDescent="0.2">
      <c r="A267" s="243" t="s">
        <v>18506</v>
      </c>
      <c r="B267" s="243" t="s">
        <v>18534</v>
      </c>
      <c r="C267" s="243" t="s">
        <v>18533</v>
      </c>
      <c r="D267" s="243" t="s">
        <v>720</v>
      </c>
      <c r="E267" s="244">
        <v>2.48</v>
      </c>
      <c r="F267" s="243" t="s">
        <v>719</v>
      </c>
      <c r="G267" s="243" t="s">
        <v>640</v>
      </c>
      <c r="H267" s="245">
        <v>10134</v>
      </c>
    </row>
    <row r="268" spans="1:8" ht="12.75" customHeight="1" x14ac:dyDescent="0.2">
      <c r="A268" s="243" t="s">
        <v>18506</v>
      </c>
      <c r="B268" s="243" t="s">
        <v>18532</v>
      </c>
      <c r="C268" s="243" t="s">
        <v>18531</v>
      </c>
      <c r="D268" s="243" t="s">
        <v>11103</v>
      </c>
      <c r="E268" s="244">
        <v>3.98</v>
      </c>
      <c r="F268" s="243" t="s">
        <v>11102</v>
      </c>
      <c r="G268" s="243" t="s">
        <v>640</v>
      </c>
      <c r="H268" s="245">
        <v>10135</v>
      </c>
    </row>
    <row r="269" spans="1:8" ht="12.75" customHeight="1" x14ac:dyDescent="0.2">
      <c r="A269" s="243" t="s">
        <v>18506</v>
      </c>
      <c r="B269" s="243" t="s">
        <v>18530</v>
      </c>
      <c r="C269" s="243" t="s">
        <v>18529</v>
      </c>
      <c r="D269" s="243" t="s">
        <v>1392</v>
      </c>
      <c r="E269" s="244">
        <v>2.25</v>
      </c>
      <c r="F269" s="243" t="s">
        <v>1391</v>
      </c>
      <c r="G269" s="243" t="s">
        <v>640</v>
      </c>
      <c r="H269" s="245">
        <v>10136</v>
      </c>
    </row>
    <row r="270" spans="1:8" ht="12.75" customHeight="1" x14ac:dyDescent="0.2">
      <c r="A270" s="243" t="s">
        <v>18506</v>
      </c>
      <c r="B270" s="243" t="s">
        <v>18528</v>
      </c>
      <c r="C270" s="243" t="s">
        <v>18527</v>
      </c>
      <c r="D270" s="243" t="s">
        <v>1229</v>
      </c>
      <c r="E270" s="244">
        <v>1.81</v>
      </c>
      <c r="F270" s="243" t="s">
        <v>18526</v>
      </c>
      <c r="G270" s="243" t="s">
        <v>640</v>
      </c>
      <c r="H270" s="245">
        <v>10137</v>
      </c>
    </row>
    <row r="271" spans="1:8" ht="12.75" customHeight="1" x14ac:dyDescent="0.2">
      <c r="A271" s="243" t="s">
        <v>18506</v>
      </c>
      <c r="B271" s="243" t="s">
        <v>18525</v>
      </c>
      <c r="C271" s="243" t="s">
        <v>18524</v>
      </c>
      <c r="D271" s="243" t="s">
        <v>4968</v>
      </c>
      <c r="E271" s="244">
        <v>5.84</v>
      </c>
      <c r="F271" s="243" t="s">
        <v>4969</v>
      </c>
      <c r="G271" s="243" t="s">
        <v>640</v>
      </c>
      <c r="H271" s="245">
        <v>10138</v>
      </c>
    </row>
    <row r="272" spans="1:8" ht="12.75" customHeight="1" x14ac:dyDescent="0.2">
      <c r="A272" s="243" t="s">
        <v>18506</v>
      </c>
      <c r="B272" s="243" t="s">
        <v>18523</v>
      </c>
      <c r="C272" s="243" t="s">
        <v>18522</v>
      </c>
      <c r="D272" s="243" t="s">
        <v>677</v>
      </c>
      <c r="E272" s="244">
        <v>9.6199999999999992</v>
      </c>
      <c r="F272" s="243" t="s">
        <v>676</v>
      </c>
      <c r="G272" s="243" t="s">
        <v>640</v>
      </c>
      <c r="H272" s="245">
        <v>10139</v>
      </c>
    </row>
    <row r="273" spans="1:8" ht="12.75" customHeight="1" x14ac:dyDescent="0.2">
      <c r="A273" s="243" t="s">
        <v>18506</v>
      </c>
      <c r="B273" s="243" t="s">
        <v>18521</v>
      </c>
      <c r="C273" s="243" t="s">
        <v>18520</v>
      </c>
      <c r="D273" s="243" t="s">
        <v>765</v>
      </c>
      <c r="E273" s="244">
        <v>6.33</v>
      </c>
      <c r="F273" s="243" t="s">
        <v>764</v>
      </c>
      <c r="G273" s="243" t="s">
        <v>640</v>
      </c>
      <c r="H273" s="245">
        <v>10140</v>
      </c>
    </row>
    <row r="274" spans="1:8" ht="12.75" customHeight="1" x14ac:dyDescent="0.2">
      <c r="A274" s="243" t="s">
        <v>18506</v>
      </c>
      <c r="B274" s="243" t="s">
        <v>18519</v>
      </c>
      <c r="C274" s="243" t="s">
        <v>18518</v>
      </c>
      <c r="D274" s="243" t="s">
        <v>778</v>
      </c>
      <c r="E274" s="244">
        <v>7.54</v>
      </c>
      <c r="F274" s="243" t="s">
        <v>777</v>
      </c>
      <c r="G274" s="243" t="s">
        <v>640</v>
      </c>
      <c r="H274" s="245">
        <v>10141</v>
      </c>
    </row>
    <row r="275" spans="1:8" ht="12.75" customHeight="1" x14ac:dyDescent="0.2">
      <c r="A275" s="243" t="s">
        <v>18506</v>
      </c>
      <c r="B275" s="243" t="s">
        <v>18517</v>
      </c>
      <c r="C275" s="243" t="s">
        <v>18516</v>
      </c>
      <c r="D275" s="243" t="s">
        <v>16666</v>
      </c>
      <c r="E275" s="244">
        <v>1.61</v>
      </c>
      <c r="F275" s="243" t="s">
        <v>16665</v>
      </c>
      <c r="G275" s="243" t="s">
        <v>640</v>
      </c>
      <c r="H275" s="245">
        <v>10142</v>
      </c>
    </row>
    <row r="276" spans="1:8" ht="12.75" customHeight="1" x14ac:dyDescent="0.2">
      <c r="A276" s="243" t="s">
        <v>18506</v>
      </c>
      <c r="B276" s="243" t="s">
        <v>18515</v>
      </c>
      <c r="C276" s="243" t="s">
        <v>18514</v>
      </c>
      <c r="D276" s="243" t="s">
        <v>808</v>
      </c>
      <c r="E276" s="244">
        <v>1.68</v>
      </c>
      <c r="F276" s="243" t="s">
        <v>807</v>
      </c>
      <c r="G276" s="243" t="s">
        <v>640</v>
      </c>
      <c r="H276" s="245">
        <v>10143</v>
      </c>
    </row>
    <row r="277" spans="1:8" ht="12.75" customHeight="1" x14ac:dyDescent="0.2">
      <c r="A277" s="243" t="s">
        <v>18506</v>
      </c>
      <c r="B277" s="243" t="s">
        <v>18513</v>
      </c>
      <c r="C277" s="243" t="s">
        <v>18512</v>
      </c>
      <c r="D277" s="243" t="s">
        <v>13925</v>
      </c>
      <c r="E277" s="244">
        <v>3.4</v>
      </c>
      <c r="F277" s="243" t="s">
        <v>13924</v>
      </c>
      <c r="G277" s="243" t="s">
        <v>640</v>
      </c>
      <c r="H277" s="245">
        <v>10144</v>
      </c>
    </row>
    <row r="278" spans="1:8" ht="12.75" customHeight="1" x14ac:dyDescent="0.2">
      <c r="A278" s="243" t="s">
        <v>18506</v>
      </c>
      <c r="B278" s="243" t="s">
        <v>4359</v>
      </c>
      <c r="C278" s="243" t="s">
        <v>18511</v>
      </c>
      <c r="D278" s="243" t="s">
        <v>812</v>
      </c>
      <c r="E278" s="244">
        <v>8.3000000000000007</v>
      </c>
      <c r="F278" s="243" t="s">
        <v>811</v>
      </c>
      <c r="G278" s="243" t="s">
        <v>640</v>
      </c>
      <c r="H278" s="245">
        <v>10145</v>
      </c>
    </row>
    <row r="279" spans="1:8" ht="12.75" customHeight="1" x14ac:dyDescent="0.2">
      <c r="A279" s="243" t="s">
        <v>18506</v>
      </c>
      <c r="B279" s="243" t="s">
        <v>18510</v>
      </c>
      <c r="C279" s="243" t="s">
        <v>18509</v>
      </c>
      <c r="D279" s="243" t="s">
        <v>4427</v>
      </c>
      <c r="E279" s="244">
        <v>15.3</v>
      </c>
      <c r="F279" s="243" t="s">
        <v>4428</v>
      </c>
      <c r="G279" s="243" t="s">
        <v>640</v>
      </c>
      <c r="H279" s="245">
        <v>10146</v>
      </c>
    </row>
    <row r="280" spans="1:8" ht="12.75" customHeight="1" x14ac:dyDescent="0.2">
      <c r="A280" s="243" t="s">
        <v>18506</v>
      </c>
      <c r="B280" s="243" t="s">
        <v>18508</v>
      </c>
      <c r="C280" s="243" t="s">
        <v>18507</v>
      </c>
      <c r="D280" s="243" t="s">
        <v>974</v>
      </c>
      <c r="E280" s="244">
        <v>4.6100000000000003</v>
      </c>
      <c r="F280" s="243" t="s">
        <v>973</v>
      </c>
      <c r="G280" s="243" t="s">
        <v>640</v>
      </c>
      <c r="H280" s="245">
        <v>10147</v>
      </c>
    </row>
    <row r="281" spans="1:8" ht="12.75" customHeight="1" x14ac:dyDescent="0.2">
      <c r="A281" s="243" t="s">
        <v>18506</v>
      </c>
      <c r="B281" s="243" t="s">
        <v>18505</v>
      </c>
      <c r="C281" s="243" t="s">
        <v>18504</v>
      </c>
      <c r="D281" s="243" t="s">
        <v>1439</v>
      </c>
      <c r="E281" s="244">
        <v>5.31</v>
      </c>
      <c r="F281" s="243" t="s">
        <v>1438</v>
      </c>
      <c r="G281" s="243" t="s">
        <v>640</v>
      </c>
      <c r="H281" s="245">
        <v>10148</v>
      </c>
    </row>
    <row r="282" spans="1:8" ht="12.75" customHeight="1" x14ac:dyDescent="0.2">
      <c r="A282" s="243"/>
      <c r="B282" s="243"/>
      <c r="C282" s="247" t="s">
        <v>3579</v>
      </c>
      <c r="D282" s="243"/>
      <c r="E282" s="246">
        <f>SUM(E267:E281)</f>
        <v>80.059999999999988</v>
      </c>
      <c r="F282" s="243"/>
      <c r="G282" s="243"/>
      <c r="H282" s="245"/>
    </row>
    <row r="283" spans="1:8" ht="12.75" customHeight="1" x14ac:dyDescent="0.2">
      <c r="A283" s="243" t="s">
        <v>18463</v>
      </c>
      <c r="B283" s="243" t="s">
        <v>18503</v>
      </c>
      <c r="C283" s="243" t="s">
        <v>18502</v>
      </c>
      <c r="D283" s="243" t="s">
        <v>4498</v>
      </c>
      <c r="E283" s="244">
        <v>1.68</v>
      </c>
      <c r="F283" s="243" t="s">
        <v>4499</v>
      </c>
      <c r="G283" s="243" t="s">
        <v>640</v>
      </c>
      <c r="H283" s="245">
        <v>10180</v>
      </c>
    </row>
    <row r="284" spans="1:8" ht="12.75" customHeight="1" x14ac:dyDescent="0.2">
      <c r="A284" s="243" t="s">
        <v>18463</v>
      </c>
      <c r="B284" s="243" t="s">
        <v>18501</v>
      </c>
      <c r="C284" s="243" t="s">
        <v>18500</v>
      </c>
      <c r="D284" s="243" t="s">
        <v>3852</v>
      </c>
      <c r="E284" s="244">
        <v>4.63</v>
      </c>
      <c r="F284" s="243" t="s">
        <v>3853</v>
      </c>
      <c r="G284" s="243" t="s">
        <v>640</v>
      </c>
      <c r="H284" s="245">
        <v>10181</v>
      </c>
    </row>
    <row r="285" spans="1:8" ht="12.75" customHeight="1" x14ac:dyDescent="0.2">
      <c r="A285" s="243" t="s">
        <v>18463</v>
      </c>
      <c r="B285" s="243" t="s">
        <v>18499</v>
      </c>
      <c r="C285" s="243" t="s">
        <v>18498</v>
      </c>
      <c r="D285" s="243" t="s">
        <v>3720</v>
      </c>
      <c r="E285" s="244">
        <v>1.88</v>
      </c>
      <c r="F285" s="243" t="s">
        <v>3721</v>
      </c>
      <c r="G285" s="243" t="s">
        <v>640</v>
      </c>
      <c r="H285" s="245">
        <v>10182</v>
      </c>
    </row>
    <row r="286" spans="1:8" ht="12.75" customHeight="1" x14ac:dyDescent="0.2">
      <c r="A286" s="243" t="s">
        <v>18463</v>
      </c>
      <c r="B286" s="243" t="s">
        <v>18497</v>
      </c>
      <c r="C286" s="243" t="s">
        <v>18496</v>
      </c>
      <c r="D286" s="243" t="s">
        <v>10664</v>
      </c>
      <c r="E286" s="244">
        <v>4.25</v>
      </c>
      <c r="F286" s="243" t="s">
        <v>10663</v>
      </c>
      <c r="G286" s="243" t="s">
        <v>640</v>
      </c>
      <c r="H286" s="245">
        <v>10183</v>
      </c>
    </row>
    <row r="287" spans="1:8" ht="12.75" customHeight="1" x14ac:dyDescent="0.2">
      <c r="A287" s="243" t="s">
        <v>18463</v>
      </c>
      <c r="B287" s="243" t="s">
        <v>18495</v>
      </c>
      <c r="C287" s="243" t="s">
        <v>18494</v>
      </c>
      <c r="D287" s="243" t="s">
        <v>4594</v>
      </c>
      <c r="E287" s="244">
        <v>3.61</v>
      </c>
      <c r="F287" s="243" t="s">
        <v>4595</v>
      </c>
      <c r="G287" s="243" t="s">
        <v>640</v>
      </c>
      <c r="H287" s="245">
        <v>10184</v>
      </c>
    </row>
    <row r="288" spans="1:8" ht="12.75" customHeight="1" x14ac:dyDescent="0.2">
      <c r="A288" s="243" t="s">
        <v>18463</v>
      </c>
      <c r="B288" s="243" t="s">
        <v>18493</v>
      </c>
      <c r="C288" s="243" t="s">
        <v>18492</v>
      </c>
      <c r="D288" s="243" t="s">
        <v>10522</v>
      </c>
      <c r="E288" s="244">
        <v>4.4400000000000004</v>
      </c>
      <c r="F288" s="243" t="s">
        <v>10521</v>
      </c>
      <c r="G288" s="243" t="s">
        <v>640</v>
      </c>
      <c r="H288" s="245">
        <v>10185</v>
      </c>
    </row>
    <row r="289" spans="1:8" ht="12.75" customHeight="1" x14ac:dyDescent="0.2">
      <c r="A289" s="243" t="s">
        <v>18463</v>
      </c>
      <c r="B289" s="243" t="s">
        <v>18491</v>
      </c>
      <c r="C289" s="243" t="s">
        <v>18490</v>
      </c>
      <c r="D289" s="243" t="s">
        <v>840</v>
      </c>
      <c r="E289" s="244">
        <v>4.13</v>
      </c>
      <c r="F289" s="243" t="s">
        <v>839</v>
      </c>
      <c r="G289" s="243" t="s">
        <v>640</v>
      </c>
      <c r="H289" s="245">
        <v>10186</v>
      </c>
    </row>
    <row r="290" spans="1:8" ht="12.75" customHeight="1" x14ac:dyDescent="0.2">
      <c r="A290" s="243" t="s">
        <v>18463</v>
      </c>
      <c r="B290" s="243" t="s">
        <v>18489</v>
      </c>
      <c r="C290" s="243" t="s">
        <v>18488</v>
      </c>
      <c r="D290" s="243" t="s">
        <v>4874</v>
      </c>
      <c r="E290" s="244">
        <v>8.3800000000000008</v>
      </c>
      <c r="F290" s="243" t="s">
        <v>4875</v>
      </c>
      <c r="G290" s="243" t="s">
        <v>640</v>
      </c>
      <c r="H290" s="245">
        <v>10187</v>
      </c>
    </row>
    <row r="291" spans="1:8" ht="12.75" customHeight="1" x14ac:dyDescent="0.2">
      <c r="A291" s="243" t="s">
        <v>18463</v>
      </c>
      <c r="B291" s="243" t="s">
        <v>13820</v>
      </c>
      <c r="C291" s="243" t="s">
        <v>18487</v>
      </c>
      <c r="D291" s="243" t="s">
        <v>10883</v>
      </c>
      <c r="E291" s="244">
        <v>6.37</v>
      </c>
      <c r="F291" s="243" t="s">
        <v>10882</v>
      </c>
      <c r="G291" s="243" t="s">
        <v>640</v>
      </c>
      <c r="H291" s="245">
        <v>10188</v>
      </c>
    </row>
    <row r="292" spans="1:8" ht="12.75" customHeight="1" x14ac:dyDescent="0.2">
      <c r="A292" s="243" t="s">
        <v>18463</v>
      </c>
      <c r="B292" s="243" t="s">
        <v>18486</v>
      </c>
      <c r="C292" s="243" t="s">
        <v>18485</v>
      </c>
      <c r="D292" s="243" t="s">
        <v>18484</v>
      </c>
      <c r="E292" s="244">
        <v>17.07</v>
      </c>
      <c r="F292" s="243" t="s">
        <v>18483</v>
      </c>
      <c r="G292" s="243" t="s">
        <v>640</v>
      </c>
      <c r="H292" s="245">
        <v>10189</v>
      </c>
    </row>
    <row r="293" spans="1:8" ht="12.75" customHeight="1" x14ac:dyDescent="0.2">
      <c r="A293" s="243" t="s">
        <v>18463</v>
      </c>
      <c r="B293" s="243" t="s">
        <v>18482</v>
      </c>
      <c r="C293" s="243" t="s">
        <v>18481</v>
      </c>
      <c r="D293" s="243" t="s">
        <v>18480</v>
      </c>
      <c r="E293" s="244">
        <v>13.04</v>
      </c>
      <c r="F293" s="243" t="s">
        <v>18479</v>
      </c>
      <c r="G293" s="243" t="s">
        <v>640</v>
      </c>
      <c r="H293" s="245">
        <v>10190</v>
      </c>
    </row>
    <row r="294" spans="1:8" ht="12.75" customHeight="1" x14ac:dyDescent="0.2">
      <c r="A294" s="243" t="s">
        <v>18463</v>
      </c>
      <c r="B294" s="243" t="s">
        <v>18478</v>
      </c>
      <c r="C294" s="243" t="s">
        <v>18477</v>
      </c>
      <c r="D294" s="243" t="s">
        <v>4834</v>
      </c>
      <c r="E294" s="244">
        <v>1.68</v>
      </c>
      <c r="F294" s="243" t="s">
        <v>4835</v>
      </c>
      <c r="G294" s="243" t="s">
        <v>640</v>
      </c>
      <c r="H294" s="245">
        <v>10191</v>
      </c>
    </row>
    <row r="295" spans="1:8" ht="12.75" customHeight="1" x14ac:dyDescent="0.2">
      <c r="A295" s="243" t="s">
        <v>18463</v>
      </c>
      <c r="B295" s="243" t="s">
        <v>16213</v>
      </c>
      <c r="C295" s="243" t="s">
        <v>18476</v>
      </c>
      <c r="D295" s="243" t="s">
        <v>4216</v>
      </c>
      <c r="E295" s="244">
        <v>2.88</v>
      </c>
      <c r="F295" s="243" t="s">
        <v>4217</v>
      </c>
      <c r="G295" s="243" t="s">
        <v>640</v>
      </c>
      <c r="H295" s="245">
        <v>10192</v>
      </c>
    </row>
    <row r="296" spans="1:8" ht="12.75" customHeight="1" x14ac:dyDescent="0.2">
      <c r="A296" s="243" t="s">
        <v>18463</v>
      </c>
      <c r="B296" s="243" t="s">
        <v>18475</v>
      </c>
      <c r="C296" s="243" t="s">
        <v>18474</v>
      </c>
      <c r="D296" s="243" t="s">
        <v>692</v>
      </c>
      <c r="E296" s="244">
        <v>1.85</v>
      </c>
      <c r="F296" s="243" t="s">
        <v>691</v>
      </c>
      <c r="G296" s="243" t="s">
        <v>640</v>
      </c>
      <c r="H296" s="245">
        <v>10193</v>
      </c>
    </row>
    <row r="297" spans="1:8" ht="12.75" customHeight="1" x14ac:dyDescent="0.2">
      <c r="A297" s="243" t="s">
        <v>18463</v>
      </c>
      <c r="B297" s="243" t="s">
        <v>18473</v>
      </c>
      <c r="C297" s="243" t="s">
        <v>18472</v>
      </c>
      <c r="D297" s="243" t="s">
        <v>1375</v>
      </c>
      <c r="E297" s="244">
        <v>2.0299999999999998</v>
      </c>
      <c r="F297" s="243" t="s">
        <v>1374</v>
      </c>
      <c r="G297" s="243" t="s">
        <v>640</v>
      </c>
      <c r="H297" s="245">
        <v>10194</v>
      </c>
    </row>
    <row r="298" spans="1:8" ht="12.75" customHeight="1" x14ac:dyDescent="0.2">
      <c r="A298" s="243" t="s">
        <v>18463</v>
      </c>
      <c r="B298" s="243" t="s">
        <v>18471</v>
      </c>
      <c r="C298" s="243" t="s">
        <v>18470</v>
      </c>
      <c r="D298" s="243" t="s">
        <v>1036</v>
      </c>
      <c r="E298" s="244">
        <v>1.88</v>
      </c>
      <c r="F298" s="243" t="s">
        <v>1035</v>
      </c>
      <c r="G298" s="243" t="s">
        <v>640</v>
      </c>
      <c r="H298" s="245">
        <v>10195</v>
      </c>
    </row>
    <row r="299" spans="1:8" ht="12.75" customHeight="1" x14ac:dyDescent="0.2">
      <c r="A299" s="243" t="s">
        <v>18463</v>
      </c>
      <c r="B299" s="243" t="s">
        <v>18469</v>
      </c>
      <c r="C299" s="243" t="s">
        <v>18468</v>
      </c>
      <c r="D299" s="243" t="s">
        <v>18467</v>
      </c>
      <c r="E299" s="244">
        <v>13.37</v>
      </c>
      <c r="F299" s="243" t="s">
        <v>18466</v>
      </c>
      <c r="G299" s="243" t="s">
        <v>640</v>
      </c>
      <c r="H299" s="245">
        <v>10196</v>
      </c>
    </row>
    <row r="300" spans="1:8" ht="12.75" customHeight="1" x14ac:dyDescent="0.2">
      <c r="A300" s="243" t="s">
        <v>18463</v>
      </c>
      <c r="B300" s="243" t="s">
        <v>18465</v>
      </c>
      <c r="C300" s="243" t="s">
        <v>18464</v>
      </c>
      <c r="D300" s="243" t="s">
        <v>4206</v>
      </c>
      <c r="E300" s="244">
        <v>1.68</v>
      </c>
      <c r="F300" s="243" t="s">
        <v>4207</v>
      </c>
      <c r="G300" s="243" t="s">
        <v>640</v>
      </c>
      <c r="H300" s="245">
        <v>10197</v>
      </c>
    </row>
    <row r="301" spans="1:8" ht="12.75" customHeight="1" x14ac:dyDescent="0.2">
      <c r="A301" s="243" t="s">
        <v>18463</v>
      </c>
      <c r="B301" s="243" t="s">
        <v>18462</v>
      </c>
      <c r="C301" s="243" t="s">
        <v>18461</v>
      </c>
      <c r="D301" s="243" t="s">
        <v>702</v>
      </c>
      <c r="E301" s="244">
        <v>5.04</v>
      </c>
      <c r="F301" s="243" t="s">
        <v>701</v>
      </c>
      <c r="G301" s="243" t="s">
        <v>640</v>
      </c>
      <c r="H301" s="245">
        <v>10198</v>
      </c>
    </row>
    <row r="302" spans="1:8" ht="12.75" customHeight="1" x14ac:dyDescent="0.2">
      <c r="A302" s="243"/>
      <c r="B302" s="243"/>
      <c r="C302" s="247" t="s">
        <v>3579</v>
      </c>
      <c r="D302" s="243"/>
      <c r="E302" s="246">
        <f>SUM(E283:E301)</f>
        <v>99.89</v>
      </c>
      <c r="F302" s="243"/>
      <c r="G302" s="243"/>
      <c r="H302" s="245"/>
    </row>
    <row r="303" spans="1:8" ht="12.75" customHeight="1" x14ac:dyDescent="0.2">
      <c r="A303" s="243" t="s">
        <v>18430</v>
      </c>
      <c r="B303" s="243" t="s">
        <v>18460</v>
      </c>
      <c r="C303" s="243" t="s">
        <v>18459</v>
      </c>
      <c r="D303" s="243" t="s">
        <v>4062</v>
      </c>
      <c r="E303" s="244">
        <v>5.53</v>
      </c>
      <c r="F303" s="243" t="s">
        <v>4063</v>
      </c>
      <c r="G303" s="243" t="s">
        <v>640</v>
      </c>
      <c r="H303" s="245">
        <v>10242</v>
      </c>
    </row>
    <row r="304" spans="1:8" ht="12.75" customHeight="1" x14ac:dyDescent="0.2">
      <c r="A304" s="243" t="s">
        <v>18430</v>
      </c>
      <c r="B304" s="243" t="s">
        <v>18458</v>
      </c>
      <c r="C304" s="243" t="s">
        <v>18457</v>
      </c>
      <c r="D304" s="243" t="s">
        <v>10524</v>
      </c>
      <c r="E304" s="244">
        <v>3.08</v>
      </c>
      <c r="F304" s="243" t="s">
        <v>10523</v>
      </c>
      <c r="G304" s="243" t="s">
        <v>640</v>
      </c>
      <c r="H304" s="245">
        <v>10243</v>
      </c>
    </row>
    <row r="305" spans="1:8" ht="12.75" customHeight="1" x14ac:dyDescent="0.2">
      <c r="A305" s="243" t="s">
        <v>18430</v>
      </c>
      <c r="B305" s="243" t="s">
        <v>18456</v>
      </c>
      <c r="C305" s="243" t="s">
        <v>18455</v>
      </c>
      <c r="D305" s="243" t="s">
        <v>18454</v>
      </c>
      <c r="E305" s="244">
        <v>10.7</v>
      </c>
      <c r="F305" s="243" t="s">
        <v>18453</v>
      </c>
      <c r="G305" s="243" t="s">
        <v>640</v>
      </c>
      <c r="H305" s="245">
        <v>10244</v>
      </c>
    </row>
    <row r="306" spans="1:8" ht="12.75" customHeight="1" x14ac:dyDescent="0.2">
      <c r="A306" s="243" t="s">
        <v>18430</v>
      </c>
      <c r="B306" s="243" t="s">
        <v>18452</v>
      </c>
      <c r="C306" s="243" t="s">
        <v>18451</v>
      </c>
      <c r="D306" s="243" t="s">
        <v>1452</v>
      </c>
      <c r="E306" s="244">
        <v>5.47</v>
      </c>
      <c r="F306" s="243" t="s">
        <v>1451</v>
      </c>
      <c r="G306" s="243" t="s">
        <v>640</v>
      </c>
      <c r="H306" s="245">
        <v>10245</v>
      </c>
    </row>
    <row r="307" spans="1:8" ht="12.75" customHeight="1" x14ac:dyDescent="0.2">
      <c r="A307" s="243" t="s">
        <v>18430</v>
      </c>
      <c r="B307" s="243" t="s">
        <v>18450</v>
      </c>
      <c r="C307" s="243" t="s">
        <v>18449</v>
      </c>
      <c r="D307" s="243" t="s">
        <v>962</v>
      </c>
      <c r="E307" s="244">
        <v>7.88</v>
      </c>
      <c r="F307" s="243" t="s">
        <v>961</v>
      </c>
      <c r="G307" s="243" t="s">
        <v>640</v>
      </c>
      <c r="H307" s="245">
        <v>10246</v>
      </c>
    </row>
    <row r="308" spans="1:8" ht="12.75" customHeight="1" x14ac:dyDescent="0.2">
      <c r="A308" s="243" t="s">
        <v>18430</v>
      </c>
      <c r="B308" s="243" t="s">
        <v>18448</v>
      </c>
      <c r="C308" s="243" t="s">
        <v>18447</v>
      </c>
      <c r="D308" s="243" t="s">
        <v>18446</v>
      </c>
      <c r="E308" s="244">
        <v>5.04</v>
      </c>
      <c r="F308" s="243" t="s">
        <v>18445</v>
      </c>
      <c r="G308" s="243" t="s">
        <v>640</v>
      </c>
      <c r="H308" s="245">
        <v>10247</v>
      </c>
    </row>
    <row r="309" spans="1:8" ht="12.75" customHeight="1" x14ac:dyDescent="0.2">
      <c r="A309" s="243" t="s">
        <v>18430</v>
      </c>
      <c r="B309" s="243" t="s">
        <v>18444</v>
      </c>
      <c r="C309" s="243" t="s">
        <v>18443</v>
      </c>
      <c r="D309" s="243" t="s">
        <v>1446</v>
      </c>
      <c r="E309" s="244">
        <v>13.88</v>
      </c>
      <c r="F309" s="243" t="s">
        <v>1445</v>
      </c>
      <c r="G309" s="243" t="s">
        <v>640</v>
      </c>
      <c r="H309" s="245">
        <v>10248</v>
      </c>
    </row>
    <row r="310" spans="1:8" ht="12.75" customHeight="1" x14ac:dyDescent="0.2">
      <c r="A310" s="243" t="s">
        <v>18430</v>
      </c>
      <c r="B310" s="243" t="s">
        <v>18442</v>
      </c>
      <c r="C310" s="243" t="s">
        <v>18441</v>
      </c>
      <c r="D310" s="243" t="s">
        <v>3712</v>
      </c>
      <c r="E310" s="244">
        <v>5.44</v>
      </c>
      <c r="F310" s="243" t="s">
        <v>3713</v>
      </c>
      <c r="G310" s="243" t="s">
        <v>640</v>
      </c>
      <c r="H310" s="245">
        <v>10249</v>
      </c>
    </row>
    <row r="311" spans="1:8" ht="12.75" customHeight="1" x14ac:dyDescent="0.2">
      <c r="A311" s="243" t="s">
        <v>18430</v>
      </c>
      <c r="B311" s="243" t="s">
        <v>18314</v>
      </c>
      <c r="C311" s="243" t="s">
        <v>18440</v>
      </c>
      <c r="D311" s="243" t="s">
        <v>6038</v>
      </c>
      <c r="E311" s="244">
        <v>17.329999999999998</v>
      </c>
      <c r="F311" s="243" t="s">
        <v>6039</v>
      </c>
      <c r="G311" s="243" t="s">
        <v>640</v>
      </c>
      <c r="H311" s="245">
        <v>10250</v>
      </c>
    </row>
    <row r="312" spans="1:8" ht="12.75" customHeight="1" x14ac:dyDescent="0.2">
      <c r="A312" s="243" t="s">
        <v>18430</v>
      </c>
      <c r="B312" s="243" t="s">
        <v>18439</v>
      </c>
      <c r="C312" s="243" t="s">
        <v>18438</v>
      </c>
      <c r="D312" s="243" t="s">
        <v>1141</v>
      </c>
      <c r="E312" s="244">
        <v>1.72</v>
      </c>
      <c r="F312" s="243" t="s">
        <v>1140</v>
      </c>
      <c r="G312" s="243" t="s">
        <v>640</v>
      </c>
      <c r="H312" s="245">
        <v>10251</v>
      </c>
    </row>
    <row r="313" spans="1:8" ht="12.75" customHeight="1" x14ac:dyDescent="0.2">
      <c r="A313" s="243" t="s">
        <v>18430</v>
      </c>
      <c r="B313" s="243" t="s">
        <v>11323</v>
      </c>
      <c r="C313" s="243" t="s">
        <v>18437</v>
      </c>
      <c r="D313" s="243" t="s">
        <v>5554</v>
      </c>
      <c r="E313" s="244">
        <v>4.45</v>
      </c>
      <c r="F313" s="243" t="s">
        <v>5555</v>
      </c>
      <c r="G313" s="243" t="s">
        <v>640</v>
      </c>
      <c r="H313" s="245">
        <v>10252</v>
      </c>
    </row>
    <row r="314" spans="1:8" ht="12.75" customHeight="1" x14ac:dyDescent="0.2">
      <c r="A314" s="243" t="s">
        <v>18430</v>
      </c>
      <c r="B314" s="243" t="s">
        <v>18436</v>
      </c>
      <c r="C314" s="243" t="s">
        <v>18435</v>
      </c>
      <c r="D314" s="243" t="s">
        <v>18434</v>
      </c>
      <c r="E314" s="244">
        <v>0.76</v>
      </c>
      <c r="F314" s="243" t="s">
        <v>18433</v>
      </c>
      <c r="G314" s="243" t="s">
        <v>640</v>
      </c>
      <c r="H314" s="245">
        <v>10254</v>
      </c>
    </row>
    <row r="315" spans="1:8" ht="12.75" customHeight="1" x14ac:dyDescent="0.2">
      <c r="A315" s="243" t="s">
        <v>18430</v>
      </c>
      <c r="B315" s="243" t="s">
        <v>18432</v>
      </c>
      <c r="C315" s="243" t="s">
        <v>18431</v>
      </c>
      <c r="D315" s="243" t="s">
        <v>4888</v>
      </c>
      <c r="E315" s="244">
        <v>6.05</v>
      </c>
      <c r="F315" s="243" t="s">
        <v>4889</v>
      </c>
      <c r="G315" s="243" t="s">
        <v>640</v>
      </c>
      <c r="H315" s="245">
        <v>10255</v>
      </c>
    </row>
    <row r="316" spans="1:8" ht="12.75" customHeight="1" x14ac:dyDescent="0.2">
      <c r="A316" s="243" t="s">
        <v>18430</v>
      </c>
      <c r="B316" s="243" t="s">
        <v>18429</v>
      </c>
      <c r="C316" s="243" t="s">
        <v>18428</v>
      </c>
      <c r="D316" s="243" t="s">
        <v>1255</v>
      </c>
      <c r="E316" s="244">
        <v>23.25</v>
      </c>
      <c r="F316" s="243" t="s">
        <v>1254</v>
      </c>
      <c r="G316" s="243" t="s">
        <v>640</v>
      </c>
      <c r="H316" s="245">
        <v>10256</v>
      </c>
    </row>
    <row r="317" spans="1:8" ht="12.75" customHeight="1" x14ac:dyDescent="0.2">
      <c r="A317" s="243"/>
      <c r="B317" s="243"/>
      <c r="C317" s="247" t="s">
        <v>3740</v>
      </c>
      <c r="D317" s="243"/>
      <c r="E317" s="246">
        <f>SUM(E303:E316)</f>
        <v>110.58</v>
      </c>
      <c r="F317" s="243"/>
      <c r="G317" s="243"/>
      <c r="H317" s="245"/>
    </row>
    <row r="318" spans="1:8" ht="12.75" customHeight="1" x14ac:dyDescent="0.2">
      <c r="A318" s="243" t="s">
        <v>18406</v>
      </c>
      <c r="B318" s="243" t="s">
        <v>18427</v>
      </c>
      <c r="C318" s="243" t="s">
        <v>18426</v>
      </c>
      <c r="D318" s="243" t="s">
        <v>3973</v>
      </c>
      <c r="E318" s="244">
        <v>3.01</v>
      </c>
      <c r="F318" s="243" t="s">
        <v>3974</v>
      </c>
      <c r="G318" s="243" t="s">
        <v>640</v>
      </c>
      <c r="H318" s="245">
        <v>10257</v>
      </c>
    </row>
    <row r="319" spans="1:8" ht="12.75" customHeight="1" x14ac:dyDescent="0.2">
      <c r="A319" s="243" t="s">
        <v>18406</v>
      </c>
      <c r="B319" s="243" t="s">
        <v>18425</v>
      </c>
      <c r="C319" s="243" t="s">
        <v>18424</v>
      </c>
      <c r="D319" s="243" t="s">
        <v>1146</v>
      </c>
      <c r="E319" s="244">
        <v>11.26</v>
      </c>
      <c r="F319" s="243" t="s">
        <v>673</v>
      </c>
      <c r="G319" s="243" t="s">
        <v>640</v>
      </c>
      <c r="H319" s="245">
        <v>10665</v>
      </c>
    </row>
    <row r="320" spans="1:8" ht="12.75" customHeight="1" x14ac:dyDescent="0.2">
      <c r="A320" s="243" t="s">
        <v>18406</v>
      </c>
      <c r="B320" s="243" t="s">
        <v>18423</v>
      </c>
      <c r="C320" s="243" t="s">
        <v>18422</v>
      </c>
      <c r="D320" s="243" t="s">
        <v>1009</v>
      </c>
      <c r="E320" s="244">
        <v>1.68</v>
      </c>
      <c r="F320" s="243" t="s">
        <v>1008</v>
      </c>
      <c r="G320" s="243" t="s">
        <v>640</v>
      </c>
      <c r="H320" s="245">
        <v>10258</v>
      </c>
    </row>
    <row r="321" spans="1:8" ht="12.75" customHeight="1" x14ac:dyDescent="0.2">
      <c r="A321" s="243" t="s">
        <v>18406</v>
      </c>
      <c r="B321" s="243" t="s">
        <v>18421</v>
      </c>
      <c r="C321" s="243" t="s">
        <v>18420</v>
      </c>
      <c r="D321" s="243" t="s">
        <v>1275</v>
      </c>
      <c r="E321" s="244">
        <v>9.18</v>
      </c>
      <c r="F321" s="243" t="s">
        <v>1274</v>
      </c>
      <c r="G321" s="243" t="s">
        <v>640</v>
      </c>
      <c r="H321" s="245">
        <v>10259</v>
      </c>
    </row>
    <row r="322" spans="1:8" ht="12.75" customHeight="1" x14ac:dyDescent="0.2">
      <c r="A322" s="243" t="s">
        <v>18406</v>
      </c>
      <c r="B322" s="243" t="s">
        <v>18419</v>
      </c>
      <c r="C322" s="243" t="s">
        <v>18418</v>
      </c>
      <c r="D322" s="243" t="s">
        <v>18417</v>
      </c>
      <c r="E322" s="244">
        <v>13.27</v>
      </c>
      <c r="F322" s="243" t="s">
        <v>10999</v>
      </c>
      <c r="G322" s="243" t="s">
        <v>640</v>
      </c>
      <c r="H322" s="245">
        <v>10260</v>
      </c>
    </row>
    <row r="323" spans="1:8" ht="12.75" customHeight="1" x14ac:dyDescent="0.2">
      <c r="A323" s="243" t="s">
        <v>18406</v>
      </c>
      <c r="B323" s="243" t="s">
        <v>18416</v>
      </c>
      <c r="C323" s="243" t="s">
        <v>18415</v>
      </c>
      <c r="D323" s="243" t="s">
        <v>11000</v>
      </c>
      <c r="E323" s="244">
        <v>3.32</v>
      </c>
      <c r="F323" s="243" t="s">
        <v>10999</v>
      </c>
      <c r="G323" s="243" t="s">
        <v>640</v>
      </c>
      <c r="H323" s="245">
        <v>10261</v>
      </c>
    </row>
    <row r="324" spans="1:8" ht="12.75" customHeight="1" x14ac:dyDescent="0.2">
      <c r="A324" s="243" t="s">
        <v>18406</v>
      </c>
      <c r="B324" s="243" t="s">
        <v>18414</v>
      </c>
      <c r="C324" s="243" t="s">
        <v>18413</v>
      </c>
      <c r="D324" s="243" t="s">
        <v>1580</v>
      </c>
      <c r="E324" s="244">
        <v>13.32</v>
      </c>
      <c r="F324" s="243" t="s">
        <v>1581</v>
      </c>
      <c r="G324" s="243" t="s">
        <v>640</v>
      </c>
      <c r="H324" s="245">
        <v>10262</v>
      </c>
    </row>
    <row r="325" spans="1:8" ht="12.75" customHeight="1" x14ac:dyDescent="0.2">
      <c r="A325" s="243" t="s">
        <v>18406</v>
      </c>
      <c r="B325" s="243" t="s">
        <v>3371</v>
      </c>
      <c r="C325" s="243" t="s">
        <v>18412</v>
      </c>
      <c r="D325" s="243" t="s">
        <v>857</v>
      </c>
      <c r="E325" s="244">
        <v>2.5299999999999998</v>
      </c>
      <c r="F325" s="243" t="s">
        <v>856</v>
      </c>
      <c r="G325" s="243" t="s">
        <v>640</v>
      </c>
      <c r="H325" s="245">
        <v>10263</v>
      </c>
    </row>
    <row r="326" spans="1:8" ht="12.75" customHeight="1" x14ac:dyDescent="0.2">
      <c r="A326" s="243" t="s">
        <v>18406</v>
      </c>
      <c r="B326" s="243" t="s">
        <v>2810</v>
      </c>
      <c r="C326" s="243" t="s">
        <v>18411</v>
      </c>
      <c r="D326" s="243" t="s">
        <v>13233</v>
      </c>
      <c r="E326" s="244">
        <v>1.68</v>
      </c>
      <c r="F326" s="243" t="s">
        <v>13232</v>
      </c>
      <c r="G326" s="243" t="s">
        <v>640</v>
      </c>
      <c r="H326" s="245">
        <v>10264</v>
      </c>
    </row>
    <row r="327" spans="1:8" ht="12.75" customHeight="1" x14ac:dyDescent="0.2">
      <c r="A327" s="243" t="s">
        <v>18406</v>
      </c>
      <c r="B327" s="243" t="s">
        <v>18410</v>
      </c>
      <c r="C327" s="243" t="s">
        <v>18409</v>
      </c>
      <c r="D327" s="243" t="s">
        <v>3593</v>
      </c>
      <c r="E327" s="244">
        <v>14.02</v>
      </c>
      <c r="F327" s="243" t="s">
        <v>3594</v>
      </c>
      <c r="G327" s="243" t="s">
        <v>640</v>
      </c>
      <c r="H327" s="245">
        <v>10265</v>
      </c>
    </row>
    <row r="328" spans="1:8" ht="12.75" customHeight="1" x14ac:dyDescent="0.2">
      <c r="A328" s="243" t="s">
        <v>18406</v>
      </c>
      <c r="B328" s="243" t="s">
        <v>18408</v>
      </c>
      <c r="C328" s="243" t="s">
        <v>18407</v>
      </c>
      <c r="D328" s="243" t="s">
        <v>5787</v>
      </c>
      <c r="E328" s="244">
        <v>3.58</v>
      </c>
      <c r="F328" s="243" t="s">
        <v>5788</v>
      </c>
      <c r="G328" s="243" t="s">
        <v>640</v>
      </c>
      <c r="H328" s="245">
        <v>10266</v>
      </c>
    </row>
    <row r="329" spans="1:8" ht="12.75" customHeight="1" x14ac:dyDescent="0.2">
      <c r="A329" s="243" t="s">
        <v>18406</v>
      </c>
      <c r="B329" s="243" t="s">
        <v>18405</v>
      </c>
      <c r="C329" s="243" t="s">
        <v>18404</v>
      </c>
      <c r="D329" s="243" t="s">
        <v>1203</v>
      </c>
      <c r="E329" s="244">
        <v>3.36</v>
      </c>
      <c r="F329" s="243" t="s">
        <v>1202</v>
      </c>
      <c r="G329" s="243" t="s">
        <v>640</v>
      </c>
      <c r="H329" s="245">
        <v>10267</v>
      </c>
    </row>
    <row r="330" spans="1:8" ht="12.75" customHeight="1" x14ac:dyDescent="0.2">
      <c r="A330" s="243"/>
      <c r="B330" s="243"/>
      <c r="C330" s="247" t="s">
        <v>3740</v>
      </c>
      <c r="D330" s="243"/>
      <c r="E330" s="246">
        <f>SUM(E318:E329)</f>
        <v>80.209999999999994</v>
      </c>
      <c r="F330" s="243"/>
      <c r="G330" s="243"/>
      <c r="H330" s="245"/>
    </row>
    <row r="331" spans="1:8" ht="12.75" customHeight="1" x14ac:dyDescent="0.2">
      <c r="A331" s="243" t="s">
        <v>18397</v>
      </c>
      <c r="B331" s="243" t="s">
        <v>18403</v>
      </c>
      <c r="C331" s="243" t="s">
        <v>18402</v>
      </c>
      <c r="D331" s="243" t="s">
        <v>16386</v>
      </c>
      <c r="E331" s="244">
        <v>1.68</v>
      </c>
      <c r="F331" s="243" t="s">
        <v>16385</v>
      </c>
      <c r="G331" s="243" t="s">
        <v>640</v>
      </c>
      <c r="H331" s="245">
        <v>10268</v>
      </c>
    </row>
    <row r="332" spans="1:8" ht="12.75" customHeight="1" x14ac:dyDescent="0.2">
      <c r="A332" s="243" t="s">
        <v>18397</v>
      </c>
      <c r="B332" s="243" t="s">
        <v>18401</v>
      </c>
      <c r="C332" s="243" t="s">
        <v>18400</v>
      </c>
      <c r="D332" s="243" t="s">
        <v>980</v>
      </c>
      <c r="E332" s="244">
        <v>19.2</v>
      </c>
      <c r="F332" s="243" t="s">
        <v>979</v>
      </c>
      <c r="G332" s="243" t="s">
        <v>640</v>
      </c>
      <c r="H332" s="245">
        <v>10269</v>
      </c>
    </row>
    <row r="333" spans="1:8" ht="12.75" customHeight="1" x14ac:dyDescent="0.2">
      <c r="A333" s="243" t="s">
        <v>18397</v>
      </c>
      <c r="B333" s="243" t="s">
        <v>18399</v>
      </c>
      <c r="C333" s="243" t="s">
        <v>18398</v>
      </c>
      <c r="D333" s="243" t="s">
        <v>5322</v>
      </c>
      <c r="E333" s="244">
        <v>5.88</v>
      </c>
      <c r="F333" s="243" t="s">
        <v>5323</v>
      </c>
      <c r="G333" s="243" t="s">
        <v>640</v>
      </c>
      <c r="H333" s="245">
        <v>10270</v>
      </c>
    </row>
    <row r="334" spans="1:8" ht="12.75" customHeight="1" x14ac:dyDescent="0.2">
      <c r="A334" s="243" t="s">
        <v>18397</v>
      </c>
      <c r="B334" s="243" t="s">
        <v>18396</v>
      </c>
      <c r="C334" s="243" t="s">
        <v>18395</v>
      </c>
      <c r="D334" s="243" t="s">
        <v>1218</v>
      </c>
      <c r="E334" s="244">
        <v>10.6</v>
      </c>
      <c r="F334" s="243" t="s">
        <v>1217</v>
      </c>
      <c r="G334" s="243" t="s">
        <v>640</v>
      </c>
      <c r="H334" s="245">
        <v>10271</v>
      </c>
    </row>
    <row r="335" spans="1:8" ht="12.75" customHeight="1" x14ac:dyDescent="0.2">
      <c r="A335" s="243"/>
      <c r="B335" s="243"/>
      <c r="C335" s="247" t="s">
        <v>3740</v>
      </c>
      <c r="D335" s="243"/>
      <c r="E335" s="246">
        <f>SUM(E331:E334)</f>
        <v>37.36</v>
      </c>
      <c r="F335" s="243"/>
      <c r="G335" s="243"/>
      <c r="H335" s="245"/>
    </row>
    <row r="336" spans="1:8" ht="12.75" customHeight="1" x14ac:dyDescent="0.2">
      <c r="A336" s="243" t="s">
        <v>18353</v>
      </c>
      <c r="B336" s="243" t="s">
        <v>18394</v>
      </c>
      <c r="C336" s="243" t="s">
        <v>18393</v>
      </c>
      <c r="D336" s="243" t="s">
        <v>855</v>
      </c>
      <c r="E336" s="244">
        <v>10.43</v>
      </c>
      <c r="F336" s="243" t="s">
        <v>854</v>
      </c>
      <c r="G336" s="243" t="s">
        <v>640</v>
      </c>
      <c r="H336" s="245">
        <v>10310</v>
      </c>
    </row>
    <row r="337" spans="1:8" ht="12.75" customHeight="1" x14ac:dyDescent="0.2">
      <c r="A337" s="243" t="s">
        <v>18353</v>
      </c>
      <c r="B337" s="243" t="s">
        <v>18392</v>
      </c>
      <c r="C337" s="243" t="s">
        <v>18391</v>
      </c>
      <c r="D337" s="243" t="s">
        <v>800</v>
      </c>
      <c r="E337" s="244">
        <v>1.68</v>
      </c>
      <c r="F337" s="243" t="s">
        <v>799</v>
      </c>
      <c r="G337" s="243" t="s">
        <v>640</v>
      </c>
      <c r="H337" s="245">
        <v>10311</v>
      </c>
    </row>
    <row r="338" spans="1:8" ht="12.75" customHeight="1" x14ac:dyDescent="0.2">
      <c r="A338" s="243" t="s">
        <v>18353</v>
      </c>
      <c r="B338" s="243" t="s">
        <v>18390</v>
      </c>
      <c r="C338" s="243" t="s">
        <v>18389</v>
      </c>
      <c r="D338" s="243" t="s">
        <v>10904</v>
      </c>
      <c r="E338" s="244">
        <v>2.36</v>
      </c>
      <c r="F338" s="243" t="s">
        <v>10903</v>
      </c>
      <c r="G338" s="243" t="s">
        <v>640</v>
      </c>
      <c r="H338" s="245">
        <v>10312</v>
      </c>
    </row>
    <row r="339" spans="1:8" ht="12.75" customHeight="1" x14ac:dyDescent="0.2">
      <c r="A339" s="243" t="s">
        <v>18353</v>
      </c>
      <c r="B339" s="243" t="s">
        <v>18388</v>
      </c>
      <c r="C339" s="243" t="s">
        <v>18387</v>
      </c>
      <c r="D339" s="243" t="s">
        <v>3621</v>
      </c>
      <c r="E339" s="244">
        <v>3.71</v>
      </c>
      <c r="F339" s="243" t="s">
        <v>3622</v>
      </c>
      <c r="G339" s="243" t="s">
        <v>640</v>
      </c>
      <c r="H339" s="245">
        <v>10313</v>
      </c>
    </row>
    <row r="340" spans="1:8" ht="12.75" customHeight="1" x14ac:dyDescent="0.2">
      <c r="A340" s="243" t="s">
        <v>18353</v>
      </c>
      <c r="B340" s="243" t="s">
        <v>18386</v>
      </c>
      <c r="C340" s="243" t="s">
        <v>18385</v>
      </c>
      <c r="D340" s="243" t="s">
        <v>1483</v>
      </c>
      <c r="E340" s="244">
        <v>1.94</v>
      </c>
      <c r="F340" s="243" t="s">
        <v>1482</v>
      </c>
      <c r="G340" s="243" t="s">
        <v>640</v>
      </c>
      <c r="H340" s="245">
        <v>10314</v>
      </c>
    </row>
    <row r="341" spans="1:8" ht="12.75" customHeight="1" x14ac:dyDescent="0.2">
      <c r="A341" s="243" t="s">
        <v>18353</v>
      </c>
      <c r="B341" s="243" t="s">
        <v>18384</v>
      </c>
      <c r="C341" s="243" t="s">
        <v>18383</v>
      </c>
      <c r="D341" s="243" t="s">
        <v>3484</v>
      </c>
      <c r="E341" s="244">
        <v>4.42</v>
      </c>
      <c r="F341" s="243" t="s">
        <v>3485</v>
      </c>
      <c r="G341" s="243" t="s">
        <v>640</v>
      </c>
      <c r="H341" s="245">
        <v>10315</v>
      </c>
    </row>
    <row r="342" spans="1:8" ht="12.75" customHeight="1" x14ac:dyDescent="0.2">
      <c r="A342" s="243" t="s">
        <v>18353</v>
      </c>
      <c r="B342" s="243" t="s">
        <v>18382</v>
      </c>
      <c r="C342" s="243" t="s">
        <v>18381</v>
      </c>
      <c r="D342" s="243" t="s">
        <v>11566</v>
      </c>
      <c r="E342" s="244">
        <v>2.74</v>
      </c>
      <c r="F342" s="243" t="s">
        <v>11565</v>
      </c>
      <c r="G342" s="243" t="s">
        <v>640</v>
      </c>
      <c r="H342" s="245">
        <v>10316</v>
      </c>
    </row>
    <row r="343" spans="1:8" ht="12.75" customHeight="1" x14ac:dyDescent="0.2">
      <c r="A343" s="243" t="s">
        <v>18353</v>
      </c>
      <c r="B343" s="243" t="s">
        <v>18380</v>
      </c>
      <c r="C343" s="243" t="s">
        <v>18379</v>
      </c>
      <c r="D343" s="243" t="s">
        <v>4785</v>
      </c>
      <c r="E343" s="244">
        <v>2.65</v>
      </c>
      <c r="F343" s="243" t="s">
        <v>4786</v>
      </c>
      <c r="G343" s="243" t="s">
        <v>640</v>
      </c>
      <c r="H343" s="245">
        <v>10317</v>
      </c>
    </row>
    <row r="344" spans="1:8" ht="12.75" customHeight="1" x14ac:dyDescent="0.2">
      <c r="A344" s="243" t="s">
        <v>18353</v>
      </c>
      <c r="B344" s="243" t="s">
        <v>18378</v>
      </c>
      <c r="C344" s="243" t="s">
        <v>18377</v>
      </c>
      <c r="D344" s="243" t="s">
        <v>1357</v>
      </c>
      <c r="E344" s="244">
        <v>3.76</v>
      </c>
      <c r="F344" s="243" t="s">
        <v>1356</v>
      </c>
      <c r="G344" s="243" t="s">
        <v>640</v>
      </c>
      <c r="H344" s="245">
        <v>10318</v>
      </c>
    </row>
    <row r="345" spans="1:8" ht="12.75" customHeight="1" x14ac:dyDescent="0.2">
      <c r="A345" s="243" t="s">
        <v>18353</v>
      </c>
      <c r="B345" s="243" t="s">
        <v>14269</v>
      </c>
      <c r="C345" s="243" t="s">
        <v>18376</v>
      </c>
      <c r="D345" s="243" t="s">
        <v>938</v>
      </c>
      <c r="E345" s="244">
        <v>1.68</v>
      </c>
      <c r="F345" s="243" t="s">
        <v>937</v>
      </c>
      <c r="G345" s="243" t="s">
        <v>640</v>
      </c>
      <c r="H345" s="245">
        <v>10319</v>
      </c>
    </row>
    <row r="346" spans="1:8" ht="12.75" customHeight="1" x14ac:dyDescent="0.2">
      <c r="A346" s="243" t="s">
        <v>18353</v>
      </c>
      <c r="B346" s="243" t="s">
        <v>18375</v>
      </c>
      <c r="C346" s="243" t="s">
        <v>18374</v>
      </c>
      <c r="D346" s="243" t="s">
        <v>5636</v>
      </c>
      <c r="E346" s="244">
        <v>1.68</v>
      </c>
      <c r="F346" s="243" t="s">
        <v>5637</v>
      </c>
      <c r="G346" s="243" t="s">
        <v>640</v>
      </c>
      <c r="H346" s="245">
        <v>10320</v>
      </c>
    </row>
    <row r="347" spans="1:8" ht="12.75" customHeight="1" x14ac:dyDescent="0.2">
      <c r="A347" s="243" t="s">
        <v>18353</v>
      </c>
      <c r="B347" s="243" t="s">
        <v>5785</v>
      </c>
      <c r="C347" s="243" t="s">
        <v>18373</v>
      </c>
      <c r="D347" s="243" t="s">
        <v>1024</v>
      </c>
      <c r="E347" s="244">
        <v>10.62</v>
      </c>
      <c r="F347" s="243" t="s">
        <v>1023</v>
      </c>
      <c r="G347" s="243" t="s">
        <v>640</v>
      </c>
      <c r="H347" s="245">
        <v>10321</v>
      </c>
    </row>
    <row r="348" spans="1:8" ht="12.75" customHeight="1" x14ac:dyDescent="0.2">
      <c r="A348" s="243" t="s">
        <v>18353</v>
      </c>
      <c r="B348" s="243" t="s">
        <v>18372</v>
      </c>
      <c r="C348" s="243" t="s">
        <v>18371</v>
      </c>
      <c r="D348" s="243" t="s">
        <v>4332</v>
      </c>
      <c r="E348" s="244">
        <v>1.94</v>
      </c>
      <c r="F348" s="243" t="s">
        <v>4329</v>
      </c>
      <c r="G348" s="243" t="s">
        <v>640</v>
      </c>
      <c r="H348" s="245">
        <v>10322</v>
      </c>
    </row>
    <row r="349" spans="1:8" ht="12.75" customHeight="1" x14ac:dyDescent="0.2">
      <c r="A349" s="243" t="s">
        <v>18353</v>
      </c>
      <c r="B349" s="243" t="s">
        <v>18370</v>
      </c>
      <c r="C349" s="243" t="s">
        <v>18369</v>
      </c>
      <c r="D349" s="243" t="s">
        <v>4328</v>
      </c>
      <c r="E349" s="244">
        <v>1.94</v>
      </c>
      <c r="F349" s="243" t="s">
        <v>4329</v>
      </c>
      <c r="G349" s="243" t="s">
        <v>640</v>
      </c>
      <c r="H349" s="245">
        <v>10323</v>
      </c>
    </row>
    <row r="350" spans="1:8" ht="12.75" customHeight="1" x14ac:dyDescent="0.2">
      <c r="A350" s="243" t="s">
        <v>18353</v>
      </c>
      <c r="B350" s="243" t="s">
        <v>18368</v>
      </c>
      <c r="C350" s="243" t="s">
        <v>18367</v>
      </c>
      <c r="D350" s="243" t="s">
        <v>5928</v>
      </c>
      <c r="E350" s="244">
        <v>3.84</v>
      </c>
      <c r="F350" s="243" t="s">
        <v>5929</v>
      </c>
      <c r="G350" s="243" t="s">
        <v>640</v>
      </c>
      <c r="H350" s="245">
        <v>10324</v>
      </c>
    </row>
    <row r="351" spans="1:8" ht="12.75" customHeight="1" x14ac:dyDescent="0.2">
      <c r="A351" s="243" t="s">
        <v>18353</v>
      </c>
      <c r="B351" s="243" t="s">
        <v>18366</v>
      </c>
      <c r="C351" s="243" t="s">
        <v>18365</v>
      </c>
      <c r="D351" s="243" t="s">
        <v>1577</v>
      </c>
      <c r="E351" s="244">
        <v>3.87</v>
      </c>
      <c r="F351" s="243" t="s">
        <v>1576</v>
      </c>
      <c r="G351" s="243" t="s">
        <v>640</v>
      </c>
      <c r="H351" s="245">
        <v>10325</v>
      </c>
    </row>
    <row r="352" spans="1:8" ht="12.75" customHeight="1" x14ac:dyDescent="0.2">
      <c r="A352" s="243" t="s">
        <v>18353</v>
      </c>
      <c r="B352" s="243" t="s">
        <v>14138</v>
      </c>
      <c r="C352" s="243" t="s">
        <v>18364</v>
      </c>
      <c r="D352" s="243" t="s">
        <v>3659</v>
      </c>
      <c r="E352" s="244">
        <v>2.5299999999999998</v>
      </c>
      <c r="F352" s="243" t="s">
        <v>3660</v>
      </c>
      <c r="G352" s="243" t="s">
        <v>640</v>
      </c>
      <c r="H352" s="245">
        <v>10326</v>
      </c>
    </row>
    <row r="353" spans="1:8" ht="12.75" customHeight="1" x14ac:dyDescent="0.2">
      <c r="A353" s="243" t="s">
        <v>18353</v>
      </c>
      <c r="B353" s="243" t="s">
        <v>18363</v>
      </c>
      <c r="C353" s="243" t="s">
        <v>18362</v>
      </c>
      <c r="D353" s="243" t="s">
        <v>867</v>
      </c>
      <c r="E353" s="244">
        <v>2.79</v>
      </c>
      <c r="F353" s="243" t="s">
        <v>866</v>
      </c>
      <c r="G353" s="243" t="s">
        <v>640</v>
      </c>
      <c r="H353" s="245">
        <v>10327</v>
      </c>
    </row>
    <row r="354" spans="1:8" ht="12.75" customHeight="1" x14ac:dyDescent="0.2">
      <c r="A354" s="243" t="s">
        <v>18353</v>
      </c>
      <c r="B354" s="243" t="s">
        <v>18361</v>
      </c>
      <c r="C354" s="243" t="s">
        <v>18360</v>
      </c>
      <c r="D354" s="243" t="s">
        <v>1241</v>
      </c>
      <c r="E354" s="244">
        <v>1.93</v>
      </c>
      <c r="F354" s="243" t="s">
        <v>1240</v>
      </c>
      <c r="G354" s="243" t="s">
        <v>640</v>
      </c>
      <c r="H354" s="245">
        <v>10328</v>
      </c>
    </row>
    <row r="355" spans="1:8" ht="12.75" customHeight="1" x14ac:dyDescent="0.2">
      <c r="A355" s="243" t="s">
        <v>18353</v>
      </c>
      <c r="B355" s="243" t="s">
        <v>18359</v>
      </c>
      <c r="C355" s="243" t="s">
        <v>18358</v>
      </c>
      <c r="D355" s="243" t="s">
        <v>704</v>
      </c>
      <c r="E355" s="244">
        <v>12.25</v>
      </c>
      <c r="F355" s="243" t="s">
        <v>703</v>
      </c>
      <c r="G355" s="243" t="s">
        <v>640</v>
      </c>
      <c r="H355" s="245">
        <v>10331</v>
      </c>
    </row>
    <row r="356" spans="1:8" ht="12.75" customHeight="1" x14ac:dyDescent="0.2">
      <c r="A356" s="243" t="s">
        <v>18353</v>
      </c>
      <c r="B356" s="243" t="s">
        <v>18357</v>
      </c>
      <c r="C356" s="243" t="s">
        <v>18356</v>
      </c>
      <c r="D356" s="243" t="s">
        <v>4371</v>
      </c>
      <c r="E356" s="244">
        <v>3.33</v>
      </c>
      <c r="F356" s="243" t="s">
        <v>4372</v>
      </c>
      <c r="G356" s="243" t="s">
        <v>640</v>
      </c>
      <c r="H356" s="245">
        <v>10332</v>
      </c>
    </row>
    <row r="357" spans="1:8" ht="12.75" customHeight="1" x14ac:dyDescent="0.2">
      <c r="A357" s="243" t="s">
        <v>18353</v>
      </c>
      <c r="B357" s="243" t="s">
        <v>18355</v>
      </c>
      <c r="C357" s="243" t="s">
        <v>18354</v>
      </c>
      <c r="D357" s="243" t="s">
        <v>5683</v>
      </c>
      <c r="E357" s="244">
        <v>5.22</v>
      </c>
      <c r="F357" s="243" t="s">
        <v>5684</v>
      </c>
      <c r="G357" s="243" t="s">
        <v>640</v>
      </c>
      <c r="H357" s="245">
        <v>10333</v>
      </c>
    </row>
    <row r="358" spans="1:8" ht="12.75" customHeight="1" x14ac:dyDescent="0.2">
      <c r="A358" s="243" t="s">
        <v>18353</v>
      </c>
      <c r="B358" s="243" t="s">
        <v>18352</v>
      </c>
      <c r="C358" s="243" t="s">
        <v>18351</v>
      </c>
      <c r="D358" s="243" t="s">
        <v>18350</v>
      </c>
      <c r="E358" s="244">
        <v>25.62</v>
      </c>
      <c r="F358" s="243" t="s">
        <v>18349</v>
      </c>
      <c r="G358" s="243" t="s">
        <v>640</v>
      </c>
      <c r="H358" s="245">
        <v>10334</v>
      </c>
    </row>
    <row r="359" spans="1:8" ht="12.75" customHeight="1" x14ac:dyDescent="0.2">
      <c r="A359" s="243"/>
      <c r="B359" s="243"/>
      <c r="C359" s="247" t="s">
        <v>3740</v>
      </c>
      <c r="D359" s="243"/>
      <c r="E359" s="246">
        <f>SUM(E336:E358)</f>
        <v>112.92999999999999</v>
      </c>
      <c r="F359" s="243"/>
      <c r="G359" s="243"/>
      <c r="H359" s="245"/>
    </row>
    <row r="360" spans="1:8" ht="12.75" customHeight="1" x14ac:dyDescent="0.2">
      <c r="A360" s="243" t="s">
        <v>18327</v>
      </c>
      <c r="B360" s="243" t="s">
        <v>18348</v>
      </c>
      <c r="C360" s="243" t="s">
        <v>18347</v>
      </c>
      <c r="D360" s="243" t="s">
        <v>14333</v>
      </c>
      <c r="E360" s="244">
        <v>3.38</v>
      </c>
      <c r="F360" s="243" t="s">
        <v>14332</v>
      </c>
      <c r="G360" s="243" t="s">
        <v>640</v>
      </c>
      <c r="H360" s="245">
        <v>10355</v>
      </c>
    </row>
    <row r="361" spans="1:8" ht="12.75" customHeight="1" x14ac:dyDescent="0.2">
      <c r="A361" s="243" t="s">
        <v>18327</v>
      </c>
      <c r="B361" s="243" t="s">
        <v>18311</v>
      </c>
      <c r="C361" s="243" t="s">
        <v>18346</v>
      </c>
      <c r="D361" s="243" t="s">
        <v>1233</v>
      </c>
      <c r="E361" s="244">
        <v>3.48</v>
      </c>
      <c r="F361" s="243" t="s">
        <v>1232</v>
      </c>
      <c r="G361" s="243" t="s">
        <v>640</v>
      </c>
      <c r="H361" s="245">
        <v>10356</v>
      </c>
    </row>
    <row r="362" spans="1:8" ht="12.75" customHeight="1" x14ac:dyDescent="0.2">
      <c r="A362" s="243" t="s">
        <v>18327</v>
      </c>
      <c r="B362" s="243" t="s">
        <v>18345</v>
      </c>
      <c r="C362" s="243" t="s">
        <v>18344</v>
      </c>
      <c r="D362" s="243" t="s">
        <v>4840</v>
      </c>
      <c r="E362" s="244">
        <v>1.38</v>
      </c>
      <c r="F362" s="243" t="s">
        <v>4841</v>
      </c>
      <c r="G362" s="243" t="s">
        <v>640</v>
      </c>
      <c r="H362" s="245">
        <v>10357</v>
      </c>
    </row>
    <row r="363" spans="1:8" ht="12.75" customHeight="1" x14ac:dyDescent="0.2">
      <c r="A363" s="243" t="s">
        <v>18327</v>
      </c>
      <c r="B363" s="243" t="s">
        <v>18343</v>
      </c>
      <c r="C363" s="243" t="s">
        <v>18342</v>
      </c>
      <c r="D363" s="243" t="s">
        <v>10879</v>
      </c>
      <c r="E363" s="244">
        <v>5.04</v>
      </c>
      <c r="F363" s="243" t="s">
        <v>10878</v>
      </c>
      <c r="G363" s="243" t="s">
        <v>640</v>
      </c>
      <c r="H363" s="245">
        <v>10358</v>
      </c>
    </row>
    <row r="364" spans="1:8" ht="12.75" customHeight="1" x14ac:dyDescent="0.2">
      <c r="A364" s="243" t="s">
        <v>18327</v>
      </c>
      <c r="B364" s="243" t="s">
        <v>18341</v>
      </c>
      <c r="C364" s="243" t="s">
        <v>18340</v>
      </c>
      <c r="D364" s="243" t="s">
        <v>10542</v>
      </c>
      <c r="E364" s="244">
        <v>0.49</v>
      </c>
      <c r="F364" s="243" t="s">
        <v>10541</v>
      </c>
      <c r="G364" s="243" t="s">
        <v>640</v>
      </c>
      <c r="H364" s="245">
        <v>10359</v>
      </c>
    </row>
    <row r="365" spans="1:8" ht="12.75" customHeight="1" x14ac:dyDescent="0.2">
      <c r="A365" s="243" t="s">
        <v>18327</v>
      </c>
      <c r="B365" s="243" t="s">
        <v>18339</v>
      </c>
      <c r="C365" s="243" t="s">
        <v>18338</v>
      </c>
      <c r="D365" s="243" t="s">
        <v>16176</v>
      </c>
      <c r="E365" s="244">
        <v>2.12</v>
      </c>
      <c r="F365" s="243" t="s">
        <v>16175</v>
      </c>
      <c r="G365" s="243" t="s">
        <v>640</v>
      </c>
      <c r="H365" s="245">
        <v>10360</v>
      </c>
    </row>
    <row r="366" spans="1:8" ht="12.75" customHeight="1" x14ac:dyDescent="0.2">
      <c r="A366" s="243" t="s">
        <v>18327</v>
      </c>
      <c r="B366" s="243" t="s">
        <v>18337</v>
      </c>
      <c r="C366" s="243" t="s">
        <v>18336</v>
      </c>
      <c r="D366" s="243" t="s">
        <v>10838</v>
      </c>
      <c r="E366" s="244">
        <v>6.95</v>
      </c>
      <c r="F366" s="243" t="s">
        <v>10837</v>
      </c>
      <c r="G366" s="243" t="s">
        <v>640</v>
      </c>
      <c r="H366" s="245">
        <v>10361</v>
      </c>
    </row>
    <row r="367" spans="1:8" ht="12.75" customHeight="1" x14ac:dyDescent="0.2">
      <c r="A367" s="243" t="s">
        <v>18327</v>
      </c>
      <c r="B367" s="243" t="s">
        <v>18335</v>
      </c>
      <c r="C367" s="243" t="s">
        <v>18334</v>
      </c>
      <c r="D367" s="243" t="s">
        <v>13648</v>
      </c>
      <c r="E367" s="244">
        <v>32.57</v>
      </c>
      <c r="F367" s="243" t="s">
        <v>13647</v>
      </c>
      <c r="G367" s="243" t="s">
        <v>640</v>
      </c>
      <c r="H367" s="245">
        <v>10362</v>
      </c>
    </row>
    <row r="368" spans="1:8" ht="12.75" customHeight="1" x14ac:dyDescent="0.2">
      <c r="A368" s="243" t="s">
        <v>18327</v>
      </c>
      <c r="B368" s="243" t="s">
        <v>18333</v>
      </c>
      <c r="C368" s="243" t="s">
        <v>18332</v>
      </c>
      <c r="D368" s="243" t="s">
        <v>13381</v>
      </c>
      <c r="E368" s="244">
        <v>4.78</v>
      </c>
      <c r="F368" s="243" t="s">
        <v>13380</v>
      </c>
      <c r="G368" s="243" t="s">
        <v>640</v>
      </c>
      <c r="H368" s="245">
        <v>10363</v>
      </c>
    </row>
    <row r="369" spans="1:8" ht="12.75" customHeight="1" x14ac:dyDescent="0.2">
      <c r="A369" s="243" t="s">
        <v>18327</v>
      </c>
      <c r="B369" s="243" t="s">
        <v>18331</v>
      </c>
      <c r="C369" s="243" t="s">
        <v>18330</v>
      </c>
      <c r="D369" s="243" t="s">
        <v>794</v>
      </c>
      <c r="E369" s="244">
        <v>8.3800000000000008</v>
      </c>
      <c r="F369" s="243" t="s">
        <v>793</v>
      </c>
      <c r="G369" s="243" t="s">
        <v>640</v>
      </c>
      <c r="H369" s="245">
        <v>10364</v>
      </c>
    </row>
    <row r="370" spans="1:8" ht="12.75" customHeight="1" x14ac:dyDescent="0.2">
      <c r="A370" s="243" t="s">
        <v>18327</v>
      </c>
      <c r="B370" s="243" t="s">
        <v>18329</v>
      </c>
      <c r="C370" s="243" t="s">
        <v>18328</v>
      </c>
      <c r="D370" s="243" t="s">
        <v>1363</v>
      </c>
      <c r="E370" s="244">
        <v>3.06</v>
      </c>
      <c r="F370" s="243" t="s">
        <v>1362</v>
      </c>
      <c r="G370" s="243" t="s">
        <v>640</v>
      </c>
      <c r="H370" s="245">
        <v>10365</v>
      </c>
    </row>
    <row r="371" spans="1:8" ht="12.75" customHeight="1" x14ac:dyDescent="0.2">
      <c r="A371" s="243" t="s">
        <v>18327</v>
      </c>
      <c r="B371" s="243" t="s">
        <v>18326</v>
      </c>
      <c r="C371" s="243" t="s">
        <v>18325</v>
      </c>
      <c r="D371" s="243" t="s">
        <v>1450</v>
      </c>
      <c r="E371" s="244">
        <v>6.28</v>
      </c>
      <c r="F371" s="243" t="s">
        <v>1449</v>
      </c>
      <c r="G371" s="243" t="s">
        <v>640</v>
      </c>
      <c r="H371" s="245">
        <v>10366</v>
      </c>
    </row>
    <row r="372" spans="1:8" ht="12.75" customHeight="1" x14ac:dyDescent="0.2">
      <c r="A372" s="243"/>
      <c r="B372" s="243"/>
      <c r="C372" s="247" t="s">
        <v>3740</v>
      </c>
      <c r="D372" s="243"/>
      <c r="E372" s="246">
        <f>SUM(E360:E371)</f>
        <v>77.91</v>
      </c>
      <c r="F372" s="243"/>
      <c r="G372" s="243"/>
      <c r="H372" s="245"/>
    </row>
    <row r="373" spans="1:8" ht="12.75" customHeight="1" x14ac:dyDescent="0.2">
      <c r="A373" s="243" t="s">
        <v>18324</v>
      </c>
      <c r="B373" s="243" t="s">
        <v>18323</v>
      </c>
      <c r="C373" s="243" t="s">
        <v>18322</v>
      </c>
      <c r="D373" s="243" t="s">
        <v>18321</v>
      </c>
      <c r="E373" s="244">
        <v>5.04</v>
      </c>
      <c r="F373" s="243" t="s">
        <v>18320</v>
      </c>
      <c r="G373" s="243" t="s">
        <v>640</v>
      </c>
      <c r="H373" s="245">
        <v>10393</v>
      </c>
    </row>
    <row r="374" spans="1:8" ht="12.75" customHeight="1" x14ac:dyDescent="0.2">
      <c r="A374" s="243"/>
      <c r="B374" s="243"/>
      <c r="C374" s="247" t="s">
        <v>3740</v>
      </c>
      <c r="D374" s="243"/>
      <c r="E374" s="246">
        <f>SUM(E373)</f>
        <v>5.04</v>
      </c>
      <c r="F374" s="243"/>
      <c r="G374" s="243"/>
      <c r="H374" s="245"/>
    </row>
    <row r="375" spans="1:8" ht="12.75" customHeight="1" x14ac:dyDescent="0.2">
      <c r="A375" s="243"/>
      <c r="B375" s="243"/>
      <c r="C375" s="243"/>
      <c r="D375" s="243"/>
      <c r="E375" s="244"/>
      <c r="F375" s="243"/>
      <c r="G375" s="243"/>
      <c r="H375" s="245"/>
    </row>
    <row r="376" spans="1:8" ht="12.75" customHeight="1" x14ac:dyDescent="0.2">
      <c r="A376" s="243"/>
      <c r="B376" s="243"/>
      <c r="C376" s="243"/>
      <c r="D376" s="243"/>
      <c r="E376" s="244"/>
      <c r="F376" s="243"/>
      <c r="G376" s="243"/>
      <c r="H376" s="245"/>
    </row>
    <row r="377" spans="1:8" ht="12.75" customHeight="1" x14ac:dyDescent="0.2">
      <c r="A377" s="243"/>
      <c r="B377" s="243"/>
      <c r="C377" s="243"/>
      <c r="D377" s="243"/>
      <c r="E377" s="244"/>
      <c r="F377" s="243"/>
      <c r="G377" s="243"/>
      <c r="H377" s="245"/>
    </row>
    <row r="378" spans="1:8" ht="12.75" customHeight="1" x14ac:dyDescent="0.2">
      <c r="A378" s="243"/>
      <c r="B378" s="243"/>
      <c r="C378" s="243"/>
      <c r="D378" s="243"/>
      <c r="E378" s="244"/>
      <c r="F378" s="243"/>
      <c r="G378" s="243"/>
      <c r="H378" s="245"/>
    </row>
    <row r="379" spans="1:8" ht="12.75" customHeight="1" x14ac:dyDescent="0.2">
      <c r="A379" s="243"/>
      <c r="B379" s="243"/>
      <c r="C379" s="243"/>
      <c r="D379" s="243"/>
      <c r="E379" s="244"/>
      <c r="F379" s="243"/>
      <c r="G379" s="243"/>
      <c r="H379" s="245"/>
    </row>
    <row r="380" spans="1:8" ht="12.75" customHeight="1" x14ac:dyDescent="0.2">
      <c r="A380" s="243"/>
      <c r="B380" s="243"/>
      <c r="C380" s="243"/>
      <c r="D380" s="243"/>
      <c r="E380" s="244"/>
      <c r="F380" s="243"/>
      <c r="G380" s="243"/>
      <c r="H380" s="245"/>
    </row>
    <row r="381" spans="1:8" ht="12.75" customHeight="1" x14ac:dyDescent="0.2">
      <c r="A381" s="243"/>
      <c r="B381" s="243"/>
      <c r="C381" s="243"/>
      <c r="D381" s="243"/>
      <c r="E381" s="244"/>
      <c r="F381" s="243"/>
      <c r="G381" s="243"/>
      <c r="H381" s="245"/>
    </row>
    <row r="382" spans="1:8" ht="12.75" customHeight="1" x14ac:dyDescent="0.2">
      <c r="A382" s="243"/>
      <c r="B382" s="243"/>
      <c r="C382" s="243"/>
      <c r="D382" s="243"/>
      <c r="E382" s="244"/>
      <c r="F382" s="243"/>
      <c r="G382" s="243"/>
      <c r="H382" s="245"/>
    </row>
    <row r="383" spans="1:8" ht="12.75" customHeight="1" x14ac:dyDescent="0.2">
      <c r="A383" s="243"/>
      <c r="B383" s="243"/>
      <c r="C383" s="243"/>
      <c r="D383" s="243"/>
      <c r="E383" s="244"/>
      <c r="F383" s="243"/>
      <c r="G383" s="243"/>
      <c r="H383" s="245"/>
    </row>
    <row r="384" spans="1:8" ht="12.75" customHeight="1" x14ac:dyDescent="0.2">
      <c r="A384" s="243"/>
      <c r="B384" s="243"/>
      <c r="C384" s="243"/>
      <c r="D384" s="243"/>
      <c r="E384" s="244"/>
      <c r="F384" s="243"/>
      <c r="G384" s="243"/>
      <c r="H384" s="245"/>
    </row>
    <row r="385" spans="1:8" ht="12.75" customHeight="1" x14ac:dyDescent="0.2">
      <c r="A385" s="243"/>
      <c r="B385" s="243"/>
      <c r="C385" s="243"/>
      <c r="D385" s="243"/>
      <c r="E385" s="244"/>
      <c r="F385" s="243"/>
      <c r="G385" s="243"/>
      <c r="H385" s="245"/>
    </row>
    <row r="386" spans="1:8" ht="12.75" customHeight="1" x14ac:dyDescent="0.2">
      <c r="A386" s="243"/>
      <c r="B386" s="243"/>
      <c r="C386" s="243"/>
      <c r="D386" s="243"/>
      <c r="E386" s="244"/>
      <c r="F386" s="243"/>
      <c r="G386" s="243"/>
      <c r="H386" s="245"/>
    </row>
    <row r="387" spans="1:8" ht="12.75" customHeight="1" x14ac:dyDescent="0.2">
      <c r="A387" s="243"/>
      <c r="B387" s="243"/>
      <c r="C387" s="243"/>
      <c r="D387" s="243"/>
      <c r="E387" s="244"/>
      <c r="F387" s="243"/>
      <c r="G387" s="243"/>
      <c r="H387" s="245"/>
    </row>
    <row r="388" spans="1:8" ht="12.75" customHeight="1" x14ac:dyDescent="0.2">
      <c r="A388" s="243"/>
      <c r="B388" s="243"/>
      <c r="C388" s="243"/>
      <c r="D388" s="243"/>
      <c r="E388" s="244"/>
      <c r="F388" s="243"/>
      <c r="G388" s="243"/>
      <c r="H388" s="245"/>
    </row>
    <row r="389" spans="1:8" ht="12.75" customHeight="1" x14ac:dyDescent="0.2">
      <c r="A389" s="243"/>
      <c r="B389" s="243"/>
      <c r="C389" s="243"/>
      <c r="D389" s="243"/>
      <c r="E389" s="244"/>
      <c r="F389" s="243"/>
      <c r="G389" s="243"/>
      <c r="H389" s="245"/>
    </row>
    <row r="390" spans="1:8" ht="12.75" customHeight="1" x14ac:dyDescent="0.2">
      <c r="A390" s="243"/>
      <c r="B390" s="243"/>
      <c r="C390" s="243"/>
      <c r="D390" s="243"/>
      <c r="E390" s="246"/>
      <c r="F390" s="243"/>
      <c r="G390" s="243"/>
      <c r="H390" s="245"/>
    </row>
    <row r="391" spans="1:8" ht="12.75" customHeight="1" x14ac:dyDescent="0.2">
      <c r="A391" s="243"/>
      <c r="B391" s="243"/>
      <c r="C391" s="243"/>
      <c r="D391" s="243"/>
      <c r="E391" s="244"/>
      <c r="F391" s="243"/>
      <c r="G391" s="243"/>
      <c r="H391" s="245"/>
    </row>
    <row r="392" spans="1:8" ht="12.75" customHeight="1" x14ac:dyDescent="0.2">
      <c r="A392" s="243"/>
      <c r="B392" s="243"/>
      <c r="C392" s="243"/>
      <c r="D392" s="243"/>
      <c r="E392" s="244"/>
      <c r="F392" s="243"/>
      <c r="G392" s="243"/>
      <c r="H392" s="245"/>
    </row>
    <row r="393" spans="1:8" ht="12.75" customHeight="1" x14ac:dyDescent="0.2">
      <c r="A393" s="243"/>
      <c r="B393" s="243"/>
      <c r="C393" s="243"/>
      <c r="D393" s="243"/>
      <c r="E393" s="244"/>
      <c r="F393" s="243"/>
      <c r="G393" s="243"/>
      <c r="H393" s="245"/>
    </row>
    <row r="394" spans="1:8" ht="12.75" customHeight="1" x14ac:dyDescent="0.2">
      <c r="A394" s="243"/>
      <c r="B394" s="243"/>
      <c r="C394" s="243"/>
      <c r="D394" s="243"/>
      <c r="E394" s="244"/>
      <c r="F394" s="243"/>
      <c r="G394" s="243"/>
      <c r="H394" s="245"/>
    </row>
    <row r="395" spans="1:8" ht="12.75" customHeight="1" x14ac:dyDescent="0.2">
      <c r="A395" s="243"/>
      <c r="B395" s="243"/>
      <c r="C395" s="243"/>
      <c r="D395" s="243"/>
      <c r="E395" s="244"/>
      <c r="F395" s="243"/>
      <c r="G395" s="243"/>
      <c r="H395" s="245"/>
    </row>
    <row r="396" spans="1:8" ht="12.75" customHeight="1" x14ac:dyDescent="0.2">
      <c r="A396" s="243"/>
      <c r="B396" s="243"/>
      <c r="C396" s="243"/>
      <c r="D396" s="243"/>
      <c r="E396" s="246"/>
      <c r="F396" s="243"/>
      <c r="G396" s="243"/>
      <c r="H396" s="245"/>
    </row>
    <row r="397" spans="1:8" ht="12.75" customHeight="1" x14ac:dyDescent="0.2">
      <c r="A397" s="243"/>
      <c r="B397" s="243"/>
      <c r="C397" s="243"/>
      <c r="D397" s="243"/>
      <c r="E397" s="244"/>
      <c r="F397" s="243"/>
      <c r="G397" s="243"/>
      <c r="H397" s="245"/>
    </row>
    <row r="398" spans="1:8" ht="12.75" customHeight="1" x14ac:dyDescent="0.2">
      <c r="A398" s="243"/>
      <c r="B398" s="243"/>
      <c r="C398" s="243"/>
      <c r="D398" s="243"/>
      <c r="E398" s="244"/>
      <c r="F398" s="243"/>
      <c r="G398" s="243"/>
      <c r="H398" s="245"/>
    </row>
    <row r="399" spans="1:8" ht="12.75" customHeight="1" x14ac:dyDescent="0.2">
      <c r="A399" s="243"/>
      <c r="B399" s="243"/>
      <c r="C399" s="243"/>
      <c r="D399" s="243"/>
      <c r="E399" s="244"/>
      <c r="F399" s="243"/>
      <c r="G399" s="243"/>
      <c r="H399" s="245"/>
    </row>
    <row r="400" spans="1:8" ht="12.75" customHeight="1" x14ac:dyDescent="0.2">
      <c r="A400" s="243"/>
      <c r="B400" s="243"/>
      <c r="C400" s="243"/>
      <c r="D400" s="243"/>
      <c r="E400" s="244"/>
      <c r="F400" s="243"/>
      <c r="G400" s="243"/>
      <c r="H400" s="245"/>
    </row>
    <row r="401" spans="1:8" ht="12.75" customHeight="1" x14ac:dyDescent="0.2">
      <c r="A401" s="243"/>
      <c r="B401" s="243"/>
      <c r="C401" s="243"/>
      <c r="D401" s="243"/>
      <c r="E401" s="244"/>
      <c r="F401" s="243"/>
      <c r="G401" s="243"/>
      <c r="H401" s="245"/>
    </row>
    <row r="402" spans="1:8" ht="12.75" customHeight="1" x14ac:dyDescent="0.2">
      <c r="A402" s="243"/>
      <c r="B402" s="243"/>
      <c r="C402" s="243"/>
      <c r="D402" s="243"/>
      <c r="E402" s="244"/>
      <c r="F402" s="243"/>
      <c r="G402" s="243"/>
      <c r="H402" s="245"/>
    </row>
    <row r="403" spans="1:8" ht="12.75" customHeight="1" x14ac:dyDescent="0.2">
      <c r="A403" s="243"/>
      <c r="B403" s="243"/>
      <c r="C403" s="243"/>
      <c r="D403" s="243"/>
      <c r="E403" s="244"/>
      <c r="F403" s="243"/>
      <c r="G403" s="243"/>
      <c r="H403" s="245"/>
    </row>
    <row r="404" spans="1:8" ht="12.75" customHeight="1" x14ac:dyDescent="0.2">
      <c r="A404" s="243"/>
      <c r="B404" s="243"/>
      <c r="C404" s="243"/>
      <c r="D404" s="243"/>
      <c r="E404" s="244"/>
      <c r="F404" s="243"/>
      <c r="G404" s="243"/>
      <c r="H404" s="245"/>
    </row>
    <row r="405" spans="1:8" ht="12.75" customHeight="1" x14ac:dyDescent="0.2">
      <c r="A405" s="243"/>
      <c r="B405" s="243"/>
      <c r="C405" s="243"/>
      <c r="D405" s="243"/>
      <c r="E405" s="244"/>
      <c r="F405" s="243"/>
      <c r="G405" s="243"/>
      <c r="H405" s="245"/>
    </row>
    <row r="406" spans="1:8" ht="12.75" customHeight="1" x14ac:dyDescent="0.2">
      <c r="A406" s="243"/>
      <c r="B406" s="243"/>
      <c r="C406" s="243"/>
      <c r="D406" s="243"/>
      <c r="E406" s="244"/>
      <c r="F406" s="243"/>
      <c r="G406" s="243"/>
      <c r="H406" s="245"/>
    </row>
    <row r="407" spans="1:8" ht="12.75" customHeight="1" x14ac:dyDescent="0.2">
      <c r="A407" s="243"/>
      <c r="B407" s="243"/>
      <c r="C407" s="243"/>
      <c r="D407" s="243"/>
      <c r="E407" s="246"/>
      <c r="F407" s="243"/>
      <c r="G407" s="243"/>
      <c r="H407" s="245"/>
    </row>
    <row r="408" spans="1:8" ht="12.75" customHeight="1" x14ac:dyDescent="0.2">
      <c r="A408" s="243"/>
      <c r="B408" s="243"/>
      <c r="C408" s="243"/>
      <c r="D408" s="243"/>
      <c r="E408" s="244"/>
      <c r="F408" s="243"/>
      <c r="G408" s="243"/>
      <c r="H408" s="245"/>
    </row>
    <row r="409" spans="1:8" ht="12.75" customHeight="1" x14ac:dyDescent="0.2">
      <c r="A409" s="243"/>
      <c r="B409" s="243"/>
      <c r="C409" s="243"/>
      <c r="D409" s="243"/>
      <c r="E409" s="244"/>
      <c r="F409" s="243"/>
      <c r="G409" s="243"/>
      <c r="H409" s="245"/>
    </row>
    <row r="410" spans="1:8" ht="12.75" customHeight="1" x14ac:dyDescent="0.2">
      <c r="A410" s="243"/>
      <c r="B410" s="243"/>
      <c r="C410" s="243"/>
      <c r="D410" s="243"/>
      <c r="E410" s="244"/>
      <c r="F410" s="243"/>
      <c r="G410" s="243"/>
      <c r="H410" s="245"/>
    </row>
    <row r="411" spans="1:8" ht="12.75" customHeight="1" x14ac:dyDescent="0.2">
      <c r="A411" s="243"/>
      <c r="B411" s="243"/>
      <c r="C411" s="243"/>
      <c r="D411" s="243"/>
      <c r="E411" s="244"/>
      <c r="F411" s="243"/>
      <c r="G411" s="243"/>
      <c r="H411" s="245"/>
    </row>
    <row r="412" spans="1:8" ht="12.75" customHeight="1" x14ac:dyDescent="0.2">
      <c r="A412" s="243"/>
      <c r="B412" s="243"/>
      <c r="C412" s="243"/>
      <c r="D412" s="243"/>
      <c r="E412" s="244"/>
      <c r="F412" s="243"/>
      <c r="G412" s="243"/>
      <c r="H412" s="245"/>
    </row>
    <row r="413" spans="1:8" ht="12.75" customHeight="1" x14ac:dyDescent="0.2">
      <c r="A413" s="243"/>
      <c r="B413" s="243"/>
      <c r="C413" s="243"/>
      <c r="D413" s="243"/>
      <c r="E413" s="244"/>
      <c r="F413" s="243"/>
      <c r="G413" s="243"/>
      <c r="H413" s="245"/>
    </row>
    <row r="414" spans="1:8" ht="12.75" customHeight="1" x14ac:dyDescent="0.2">
      <c r="A414" s="243"/>
      <c r="B414" s="243"/>
      <c r="C414" s="243"/>
      <c r="D414" s="243"/>
      <c r="E414" s="244"/>
      <c r="F414" s="243"/>
      <c r="G414" s="243"/>
      <c r="H414" s="245"/>
    </row>
    <row r="415" spans="1:8" ht="12.75" customHeight="1" x14ac:dyDescent="0.2">
      <c r="A415" s="243"/>
      <c r="B415" s="243"/>
      <c r="C415" s="243"/>
      <c r="D415" s="243"/>
      <c r="E415" s="244"/>
      <c r="F415" s="243"/>
      <c r="G415" s="243"/>
      <c r="H415" s="245"/>
    </row>
    <row r="416" spans="1:8" ht="12.75" customHeight="1" x14ac:dyDescent="0.2">
      <c r="A416" s="243"/>
      <c r="B416" s="243"/>
      <c r="C416" s="243"/>
      <c r="D416" s="243"/>
      <c r="E416" s="244"/>
      <c r="F416" s="243"/>
      <c r="G416" s="243"/>
      <c r="H416" s="245"/>
    </row>
    <row r="417" spans="1:8" ht="12.75" customHeight="1" x14ac:dyDescent="0.2">
      <c r="A417" s="243"/>
      <c r="B417" s="243"/>
      <c r="C417" s="243"/>
      <c r="D417" s="243"/>
      <c r="E417" s="244"/>
      <c r="F417" s="243"/>
      <c r="G417" s="243"/>
      <c r="H417" s="245"/>
    </row>
    <row r="418" spans="1:8" ht="12.75" customHeight="1" x14ac:dyDescent="0.2">
      <c r="A418" s="243"/>
      <c r="B418" s="243"/>
      <c r="C418" s="243"/>
      <c r="D418" s="243"/>
      <c r="E418" s="244"/>
      <c r="F418" s="243"/>
      <c r="G418" s="243"/>
      <c r="H418" s="245"/>
    </row>
    <row r="419" spans="1:8" ht="12.75" customHeight="1" x14ac:dyDescent="0.2">
      <c r="A419" s="243"/>
      <c r="B419" s="243"/>
      <c r="C419" s="243"/>
      <c r="D419" s="243"/>
      <c r="E419" s="244"/>
      <c r="F419" s="243"/>
      <c r="G419" s="243"/>
      <c r="H419" s="245"/>
    </row>
    <row r="420" spans="1:8" ht="12.75" customHeight="1" x14ac:dyDescent="0.2">
      <c r="A420" s="243"/>
      <c r="B420" s="243"/>
      <c r="C420" s="243"/>
      <c r="D420" s="243"/>
      <c r="E420" s="244"/>
      <c r="F420" s="243"/>
      <c r="G420" s="243"/>
      <c r="H420" s="245"/>
    </row>
    <row r="421" spans="1:8" ht="12.75" customHeight="1" x14ac:dyDescent="0.2">
      <c r="A421" s="243"/>
      <c r="B421" s="243"/>
      <c r="C421" s="243"/>
      <c r="D421" s="243"/>
      <c r="E421" s="244"/>
      <c r="F421" s="243"/>
      <c r="G421" s="243"/>
      <c r="H421" s="245"/>
    </row>
    <row r="422" spans="1:8" ht="12.75" customHeight="1" x14ac:dyDescent="0.2">
      <c r="A422" s="243"/>
      <c r="B422" s="243"/>
      <c r="C422" s="243"/>
      <c r="D422" s="243"/>
      <c r="E422" s="244"/>
      <c r="F422" s="243"/>
      <c r="G422" s="243"/>
      <c r="H422" s="245"/>
    </row>
    <row r="423" spans="1:8" ht="12.75" customHeight="1" x14ac:dyDescent="0.2">
      <c r="A423" s="243"/>
      <c r="B423" s="243"/>
      <c r="C423" s="243"/>
      <c r="D423" s="243"/>
      <c r="E423" s="244"/>
      <c r="F423" s="243"/>
      <c r="G423" s="243"/>
      <c r="H423" s="245"/>
    </row>
    <row r="424" spans="1:8" ht="12.75" customHeight="1" x14ac:dyDescent="0.2">
      <c r="A424" s="243"/>
      <c r="B424" s="243"/>
      <c r="C424" s="243"/>
      <c r="D424" s="243"/>
      <c r="E424" s="244"/>
      <c r="F424" s="243"/>
      <c r="G424" s="243"/>
      <c r="H424" s="245"/>
    </row>
    <row r="425" spans="1:8" ht="12.75" customHeight="1" x14ac:dyDescent="0.2">
      <c r="A425" s="243"/>
      <c r="B425" s="243"/>
      <c r="C425" s="243"/>
      <c r="D425" s="243"/>
      <c r="E425" s="244"/>
      <c r="F425" s="243"/>
      <c r="G425" s="243"/>
      <c r="H425" s="245"/>
    </row>
    <row r="426" spans="1:8" ht="12.75" customHeight="1" x14ac:dyDescent="0.2">
      <c r="A426" s="243"/>
      <c r="B426" s="243"/>
      <c r="C426" s="243"/>
      <c r="D426" s="243"/>
      <c r="E426" s="244"/>
      <c r="F426" s="243"/>
      <c r="G426" s="243"/>
      <c r="H426" s="245"/>
    </row>
    <row r="427" spans="1:8" ht="12.75" customHeight="1" x14ac:dyDescent="0.2">
      <c r="A427" s="243"/>
      <c r="B427" s="243"/>
      <c r="C427" s="243"/>
      <c r="D427" s="243"/>
      <c r="E427" s="244"/>
      <c r="F427" s="243"/>
      <c r="G427" s="243"/>
      <c r="H427" s="245"/>
    </row>
    <row r="428" spans="1:8" ht="12.75" customHeight="1" x14ac:dyDescent="0.2">
      <c r="A428" s="243"/>
      <c r="B428" s="243"/>
      <c r="C428" s="243"/>
      <c r="D428" s="243"/>
      <c r="E428" s="244"/>
      <c r="F428" s="243"/>
      <c r="G428" s="243"/>
      <c r="H428" s="245"/>
    </row>
    <row r="429" spans="1:8" ht="12.75" customHeight="1" x14ac:dyDescent="0.2">
      <c r="A429" s="243"/>
      <c r="B429" s="243"/>
      <c r="C429" s="243"/>
      <c r="D429" s="243"/>
      <c r="E429" s="244"/>
      <c r="F429" s="243"/>
      <c r="G429" s="243"/>
      <c r="H429" s="245"/>
    </row>
    <row r="430" spans="1:8" ht="12.75" customHeight="1" x14ac:dyDescent="0.2">
      <c r="A430" s="243"/>
      <c r="B430" s="243"/>
      <c r="C430" s="243"/>
      <c r="D430" s="243"/>
      <c r="E430" s="244"/>
      <c r="F430" s="243"/>
      <c r="G430" s="243"/>
      <c r="H430" s="245"/>
    </row>
    <row r="431" spans="1:8" ht="12.75" customHeight="1" x14ac:dyDescent="0.2">
      <c r="A431" s="243"/>
      <c r="B431" s="243"/>
      <c r="C431" s="243"/>
      <c r="D431" s="243"/>
      <c r="E431" s="244"/>
      <c r="F431" s="243"/>
      <c r="G431" s="243"/>
      <c r="H431" s="245"/>
    </row>
    <row r="432" spans="1:8" ht="12.75" customHeight="1" x14ac:dyDescent="0.2">
      <c r="A432" s="243"/>
      <c r="B432" s="243"/>
      <c r="C432" s="243"/>
      <c r="D432" s="243"/>
      <c r="E432" s="244"/>
      <c r="F432" s="243"/>
      <c r="G432" s="243"/>
      <c r="H432" s="245"/>
    </row>
    <row r="433" spans="1:8" ht="12.75" customHeight="1" x14ac:dyDescent="0.2">
      <c r="A433" s="243"/>
      <c r="B433" s="243"/>
      <c r="C433" s="243"/>
      <c r="D433" s="243"/>
      <c r="E433" s="244"/>
      <c r="F433" s="243"/>
      <c r="G433" s="243"/>
      <c r="H433" s="245"/>
    </row>
    <row r="434" spans="1:8" ht="12.75" customHeight="1" x14ac:dyDescent="0.2">
      <c r="A434" s="243"/>
      <c r="B434" s="243"/>
      <c r="C434" s="243"/>
      <c r="D434" s="243"/>
      <c r="E434" s="244"/>
      <c r="F434" s="243"/>
      <c r="G434" s="243"/>
      <c r="H434" s="245"/>
    </row>
    <row r="435" spans="1:8" ht="12.75" customHeight="1" x14ac:dyDescent="0.2">
      <c r="A435" s="243"/>
      <c r="B435" s="243"/>
      <c r="C435" s="243"/>
      <c r="D435" s="243"/>
      <c r="E435" s="244"/>
      <c r="F435" s="243"/>
      <c r="G435" s="243"/>
      <c r="H435" s="245"/>
    </row>
    <row r="436" spans="1:8" ht="12.75" customHeight="1" x14ac:dyDescent="0.2">
      <c r="A436" s="243"/>
      <c r="B436" s="243"/>
      <c r="C436" s="243"/>
      <c r="D436" s="243"/>
      <c r="E436" s="246"/>
      <c r="F436" s="243"/>
      <c r="G436" s="243"/>
      <c r="H436" s="245"/>
    </row>
    <row r="437" spans="1:8" ht="12.75" customHeight="1" x14ac:dyDescent="0.2">
      <c r="A437" s="243"/>
      <c r="B437" s="243"/>
      <c r="C437" s="243"/>
      <c r="D437" s="243"/>
      <c r="E437" s="244"/>
      <c r="F437" s="243"/>
      <c r="G437" s="243"/>
      <c r="H437" s="245"/>
    </row>
    <row r="438" spans="1:8" ht="12.75" customHeight="1" x14ac:dyDescent="0.2">
      <c r="A438" s="243"/>
      <c r="B438" s="243"/>
      <c r="C438" s="243"/>
      <c r="D438" s="243"/>
      <c r="E438" s="244"/>
      <c r="F438" s="243"/>
      <c r="G438" s="243"/>
      <c r="H438" s="245"/>
    </row>
    <row r="439" spans="1:8" ht="12.75" customHeight="1" x14ac:dyDescent="0.2">
      <c r="A439" s="243"/>
      <c r="B439" s="243"/>
      <c r="C439" s="243"/>
      <c r="D439" s="243"/>
      <c r="E439" s="244"/>
      <c r="F439" s="243"/>
      <c r="G439" s="243"/>
      <c r="H439" s="245"/>
    </row>
    <row r="440" spans="1:8" ht="12.75" customHeight="1" x14ac:dyDescent="0.2">
      <c r="A440" s="243"/>
      <c r="B440" s="243"/>
      <c r="C440" s="243"/>
      <c r="D440" s="243"/>
      <c r="E440" s="244"/>
      <c r="F440" s="243"/>
      <c r="G440" s="243"/>
      <c r="H440" s="245"/>
    </row>
    <row r="441" spans="1:8" ht="12.75" customHeight="1" x14ac:dyDescent="0.2">
      <c r="A441" s="243"/>
      <c r="B441" s="243"/>
      <c r="C441" s="243"/>
      <c r="D441" s="243"/>
      <c r="E441" s="244"/>
      <c r="F441" s="243"/>
      <c r="G441" s="243"/>
      <c r="H441" s="245"/>
    </row>
    <row r="442" spans="1:8" ht="12.75" customHeight="1" x14ac:dyDescent="0.2">
      <c r="A442" s="243"/>
      <c r="B442" s="243"/>
      <c r="C442" s="243"/>
      <c r="D442" s="243"/>
      <c r="E442" s="244"/>
      <c r="F442" s="243"/>
      <c r="G442" s="243"/>
      <c r="H442" s="245"/>
    </row>
    <row r="443" spans="1:8" ht="12.75" customHeight="1" x14ac:dyDescent="0.2">
      <c r="A443" s="243"/>
      <c r="B443" s="243"/>
      <c r="C443" s="243"/>
      <c r="D443" s="243"/>
      <c r="E443" s="244"/>
      <c r="F443" s="243"/>
      <c r="G443" s="243"/>
      <c r="H443" s="245"/>
    </row>
    <row r="444" spans="1:8" ht="12.75" customHeight="1" x14ac:dyDescent="0.2">
      <c r="A444" s="243"/>
      <c r="B444" s="243"/>
      <c r="C444" s="243"/>
      <c r="D444" s="243"/>
      <c r="E444" s="244"/>
      <c r="F444" s="243"/>
      <c r="G444" s="243"/>
      <c r="H444" s="245"/>
    </row>
    <row r="445" spans="1:8" ht="12.75" customHeight="1" x14ac:dyDescent="0.2">
      <c r="A445" s="243"/>
      <c r="B445" s="243"/>
      <c r="C445" s="243"/>
      <c r="D445" s="243"/>
      <c r="E445" s="244"/>
      <c r="F445" s="243"/>
      <c r="G445" s="243"/>
      <c r="H445" s="245"/>
    </row>
    <row r="446" spans="1:8" ht="12.75" customHeight="1" x14ac:dyDescent="0.2">
      <c r="A446" s="243"/>
      <c r="B446" s="243"/>
      <c r="C446" s="243"/>
      <c r="D446" s="243"/>
      <c r="E446" s="244"/>
      <c r="F446" s="243"/>
      <c r="G446" s="243"/>
      <c r="H446" s="245"/>
    </row>
    <row r="447" spans="1:8" ht="12.75" customHeight="1" x14ac:dyDescent="0.2">
      <c r="A447" s="243"/>
      <c r="B447" s="243"/>
      <c r="C447" s="243"/>
      <c r="D447" s="243"/>
      <c r="E447" s="244"/>
      <c r="F447" s="243"/>
      <c r="G447" s="243"/>
      <c r="H447" s="245"/>
    </row>
    <row r="448" spans="1:8" ht="12.75" customHeight="1" x14ac:dyDescent="0.2">
      <c r="A448" s="243"/>
      <c r="B448" s="243"/>
      <c r="C448" s="243"/>
      <c r="D448" s="243"/>
      <c r="E448" s="244"/>
      <c r="F448" s="243"/>
      <c r="G448" s="243"/>
      <c r="H448" s="245"/>
    </row>
    <row r="449" spans="1:8" ht="12.75" customHeight="1" x14ac:dyDescent="0.2">
      <c r="A449" s="243"/>
      <c r="B449" s="243"/>
      <c r="C449" s="243"/>
      <c r="D449" s="243"/>
      <c r="E449" s="244"/>
      <c r="F449" s="243"/>
      <c r="G449" s="243"/>
      <c r="H449" s="245"/>
    </row>
    <row r="450" spans="1:8" ht="12.75" customHeight="1" x14ac:dyDescent="0.2">
      <c r="A450" s="243"/>
      <c r="B450" s="243"/>
      <c r="C450" s="243"/>
      <c r="D450" s="243"/>
      <c r="E450" s="244"/>
      <c r="F450" s="243"/>
      <c r="G450" s="243"/>
      <c r="H450" s="245"/>
    </row>
    <row r="451" spans="1:8" ht="12.75" customHeight="1" x14ac:dyDescent="0.2">
      <c r="A451" s="243"/>
      <c r="B451" s="243"/>
      <c r="C451" s="243"/>
      <c r="D451" s="243"/>
      <c r="E451" s="244"/>
      <c r="F451" s="243"/>
      <c r="G451" s="243"/>
      <c r="H451" s="245"/>
    </row>
    <row r="452" spans="1:8" ht="12.75" customHeight="1" x14ac:dyDescent="0.2">
      <c r="A452" s="243"/>
      <c r="B452" s="243"/>
      <c r="C452" s="243"/>
      <c r="D452" s="243"/>
      <c r="E452" s="244"/>
      <c r="F452" s="243"/>
      <c r="G452" s="243"/>
      <c r="H452" s="245"/>
    </row>
    <row r="453" spans="1:8" ht="12.75" customHeight="1" x14ac:dyDescent="0.2">
      <c r="A453" s="243"/>
      <c r="B453" s="243"/>
      <c r="C453" s="243"/>
      <c r="D453" s="243"/>
      <c r="E453" s="244"/>
      <c r="F453" s="243"/>
      <c r="G453" s="243"/>
      <c r="H453" s="245"/>
    </row>
    <row r="454" spans="1:8" ht="12.75" customHeight="1" x14ac:dyDescent="0.2">
      <c r="A454" s="243"/>
      <c r="B454" s="243"/>
      <c r="C454" s="243"/>
      <c r="D454" s="243"/>
      <c r="E454" s="244"/>
      <c r="F454" s="243"/>
      <c r="G454" s="243"/>
      <c r="H454" s="245"/>
    </row>
    <row r="455" spans="1:8" ht="12.75" customHeight="1" x14ac:dyDescent="0.2">
      <c r="A455" s="243"/>
      <c r="B455" s="243"/>
      <c r="C455" s="243"/>
      <c r="D455" s="243"/>
      <c r="E455" s="244"/>
      <c r="F455" s="243"/>
      <c r="G455" s="243"/>
      <c r="H455" s="245"/>
    </row>
    <row r="456" spans="1:8" ht="12.75" customHeight="1" x14ac:dyDescent="0.2">
      <c r="A456" s="243"/>
      <c r="B456" s="243"/>
      <c r="C456" s="243"/>
      <c r="D456" s="243"/>
      <c r="E456" s="244"/>
      <c r="F456" s="243"/>
      <c r="G456" s="243"/>
      <c r="H456" s="245"/>
    </row>
    <row r="457" spans="1:8" ht="12.75" customHeight="1" x14ac:dyDescent="0.2">
      <c r="A457" s="243"/>
      <c r="B457" s="243"/>
      <c r="C457" s="243"/>
      <c r="D457" s="243"/>
      <c r="E457" s="244"/>
      <c r="F457" s="243"/>
      <c r="G457" s="243"/>
      <c r="H457" s="245"/>
    </row>
    <row r="458" spans="1:8" ht="12.75" customHeight="1" x14ac:dyDescent="0.2">
      <c r="A458" s="243"/>
      <c r="B458" s="243"/>
      <c r="C458" s="243"/>
      <c r="D458" s="243"/>
      <c r="E458" s="244"/>
      <c r="F458" s="243"/>
      <c r="G458" s="243"/>
      <c r="H458" s="245"/>
    </row>
    <row r="459" spans="1:8" ht="12.75" customHeight="1" x14ac:dyDescent="0.2">
      <c r="A459" s="243"/>
      <c r="B459" s="243"/>
      <c r="C459" s="243"/>
      <c r="D459" s="243"/>
      <c r="E459" s="244"/>
      <c r="F459" s="243"/>
      <c r="G459" s="243"/>
      <c r="H459" s="245"/>
    </row>
    <row r="460" spans="1:8" ht="12.75" customHeight="1" x14ac:dyDescent="0.2">
      <c r="A460" s="243"/>
      <c r="B460" s="243"/>
      <c r="C460" s="243"/>
      <c r="D460" s="243"/>
      <c r="E460" s="244"/>
      <c r="F460" s="243"/>
      <c r="G460" s="243"/>
      <c r="H460" s="245"/>
    </row>
    <row r="461" spans="1:8" ht="12.75" customHeight="1" x14ac:dyDescent="0.2">
      <c r="A461" s="243"/>
      <c r="B461" s="243"/>
      <c r="C461" s="243"/>
      <c r="D461" s="243"/>
      <c r="E461" s="244"/>
      <c r="F461" s="243"/>
      <c r="G461" s="243"/>
      <c r="H461" s="245"/>
    </row>
    <row r="462" spans="1:8" ht="12.75" customHeight="1" x14ac:dyDescent="0.2">
      <c r="A462" s="243"/>
      <c r="B462" s="243"/>
      <c r="C462" s="243"/>
      <c r="D462" s="243"/>
      <c r="E462" s="244"/>
      <c r="F462" s="243"/>
      <c r="G462" s="243"/>
      <c r="H462" s="245"/>
    </row>
    <row r="463" spans="1:8" ht="12.75" customHeight="1" x14ac:dyDescent="0.2">
      <c r="A463" s="243"/>
      <c r="B463" s="243"/>
      <c r="C463" s="243"/>
      <c r="D463" s="243"/>
      <c r="E463" s="244"/>
      <c r="F463" s="243"/>
      <c r="G463" s="243"/>
      <c r="H463" s="245"/>
    </row>
    <row r="464" spans="1:8" ht="12.75" customHeight="1" x14ac:dyDescent="0.2">
      <c r="A464" s="243"/>
      <c r="B464" s="243"/>
      <c r="C464" s="243"/>
      <c r="D464" s="243"/>
      <c r="E464" s="244"/>
      <c r="F464" s="243"/>
      <c r="G464" s="243"/>
      <c r="H464" s="245"/>
    </row>
    <row r="465" spans="1:8" ht="12.75" customHeight="1" x14ac:dyDescent="0.2">
      <c r="A465" s="243"/>
      <c r="B465" s="243"/>
      <c r="C465" s="243"/>
      <c r="D465" s="243"/>
      <c r="E465" s="244"/>
      <c r="F465" s="243"/>
      <c r="G465" s="243"/>
      <c r="H465" s="245"/>
    </row>
    <row r="466" spans="1:8" ht="12.75" customHeight="1" x14ac:dyDescent="0.2">
      <c r="A466" s="243"/>
      <c r="B466" s="243"/>
      <c r="C466" s="243"/>
      <c r="D466" s="243"/>
      <c r="E466" s="244"/>
      <c r="F466" s="243"/>
      <c r="G466" s="243"/>
      <c r="H466" s="245"/>
    </row>
    <row r="467" spans="1:8" ht="12.75" customHeight="1" x14ac:dyDescent="0.2">
      <c r="A467" s="243"/>
      <c r="B467" s="243"/>
      <c r="C467" s="243"/>
      <c r="D467" s="243"/>
      <c r="E467" s="244"/>
      <c r="F467" s="243"/>
      <c r="G467" s="243"/>
      <c r="H467" s="245"/>
    </row>
    <row r="468" spans="1:8" ht="12.75" customHeight="1" x14ac:dyDescent="0.2">
      <c r="A468" s="243"/>
      <c r="B468" s="243"/>
      <c r="C468" s="243"/>
      <c r="D468" s="243"/>
      <c r="E468" s="244"/>
      <c r="F468" s="243"/>
      <c r="G468" s="243"/>
      <c r="H468" s="245"/>
    </row>
    <row r="469" spans="1:8" ht="12.75" customHeight="1" x14ac:dyDescent="0.2">
      <c r="A469" s="243"/>
      <c r="B469" s="243"/>
      <c r="C469" s="243"/>
      <c r="D469" s="243"/>
      <c r="E469" s="244"/>
      <c r="F469" s="243"/>
      <c r="G469" s="243"/>
      <c r="H469" s="245"/>
    </row>
    <row r="470" spans="1:8" ht="12.75" customHeight="1" x14ac:dyDescent="0.2">
      <c r="A470" s="243"/>
      <c r="B470" s="243"/>
      <c r="C470" s="243"/>
      <c r="D470" s="243"/>
      <c r="E470" s="244"/>
      <c r="F470" s="243"/>
      <c r="G470" s="243"/>
      <c r="H470" s="245"/>
    </row>
    <row r="471" spans="1:8" ht="12.75" customHeight="1" x14ac:dyDescent="0.2">
      <c r="A471" s="243"/>
      <c r="B471" s="243"/>
      <c r="C471" s="243"/>
      <c r="D471" s="243"/>
      <c r="E471" s="244"/>
      <c r="F471" s="243"/>
      <c r="G471" s="243"/>
      <c r="H471" s="245"/>
    </row>
    <row r="472" spans="1:8" ht="12.75" customHeight="1" x14ac:dyDescent="0.2">
      <c r="A472" s="243"/>
      <c r="B472" s="243"/>
      <c r="C472" s="243"/>
      <c r="D472" s="243"/>
      <c r="E472" s="246"/>
      <c r="F472" s="243"/>
      <c r="G472" s="243"/>
      <c r="H472" s="245"/>
    </row>
    <row r="473" spans="1:8" ht="12.75" customHeight="1" x14ac:dyDescent="0.2">
      <c r="A473" s="243"/>
      <c r="B473" s="243"/>
      <c r="C473" s="243"/>
      <c r="D473" s="243"/>
      <c r="E473" s="244"/>
      <c r="F473" s="243"/>
      <c r="G473" s="243"/>
      <c r="H473" s="245"/>
    </row>
    <row r="474" spans="1:8" ht="12.75" customHeight="1" x14ac:dyDescent="0.2">
      <c r="A474" s="243"/>
      <c r="B474" s="243"/>
      <c r="C474" s="243"/>
      <c r="D474" s="243"/>
      <c r="E474" s="244"/>
      <c r="F474" s="243"/>
      <c r="G474" s="243"/>
      <c r="H474" s="245"/>
    </row>
    <row r="475" spans="1:8" ht="12.75" customHeight="1" x14ac:dyDescent="0.2">
      <c r="A475" s="243"/>
      <c r="B475" s="243"/>
      <c r="C475" s="243"/>
      <c r="D475" s="243"/>
      <c r="E475" s="244"/>
      <c r="F475" s="243"/>
      <c r="G475" s="243"/>
      <c r="H475" s="245"/>
    </row>
    <row r="476" spans="1:8" ht="12.75" customHeight="1" x14ac:dyDescent="0.2">
      <c r="A476" s="243"/>
      <c r="B476" s="243"/>
      <c r="C476" s="243"/>
      <c r="D476" s="243"/>
      <c r="E476" s="244"/>
      <c r="F476" s="243"/>
      <c r="G476" s="243"/>
      <c r="H476" s="245"/>
    </row>
    <row r="477" spans="1:8" ht="12.75" customHeight="1" x14ac:dyDescent="0.2">
      <c r="A477" s="243"/>
      <c r="B477" s="243"/>
      <c r="C477" s="243"/>
      <c r="D477" s="243"/>
      <c r="E477" s="244"/>
      <c r="F477" s="243"/>
      <c r="G477" s="243"/>
      <c r="H477" s="245"/>
    </row>
    <row r="478" spans="1:8" ht="12.75" customHeight="1" x14ac:dyDescent="0.2">
      <c r="A478" s="243"/>
      <c r="B478" s="243"/>
      <c r="C478" s="243"/>
      <c r="D478" s="243"/>
      <c r="E478" s="244"/>
      <c r="F478" s="243"/>
      <c r="G478" s="243"/>
      <c r="H478" s="245"/>
    </row>
    <row r="479" spans="1:8" ht="12.75" customHeight="1" x14ac:dyDescent="0.2">
      <c r="A479" s="243"/>
      <c r="B479" s="243"/>
      <c r="C479" s="243"/>
      <c r="D479" s="243"/>
      <c r="E479" s="244"/>
      <c r="F479" s="243"/>
      <c r="G479" s="243"/>
      <c r="H479" s="245"/>
    </row>
    <row r="480" spans="1:8" ht="12.75" customHeight="1" x14ac:dyDescent="0.2">
      <c r="A480" s="243"/>
      <c r="B480" s="243"/>
      <c r="C480" s="243"/>
      <c r="D480" s="243"/>
      <c r="E480" s="244"/>
      <c r="F480" s="243"/>
      <c r="G480" s="243"/>
      <c r="H480" s="245"/>
    </row>
    <row r="481" spans="1:8" ht="12.75" customHeight="1" x14ac:dyDescent="0.2">
      <c r="A481" s="243"/>
      <c r="B481" s="243"/>
      <c r="C481" s="243"/>
      <c r="D481" s="243"/>
      <c r="E481" s="244"/>
      <c r="F481" s="243"/>
      <c r="G481" s="243"/>
      <c r="H481" s="245"/>
    </row>
    <row r="482" spans="1:8" ht="12.75" customHeight="1" x14ac:dyDescent="0.2">
      <c r="A482" s="243"/>
      <c r="B482" s="243"/>
      <c r="C482" s="243"/>
      <c r="D482" s="243"/>
      <c r="E482" s="244"/>
      <c r="F482" s="243"/>
      <c r="G482" s="243"/>
      <c r="H482" s="245"/>
    </row>
    <row r="483" spans="1:8" ht="12.75" customHeight="1" x14ac:dyDescent="0.2">
      <c r="A483" s="243"/>
      <c r="B483" s="243"/>
      <c r="C483" s="243"/>
      <c r="D483" s="243"/>
      <c r="E483" s="244"/>
      <c r="F483" s="243"/>
      <c r="G483" s="243"/>
      <c r="H483" s="245"/>
    </row>
    <row r="484" spans="1:8" ht="12.75" customHeight="1" x14ac:dyDescent="0.2">
      <c r="A484" s="243"/>
      <c r="B484" s="243"/>
      <c r="C484" s="243"/>
      <c r="D484" s="243"/>
      <c r="E484" s="244"/>
      <c r="F484" s="243"/>
      <c r="G484" s="243"/>
      <c r="H484" s="245"/>
    </row>
    <row r="485" spans="1:8" ht="12.75" customHeight="1" x14ac:dyDescent="0.2">
      <c r="A485" s="243"/>
      <c r="B485" s="243"/>
      <c r="C485" s="243"/>
      <c r="D485" s="243"/>
      <c r="E485" s="244"/>
      <c r="F485" s="243"/>
      <c r="G485" s="243"/>
      <c r="H485" s="245"/>
    </row>
    <row r="486" spans="1:8" ht="12.75" customHeight="1" x14ac:dyDescent="0.2">
      <c r="A486" s="243"/>
      <c r="B486" s="243"/>
      <c r="C486" s="243"/>
      <c r="D486" s="243"/>
      <c r="E486" s="244"/>
      <c r="F486" s="243"/>
      <c r="G486" s="243"/>
      <c r="H486" s="245"/>
    </row>
    <row r="487" spans="1:8" ht="12.75" customHeight="1" x14ac:dyDescent="0.2">
      <c r="A487" s="243"/>
      <c r="B487" s="243"/>
      <c r="C487" s="243"/>
      <c r="D487" s="243"/>
      <c r="E487" s="244"/>
      <c r="F487" s="243"/>
      <c r="G487" s="243"/>
      <c r="H487" s="245"/>
    </row>
    <row r="488" spans="1:8" ht="12.75" customHeight="1" x14ac:dyDescent="0.2">
      <c r="A488" s="243"/>
      <c r="B488" s="243"/>
      <c r="C488" s="243"/>
      <c r="D488" s="243"/>
      <c r="E488" s="244"/>
      <c r="F488" s="243"/>
      <c r="G488" s="243"/>
      <c r="H488" s="245"/>
    </row>
    <row r="489" spans="1:8" ht="12.75" customHeight="1" x14ac:dyDescent="0.2">
      <c r="A489" s="243"/>
      <c r="B489" s="243"/>
      <c r="C489" s="243"/>
      <c r="D489" s="243"/>
      <c r="E489" s="244"/>
      <c r="F489" s="243"/>
      <c r="G489" s="243"/>
      <c r="H489" s="245"/>
    </row>
    <row r="490" spans="1:8" ht="12.75" customHeight="1" x14ac:dyDescent="0.2">
      <c r="A490" s="243"/>
      <c r="B490" s="243"/>
      <c r="C490" s="243"/>
      <c r="D490" s="243"/>
      <c r="E490" s="244"/>
      <c r="F490" s="243"/>
      <c r="G490" s="243"/>
      <c r="H490" s="245"/>
    </row>
    <row r="491" spans="1:8" ht="12.75" customHeight="1" x14ac:dyDescent="0.2">
      <c r="A491" s="243"/>
      <c r="B491" s="243"/>
      <c r="C491" s="243"/>
      <c r="D491" s="243"/>
      <c r="E491" s="244"/>
      <c r="F491" s="243"/>
      <c r="G491" s="243"/>
      <c r="H491" s="245"/>
    </row>
    <row r="492" spans="1:8" ht="12.75" customHeight="1" x14ac:dyDescent="0.2">
      <c r="A492" s="243"/>
      <c r="B492" s="243"/>
      <c r="C492" s="243"/>
      <c r="D492" s="243"/>
      <c r="E492" s="244"/>
      <c r="F492" s="243"/>
      <c r="G492" s="243"/>
      <c r="H492" s="245"/>
    </row>
    <row r="493" spans="1:8" ht="12.75" customHeight="1" x14ac:dyDescent="0.2">
      <c r="A493" s="243"/>
      <c r="B493" s="243"/>
      <c r="C493" s="243"/>
      <c r="D493" s="243"/>
      <c r="E493" s="244"/>
      <c r="F493" s="243"/>
      <c r="G493" s="243"/>
      <c r="H493" s="245"/>
    </row>
    <row r="494" spans="1:8" ht="12.75" customHeight="1" x14ac:dyDescent="0.2">
      <c r="A494" s="243"/>
      <c r="B494" s="243"/>
      <c r="C494" s="243"/>
      <c r="D494" s="243"/>
      <c r="E494" s="244"/>
      <c r="F494" s="243"/>
      <c r="G494" s="243"/>
      <c r="H494" s="245"/>
    </row>
    <row r="495" spans="1:8" ht="12.75" customHeight="1" x14ac:dyDescent="0.2">
      <c r="A495" s="243"/>
      <c r="B495" s="243"/>
      <c r="C495" s="243"/>
      <c r="D495" s="243"/>
      <c r="E495" s="244"/>
      <c r="F495" s="243"/>
      <c r="G495" s="243"/>
      <c r="H495" s="245"/>
    </row>
    <row r="496" spans="1:8" ht="12.75" customHeight="1" x14ac:dyDescent="0.2">
      <c r="A496" s="243"/>
      <c r="B496" s="243"/>
      <c r="C496" s="243"/>
      <c r="D496" s="243"/>
      <c r="E496" s="244"/>
      <c r="F496" s="243"/>
      <c r="G496" s="243"/>
      <c r="H496" s="245"/>
    </row>
    <row r="497" spans="1:8" ht="12.75" customHeight="1" x14ac:dyDescent="0.2">
      <c r="A497" s="243"/>
      <c r="B497" s="243"/>
      <c r="C497" s="243"/>
      <c r="D497" s="243"/>
      <c r="E497" s="244"/>
      <c r="F497" s="243"/>
      <c r="G497" s="243"/>
      <c r="H497" s="245"/>
    </row>
    <row r="498" spans="1:8" ht="12.75" customHeight="1" x14ac:dyDescent="0.2">
      <c r="A498" s="243"/>
      <c r="B498" s="243"/>
      <c r="C498" s="243"/>
      <c r="D498" s="243"/>
      <c r="E498" s="244"/>
      <c r="F498" s="243"/>
      <c r="G498" s="243"/>
      <c r="H498" s="245"/>
    </row>
    <row r="499" spans="1:8" ht="12.75" customHeight="1" x14ac:dyDescent="0.2">
      <c r="A499" s="243"/>
      <c r="B499" s="243"/>
      <c r="C499" s="243"/>
      <c r="D499" s="243"/>
      <c r="E499" s="244"/>
      <c r="F499" s="243"/>
      <c r="G499" s="243"/>
      <c r="H499" s="245"/>
    </row>
    <row r="500" spans="1:8" ht="12.75" customHeight="1" x14ac:dyDescent="0.2">
      <c r="A500" s="243"/>
      <c r="B500" s="243"/>
      <c r="C500" s="243"/>
      <c r="D500" s="243"/>
      <c r="E500" s="244"/>
      <c r="F500" s="243"/>
      <c r="G500" s="243"/>
      <c r="H500" s="245"/>
    </row>
    <row r="501" spans="1:8" ht="12.75" customHeight="1" x14ac:dyDescent="0.2">
      <c r="A501" s="243"/>
      <c r="B501" s="243"/>
      <c r="C501" s="243"/>
      <c r="D501" s="243"/>
      <c r="E501" s="244"/>
      <c r="F501" s="243"/>
      <c r="G501" s="243"/>
      <c r="H501" s="245"/>
    </row>
    <row r="502" spans="1:8" ht="12.75" customHeight="1" x14ac:dyDescent="0.2">
      <c r="A502" s="243"/>
      <c r="B502" s="243"/>
      <c r="C502" s="243"/>
      <c r="D502" s="243"/>
      <c r="E502" s="244"/>
      <c r="F502" s="243"/>
      <c r="G502" s="243"/>
      <c r="H502" s="245"/>
    </row>
    <row r="503" spans="1:8" ht="12.75" customHeight="1" x14ac:dyDescent="0.2">
      <c r="A503" s="243"/>
      <c r="B503" s="243"/>
      <c r="C503" s="243"/>
      <c r="D503" s="243"/>
      <c r="E503" s="244"/>
      <c r="F503" s="243"/>
      <c r="G503" s="243"/>
      <c r="H503" s="245"/>
    </row>
    <row r="504" spans="1:8" ht="12.75" customHeight="1" x14ac:dyDescent="0.2">
      <c r="A504" s="243"/>
      <c r="B504" s="243"/>
      <c r="C504" s="243"/>
      <c r="D504" s="243"/>
      <c r="E504" s="244"/>
      <c r="F504" s="243"/>
      <c r="G504" s="243"/>
      <c r="H504" s="245"/>
    </row>
    <row r="505" spans="1:8" ht="12.75" customHeight="1" x14ac:dyDescent="0.2">
      <c r="A505" s="243"/>
      <c r="B505" s="243"/>
      <c r="C505" s="243"/>
      <c r="D505" s="243"/>
      <c r="E505" s="244"/>
      <c r="F505" s="243"/>
      <c r="G505" s="243"/>
      <c r="H505" s="245"/>
    </row>
    <row r="506" spans="1:8" ht="12.75" customHeight="1" x14ac:dyDescent="0.2">
      <c r="A506" s="243"/>
      <c r="B506" s="243"/>
      <c r="C506" s="243"/>
      <c r="D506" s="243"/>
      <c r="E506" s="244"/>
      <c r="F506" s="243"/>
      <c r="G506" s="243"/>
      <c r="H506" s="245"/>
    </row>
    <row r="507" spans="1:8" ht="12.75" customHeight="1" x14ac:dyDescent="0.2">
      <c r="A507" s="243"/>
      <c r="B507" s="243"/>
      <c r="C507" s="243"/>
      <c r="D507" s="243"/>
      <c r="E507" s="244"/>
      <c r="F507" s="243"/>
      <c r="G507" s="243"/>
      <c r="H507" s="245"/>
    </row>
    <row r="508" spans="1:8" ht="12.75" customHeight="1" x14ac:dyDescent="0.2">
      <c r="A508" s="243"/>
      <c r="B508" s="243"/>
      <c r="C508" s="243"/>
      <c r="D508" s="243"/>
      <c r="E508" s="244"/>
      <c r="F508" s="243"/>
      <c r="G508" s="243"/>
      <c r="H508" s="245"/>
    </row>
    <row r="509" spans="1:8" ht="12.75" customHeight="1" x14ac:dyDescent="0.2">
      <c r="A509" s="243"/>
      <c r="B509" s="243"/>
      <c r="C509" s="243"/>
      <c r="D509" s="243"/>
      <c r="E509" s="244"/>
      <c r="F509" s="243"/>
      <c r="G509" s="243"/>
      <c r="H509" s="245"/>
    </row>
    <row r="510" spans="1:8" ht="12.75" customHeight="1" x14ac:dyDescent="0.2">
      <c r="A510" s="243"/>
      <c r="B510" s="243"/>
      <c r="C510" s="243"/>
      <c r="D510" s="243"/>
      <c r="E510" s="244"/>
      <c r="F510" s="243"/>
      <c r="G510" s="243"/>
      <c r="H510" s="245"/>
    </row>
    <row r="511" spans="1:8" ht="12.75" customHeight="1" x14ac:dyDescent="0.2">
      <c r="A511" s="243"/>
      <c r="B511" s="243"/>
      <c r="C511" s="243"/>
      <c r="D511" s="243"/>
      <c r="E511" s="244"/>
      <c r="F511" s="243"/>
      <c r="G511" s="243"/>
      <c r="H511" s="245"/>
    </row>
    <row r="512" spans="1:8" ht="12.75" customHeight="1" x14ac:dyDescent="0.2">
      <c r="A512" s="243"/>
      <c r="B512" s="243"/>
      <c r="C512" s="243"/>
      <c r="D512" s="243"/>
      <c r="E512" s="246"/>
      <c r="F512" s="243"/>
      <c r="G512" s="243"/>
      <c r="H512" s="245"/>
    </row>
    <row r="513" spans="1:8" ht="12.75" customHeight="1" x14ac:dyDescent="0.2">
      <c r="A513" s="243"/>
      <c r="B513" s="243"/>
      <c r="C513" s="243"/>
      <c r="D513" s="243"/>
      <c r="E513" s="244"/>
      <c r="F513" s="243"/>
      <c r="G513" s="243"/>
      <c r="H513" s="245"/>
    </row>
    <row r="514" spans="1:8" ht="12.75" customHeight="1" x14ac:dyDescent="0.2">
      <c r="A514" s="243"/>
      <c r="B514" s="243"/>
      <c r="C514" s="243"/>
      <c r="D514" s="243"/>
      <c r="E514" s="244"/>
      <c r="F514" s="243"/>
      <c r="G514" s="243"/>
      <c r="H514" s="245"/>
    </row>
    <row r="515" spans="1:8" ht="12.75" customHeight="1" x14ac:dyDescent="0.2">
      <c r="A515" s="243"/>
      <c r="B515" s="243"/>
      <c r="C515" s="243"/>
      <c r="D515" s="243"/>
      <c r="E515" s="244"/>
      <c r="F515" s="243"/>
      <c r="G515" s="243"/>
      <c r="H515" s="245"/>
    </row>
    <row r="516" spans="1:8" ht="12.75" customHeight="1" x14ac:dyDescent="0.2">
      <c r="A516" s="243"/>
      <c r="B516" s="243"/>
      <c r="C516" s="243"/>
      <c r="D516" s="243"/>
      <c r="E516" s="244"/>
      <c r="F516" s="243"/>
      <c r="G516" s="243"/>
      <c r="H516" s="245"/>
    </row>
    <row r="517" spans="1:8" ht="12.75" customHeight="1" x14ac:dyDescent="0.2">
      <c r="A517" s="243"/>
      <c r="B517" s="243"/>
      <c r="C517" s="243"/>
      <c r="D517" s="243"/>
      <c r="E517" s="244"/>
      <c r="F517" s="243"/>
      <c r="G517" s="243"/>
      <c r="H517" s="245"/>
    </row>
    <row r="518" spans="1:8" ht="12.75" customHeight="1" x14ac:dyDescent="0.2">
      <c r="A518" s="243"/>
      <c r="B518" s="243"/>
      <c r="C518" s="243"/>
      <c r="D518" s="243"/>
      <c r="E518" s="244"/>
      <c r="F518" s="243"/>
      <c r="G518" s="243"/>
      <c r="H518" s="245"/>
    </row>
    <row r="519" spans="1:8" ht="12.75" customHeight="1" x14ac:dyDescent="0.2">
      <c r="A519" s="243"/>
      <c r="B519" s="243"/>
      <c r="C519" s="243"/>
      <c r="D519" s="243"/>
      <c r="E519" s="244"/>
      <c r="F519" s="243"/>
      <c r="G519" s="243"/>
      <c r="H519" s="245"/>
    </row>
    <row r="520" spans="1:8" ht="12.75" customHeight="1" x14ac:dyDescent="0.2">
      <c r="A520" s="243"/>
      <c r="B520" s="243"/>
      <c r="C520" s="243"/>
      <c r="D520" s="243"/>
      <c r="E520" s="244"/>
      <c r="F520" s="243"/>
      <c r="G520" s="243"/>
      <c r="H520" s="245"/>
    </row>
    <row r="521" spans="1:8" ht="12.75" customHeight="1" x14ac:dyDescent="0.2">
      <c r="A521" s="243"/>
      <c r="B521" s="243"/>
      <c r="C521" s="243"/>
      <c r="D521" s="243"/>
      <c r="E521" s="244"/>
      <c r="F521" s="243"/>
      <c r="G521" s="243"/>
      <c r="H521" s="245"/>
    </row>
    <row r="522" spans="1:8" ht="12.75" customHeight="1" x14ac:dyDescent="0.2">
      <c r="A522" s="243"/>
      <c r="B522" s="243"/>
      <c r="C522" s="243"/>
      <c r="D522" s="243"/>
      <c r="E522" s="244"/>
      <c r="F522" s="243"/>
      <c r="G522" s="243"/>
      <c r="H522" s="245"/>
    </row>
    <row r="523" spans="1:8" ht="12.75" customHeight="1" x14ac:dyDescent="0.2">
      <c r="A523" s="243"/>
      <c r="B523" s="243"/>
      <c r="C523" s="243"/>
      <c r="D523" s="243"/>
      <c r="E523" s="244"/>
      <c r="F523" s="243"/>
      <c r="G523" s="243"/>
      <c r="H523" s="245"/>
    </row>
    <row r="524" spans="1:8" ht="12.75" customHeight="1" x14ac:dyDescent="0.2">
      <c r="A524" s="243"/>
      <c r="B524" s="243"/>
      <c r="C524" s="243"/>
      <c r="D524" s="243"/>
      <c r="E524" s="244"/>
      <c r="F524" s="243"/>
      <c r="G524" s="243"/>
      <c r="H524" s="245"/>
    </row>
    <row r="525" spans="1:8" ht="12.75" customHeight="1" x14ac:dyDescent="0.2">
      <c r="A525" s="243"/>
      <c r="B525" s="243"/>
      <c r="C525" s="243"/>
      <c r="D525" s="243"/>
      <c r="E525" s="244"/>
      <c r="F525" s="243"/>
      <c r="G525" s="243"/>
      <c r="H525" s="245"/>
    </row>
    <row r="526" spans="1:8" ht="12.75" customHeight="1" x14ac:dyDescent="0.2">
      <c r="A526" s="243"/>
      <c r="B526" s="243"/>
      <c r="C526" s="243"/>
      <c r="D526" s="243"/>
      <c r="E526" s="244"/>
      <c r="F526" s="243"/>
      <c r="G526" s="243"/>
      <c r="H526" s="245"/>
    </row>
    <row r="527" spans="1:8" ht="12.75" customHeight="1" x14ac:dyDescent="0.2">
      <c r="A527" s="243"/>
      <c r="B527" s="243"/>
      <c r="C527" s="243"/>
      <c r="D527" s="243"/>
      <c r="E527" s="244"/>
      <c r="F527" s="243"/>
      <c r="G527" s="243"/>
      <c r="H527" s="245"/>
    </row>
    <row r="528" spans="1:8" ht="12.75" customHeight="1" x14ac:dyDescent="0.2">
      <c r="A528" s="243"/>
      <c r="B528" s="243"/>
      <c r="C528" s="243"/>
      <c r="D528" s="243"/>
      <c r="E528" s="244"/>
      <c r="F528" s="243"/>
      <c r="G528" s="243"/>
      <c r="H528" s="245"/>
    </row>
    <row r="529" spans="1:8" ht="12.75" customHeight="1" x14ac:dyDescent="0.2">
      <c r="A529" s="243"/>
      <c r="B529" s="243"/>
      <c r="C529" s="243"/>
      <c r="D529" s="243"/>
      <c r="E529" s="244"/>
      <c r="F529" s="243"/>
      <c r="G529" s="243"/>
      <c r="H529" s="245"/>
    </row>
    <row r="530" spans="1:8" ht="12.75" customHeight="1" x14ac:dyDescent="0.2">
      <c r="A530" s="243"/>
      <c r="B530" s="243"/>
      <c r="C530" s="243"/>
      <c r="D530" s="243"/>
      <c r="E530" s="244"/>
      <c r="F530" s="243"/>
      <c r="G530" s="243"/>
      <c r="H530" s="245"/>
    </row>
    <row r="531" spans="1:8" ht="12.75" customHeight="1" x14ac:dyDescent="0.2">
      <c r="A531" s="243"/>
      <c r="B531" s="243"/>
      <c r="C531" s="243"/>
      <c r="D531" s="243"/>
      <c r="E531" s="244"/>
      <c r="F531" s="243"/>
      <c r="G531" s="243"/>
      <c r="H531" s="245"/>
    </row>
    <row r="532" spans="1:8" ht="12.75" customHeight="1" x14ac:dyDescent="0.2">
      <c r="A532" s="243"/>
      <c r="B532" s="243"/>
      <c r="C532" s="243"/>
      <c r="D532" s="243"/>
      <c r="E532" s="244"/>
      <c r="F532" s="243"/>
      <c r="G532" s="243"/>
      <c r="H532" s="245"/>
    </row>
    <row r="533" spans="1:8" ht="12.75" customHeight="1" x14ac:dyDescent="0.2">
      <c r="A533" s="243"/>
      <c r="B533" s="243"/>
      <c r="C533" s="243"/>
      <c r="D533" s="243"/>
      <c r="E533" s="244"/>
      <c r="F533" s="243"/>
      <c r="G533" s="243"/>
      <c r="H533" s="245"/>
    </row>
    <row r="534" spans="1:8" ht="12.75" customHeight="1" x14ac:dyDescent="0.2">
      <c r="A534" s="243"/>
      <c r="B534" s="243"/>
      <c r="C534" s="243"/>
      <c r="D534" s="243"/>
      <c r="E534" s="244"/>
      <c r="F534" s="243"/>
      <c r="G534" s="243"/>
      <c r="H534" s="245"/>
    </row>
    <row r="535" spans="1:8" ht="12.75" customHeight="1" x14ac:dyDescent="0.2">
      <c r="A535" s="243"/>
      <c r="B535" s="243"/>
      <c r="C535" s="243"/>
      <c r="D535" s="243"/>
      <c r="E535" s="246"/>
      <c r="F535" s="243"/>
      <c r="G535" s="243"/>
      <c r="H535" s="245"/>
    </row>
    <row r="536" spans="1:8" ht="12.75" customHeight="1" x14ac:dyDescent="0.2">
      <c r="A536" s="243"/>
      <c r="B536" s="243"/>
      <c r="C536" s="243"/>
      <c r="D536" s="243"/>
      <c r="E536" s="244"/>
      <c r="F536" s="243"/>
      <c r="G536" s="243"/>
      <c r="H536" s="245"/>
    </row>
    <row r="537" spans="1:8" ht="12.75" customHeight="1" x14ac:dyDescent="0.2">
      <c r="A537" s="243"/>
      <c r="B537" s="243"/>
      <c r="C537" s="243"/>
      <c r="D537" s="243"/>
      <c r="E537" s="244"/>
      <c r="F537" s="243"/>
      <c r="G537" s="243"/>
      <c r="H537" s="245"/>
    </row>
    <row r="538" spans="1:8" ht="12.75" customHeight="1" x14ac:dyDescent="0.2">
      <c r="A538" s="243"/>
      <c r="B538" s="243"/>
      <c r="C538" s="243"/>
      <c r="D538" s="243"/>
      <c r="E538" s="244"/>
      <c r="F538" s="243"/>
      <c r="G538" s="243"/>
      <c r="H538" s="245"/>
    </row>
    <row r="539" spans="1:8" ht="12.75" customHeight="1" x14ac:dyDescent="0.2">
      <c r="A539" s="243"/>
      <c r="B539" s="243"/>
      <c r="C539" s="243"/>
      <c r="D539" s="243"/>
      <c r="E539" s="244"/>
      <c r="F539" s="243"/>
      <c r="G539" s="243"/>
      <c r="H539" s="245"/>
    </row>
    <row r="540" spans="1:8" ht="12.75" customHeight="1" x14ac:dyDescent="0.2">
      <c r="A540" s="243"/>
      <c r="B540" s="243"/>
      <c r="C540" s="243"/>
      <c r="D540" s="243"/>
      <c r="E540" s="244"/>
      <c r="F540" s="243"/>
      <c r="G540" s="243"/>
      <c r="H540" s="245"/>
    </row>
    <row r="541" spans="1:8" ht="12.75" customHeight="1" x14ac:dyDescent="0.2">
      <c r="A541" s="243"/>
      <c r="B541" s="243"/>
      <c r="C541" s="243"/>
      <c r="D541" s="243"/>
      <c r="E541" s="244"/>
      <c r="F541" s="243"/>
      <c r="G541" s="243"/>
      <c r="H541" s="245"/>
    </row>
    <row r="542" spans="1:8" ht="12.75" customHeight="1" x14ac:dyDescent="0.2">
      <c r="A542" s="243"/>
      <c r="B542" s="243"/>
      <c r="C542" s="243"/>
      <c r="D542" s="243"/>
      <c r="E542" s="244"/>
      <c r="F542" s="243"/>
      <c r="G542" s="243"/>
      <c r="H542" s="245"/>
    </row>
    <row r="543" spans="1:8" ht="12.75" customHeight="1" x14ac:dyDescent="0.2">
      <c r="A543" s="243"/>
      <c r="B543" s="243"/>
      <c r="C543" s="243"/>
      <c r="D543" s="243"/>
      <c r="E543" s="244"/>
      <c r="F543" s="243"/>
      <c r="G543" s="243"/>
      <c r="H543" s="245"/>
    </row>
    <row r="544" spans="1:8" ht="12.75" customHeight="1" x14ac:dyDescent="0.2">
      <c r="A544" s="243"/>
      <c r="B544" s="243"/>
      <c r="C544" s="243"/>
      <c r="D544" s="243"/>
      <c r="E544" s="244"/>
      <c r="F544" s="243"/>
      <c r="G544" s="243"/>
      <c r="H544" s="245"/>
    </row>
    <row r="545" spans="1:8" ht="12.75" customHeight="1" x14ac:dyDescent="0.2">
      <c r="A545" s="243"/>
      <c r="B545" s="243"/>
      <c r="C545" s="243"/>
      <c r="D545" s="243"/>
      <c r="E545" s="244"/>
      <c r="F545" s="243"/>
      <c r="G545" s="243"/>
      <c r="H545" s="245"/>
    </row>
    <row r="546" spans="1:8" ht="12.75" customHeight="1" x14ac:dyDescent="0.2">
      <c r="A546" s="243"/>
      <c r="B546" s="243"/>
      <c r="C546" s="243"/>
      <c r="D546" s="243"/>
      <c r="E546" s="244"/>
      <c r="F546" s="243"/>
      <c r="G546" s="243"/>
      <c r="H546" s="245"/>
    </row>
    <row r="547" spans="1:8" ht="12.75" customHeight="1" x14ac:dyDescent="0.2">
      <c r="A547" s="243"/>
      <c r="B547" s="243"/>
      <c r="C547" s="243"/>
      <c r="D547" s="243"/>
      <c r="E547" s="244"/>
      <c r="F547" s="243"/>
      <c r="G547" s="243"/>
      <c r="H547" s="245"/>
    </row>
    <row r="548" spans="1:8" ht="12.75" customHeight="1" x14ac:dyDescent="0.2">
      <c r="A548" s="243"/>
      <c r="B548" s="243"/>
      <c r="C548" s="243"/>
      <c r="D548" s="243"/>
      <c r="E548" s="244"/>
      <c r="F548" s="243"/>
      <c r="G548" s="243"/>
      <c r="H548" s="245"/>
    </row>
    <row r="549" spans="1:8" ht="12.75" customHeight="1" x14ac:dyDescent="0.2">
      <c r="A549" s="243"/>
      <c r="B549" s="243"/>
      <c r="C549" s="243"/>
      <c r="D549" s="243"/>
      <c r="E549" s="244"/>
      <c r="F549" s="243"/>
      <c r="G549" s="243"/>
      <c r="H549" s="245"/>
    </row>
    <row r="550" spans="1:8" ht="12.75" customHeight="1" x14ac:dyDescent="0.2">
      <c r="A550" s="243"/>
      <c r="B550" s="243"/>
      <c r="C550" s="243"/>
      <c r="D550" s="243"/>
      <c r="E550" s="244"/>
      <c r="F550" s="243"/>
      <c r="G550" s="243"/>
      <c r="H550" s="245"/>
    </row>
    <row r="551" spans="1:8" ht="12.75" customHeight="1" x14ac:dyDescent="0.2">
      <c r="A551" s="243"/>
      <c r="B551" s="243"/>
      <c r="C551" s="243"/>
      <c r="D551" s="243"/>
      <c r="E551" s="244"/>
      <c r="F551" s="243"/>
      <c r="G551" s="243"/>
      <c r="H551" s="245"/>
    </row>
    <row r="552" spans="1:8" ht="12.75" customHeight="1" x14ac:dyDescent="0.2">
      <c r="A552" s="243"/>
      <c r="B552" s="243"/>
      <c r="C552" s="243"/>
      <c r="D552" s="243"/>
      <c r="E552" s="244"/>
      <c r="F552" s="243"/>
      <c r="G552" s="243"/>
      <c r="H552" s="245"/>
    </row>
    <row r="553" spans="1:8" ht="12.75" customHeight="1" x14ac:dyDescent="0.2">
      <c r="A553" s="243"/>
      <c r="B553" s="243"/>
      <c r="C553" s="243"/>
      <c r="D553" s="243"/>
      <c r="E553" s="244"/>
      <c r="F553" s="243"/>
      <c r="G553" s="243"/>
      <c r="H553" s="245"/>
    </row>
    <row r="554" spans="1:8" ht="12.75" customHeight="1" x14ac:dyDescent="0.2">
      <c r="A554" s="243"/>
      <c r="B554" s="243"/>
      <c r="C554" s="243"/>
      <c r="D554" s="243"/>
      <c r="E554" s="244"/>
      <c r="F554" s="243"/>
      <c r="G554" s="243"/>
      <c r="H554" s="245"/>
    </row>
    <row r="555" spans="1:8" ht="12.75" customHeight="1" x14ac:dyDescent="0.2">
      <c r="A555" s="243"/>
      <c r="B555" s="243"/>
      <c r="C555" s="243"/>
      <c r="D555" s="243"/>
      <c r="E555" s="244"/>
      <c r="F555" s="243"/>
      <c r="G555" s="243"/>
      <c r="H555" s="245"/>
    </row>
    <row r="556" spans="1:8" ht="12.75" customHeight="1" x14ac:dyDescent="0.2">
      <c r="A556" s="243"/>
      <c r="B556" s="243"/>
      <c r="C556" s="243"/>
      <c r="D556" s="243"/>
      <c r="E556" s="244"/>
      <c r="F556" s="243"/>
      <c r="G556" s="243"/>
      <c r="H556" s="245"/>
    </row>
    <row r="557" spans="1:8" ht="12.75" customHeight="1" x14ac:dyDescent="0.2">
      <c r="A557" s="243"/>
      <c r="B557" s="243"/>
      <c r="C557" s="243"/>
      <c r="D557" s="243"/>
      <c r="E557" s="244"/>
      <c r="F557" s="243"/>
      <c r="G557" s="243"/>
      <c r="H557" s="245"/>
    </row>
    <row r="558" spans="1:8" x14ac:dyDescent="0.2">
      <c r="A558" s="243"/>
      <c r="B558" s="243"/>
      <c r="C558" s="243"/>
      <c r="D558" s="243"/>
      <c r="E558" s="246"/>
      <c r="F558" s="243"/>
      <c r="G558" s="243"/>
      <c r="H558" s="245"/>
    </row>
    <row r="559" spans="1:8" x14ac:dyDescent="0.2">
      <c r="A559" s="243"/>
      <c r="B559" s="243"/>
      <c r="C559" s="243"/>
      <c r="D559" s="243"/>
      <c r="E559" s="244"/>
      <c r="F559" s="243"/>
      <c r="G559" s="243"/>
      <c r="H559" s="245"/>
    </row>
    <row r="560" spans="1:8" x14ac:dyDescent="0.2">
      <c r="A560" s="243"/>
      <c r="B560" s="243"/>
      <c r="C560" s="243"/>
      <c r="D560" s="243"/>
      <c r="E560" s="244"/>
      <c r="F560" s="243"/>
      <c r="G560" s="243"/>
      <c r="H560" s="245"/>
    </row>
    <row r="561" spans="1:8" x14ac:dyDescent="0.2">
      <c r="A561" s="243"/>
      <c r="B561" s="243"/>
      <c r="C561" s="243"/>
      <c r="D561" s="243"/>
      <c r="E561" s="244"/>
      <c r="F561" s="243"/>
      <c r="G561" s="243"/>
      <c r="H561" s="245"/>
    </row>
    <row r="562" spans="1:8" x14ac:dyDescent="0.2">
      <c r="A562" s="243"/>
      <c r="B562" s="243"/>
      <c r="C562" s="243"/>
      <c r="D562" s="243"/>
      <c r="E562" s="244"/>
      <c r="F562" s="243"/>
      <c r="G562" s="243"/>
      <c r="H562" s="245"/>
    </row>
    <row r="563" spans="1:8" x14ac:dyDescent="0.2">
      <c r="A563" s="243"/>
      <c r="B563" s="243"/>
      <c r="C563" s="243"/>
      <c r="D563" s="243"/>
      <c r="E563" s="244"/>
      <c r="F563" s="243"/>
      <c r="G563" s="243"/>
      <c r="H563" s="245"/>
    </row>
    <row r="564" spans="1:8" x14ac:dyDescent="0.2">
      <c r="A564" s="243"/>
      <c r="B564" s="243"/>
      <c r="C564" s="243"/>
      <c r="D564" s="243"/>
      <c r="E564" s="244"/>
      <c r="F564" s="243"/>
      <c r="G564" s="243"/>
      <c r="H564" s="245"/>
    </row>
    <row r="565" spans="1:8" x14ac:dyDescent="0.2">
      <c r="A565" s="243"/>
      <c r="B565" s="243"/>
      <c r="C565" s="243"/>
      <c r="D565" s="243"/>
      <c r="E565" s="244"/>
      <c r="F565" s="243"/>
      <c r="G565" s="243"/>
      <c r="H565" s="245"/>
    </row>
    <row r="566" spans="1:8" x14ac:dyDescent="0.2">
      <c r="A566" s="243"/>
      <c r="B566" s="243"/>
      <c r="C566" s="243"/>
      <c r="D566" s="243"/>
      <c r="E566" s="244"/>
      <c r="F566" s="243"/>
      <c r="G566" s="243"/>
      <c r="H566" s="245"/>
    </row>
    <row r="567" spans="1:8" x14ac:dyDescent="0.2">
      <c r="A567" s="243"/>
      <c r="B567" s="243"/>
      <c r="C567" s="243"/>
      <c r="D567" s="243"/>
      <c r="E567" s="244"/>
      <c r="F567" s="243"/>
      <c r="G567" s="243"/>
      <c r="H567" s="245"/>
    </row>
    <row r="568" spans="1:8" x14ac:dyDescent="0.2">
      <c r="A568" s="243"/>
      <c r="B568" s="243"/>
      <c r="C568" s="243"/>
      <c r="D568" s="243"/>
      <c r="E568" s="244"/>
      <c r="F568" s="243"/>
      <c r="G568" s="243"/>
      <c r="H568" s="245"/>
    </row>
    <row r="569" spans="1:8" x14ac:dyDescent="0.2">
      <c r="A569" s="243"/>
      <c r="B569" s="243"/>
      <c r="C569" s="243"/>
      <c r="D569" s="243"/>
      <c r="E569" s="244"/>
      <c r="F569" s="243"/>
      <c r="G569" s="243"/>
      <c r="H569" s="245"/>
    </row>
    <row r="570" spans="1:8" x14ac:dyDescent="0.2">
      <c r="A570" s="243"/>
      <c r="B570" s="243"/>
      <c r="C570" s="243"/>
      <c r="D570" s="243"/>
      <c r="E570" s="244"/>
      <c r="F570" s="243"/>
      <c r="G570" s="243"/>
      <c r="H570" s="245"/>
    </row>
    <row r="571" spans="1:8" x14ac:dyDescent="0.2">
      <c r="A571" s="243"/>
      <c r="B571" s="243"/>
      <c r="C571" s="243"/>
      <c r="D571" s="243"/>
      <c r="E571" s="244"/>
      <c r="F571" s="243"/>
      <c r="G571" s="243"/>
      <c r="H571" s="245"/>
    </row>
    <row r="572" spans="1:8" x14ac:dyDescent="0.2">
      <c r="A572" s="243"/>
      <c r="B572" s="243"/>
      <c r="C572" s="243"/>
      <c r="D572" s="243"/>
      <c r="E572" s="244"/>
      <c r="F572" s="243"/>
      <c r="G572" s="243"/>
      <c r="H572" s="245"/>
    </row>
    <row r="573" spans="1:8" x14ac:dyDescent="0.2">
      <c r="A573" s="243"/>
      <c r="B573" s="243"/>
      <c r="C573" s="243"/>
      <c r="D573" s="243"/>
      <c r="E573" s="244"/>
      <c r="F573" s="243"/>
      <c r="G573" s="243"/>
      <c r="H573" s="245"/>
    </row>
    <row r="574" spans="1:8" x14ac:dyDescent="0.2">
      <c r="A574" s="243"/>
      <c r="B574" s="243"/>
      <c r="C574" s="243"/>
      <c r="D574" s="243"/>
      <c r="E574" s="244"/>
      <c r="F574" s="243"/>
      <c r="G574" s="243"/>
      <c r="H574" s="245"/>
    </row>
    <row r="575" spans="1:8" x14ac:dyDescent="0.2">
      <c r="A575" s="243"/>
      <c r="B575" s="243"/>
      <c r="C575" s="243"/>
      <c r="D575" s="243"/>
      <c r="E575" s="244"/>
      <c r="F575" s="243"/>
      <c r="G575" s="243"/>
      <c r="H575" s="245"/>
    </row>
    <row r="576" spans="1:8" x14ac:dyDescent="0.2">
      <c r="A576" s="243"/>
      <c r="B576" s="243"/>
      <c r="C576" s="243"/>
      <c r="D576" s="243"/>
      <c r="E576" s="244"/>
      <c r="F576" s="243"/>
      <c r="G576" s="243"/>
      <c r="H576" s="245"/>
    </row>
    <row r="577" spans="1:8" x14ac:dyDescent="0.2">
      <c r="A577" s="243"/>
      <c r="B577" s="243"/>
      <c r="C577" s="243"/>
      <c r="D577" s="243"/>
      <c r="E577" s="244"/>
      <c r="F577" s="243"/>
      <c r="G577" s="243"/>
      <c r="H577" s="245"/>
    </row>
    <row r="578" spans="1:8" x14ac:dyDescent="0.2">
      <c r="A578" s="243"/>
      <c r="B578" s="243"/>
      <c r="C578" s="243"/>
      <c r="D578" s="243"/>
      <c r="E578" s="244"/>
      <c r="F578" s="243"/>
      <c r="G578" s="243"/>
      <c r="H578" s="245"/>
    </row>
    <row r="579" spans="1:8" x14ac:dyDescent="0.2">
      <c r="A579" s="243"/>
      <c r="B579" s="243"/>
      <c r="C579" s="243"/>
      <c r="D579" s="243"/>
      <c r="E579" s="244"/>
      <c r="F579" s="243"/>
      <c r="G579" s="243"/>
      <c r="H579" s="245"/>
    </row>
    <row r="580" spans="1:8" x14ac:dyDescent="0.2">
      <c r="A580" s="243"/>
      <c r="B580" s="243"/>
      <c r="C580" s="243"/>
      <c r="D580" s="243"/>
      <c r="E580" s="244"/>
      <c r="F580" s="243"/>
      <c r="G580" s="243"/>
      <c r="H580" s="245"/>
    </row>
    <row r="581" spans="1:8" x14ac:dyDescent="0.2">
      <c r="A581" s="243"/>
      <c r="B581" s="243"/>
      <c r="C581" s="243"/>
      <c r="D581" s="243"/>
      <c r="E581" s="244"/>
      <c r="F581" s="243"/>
      <c r="G581" s="243"/>
      <c r="H581" s="245"/>
    </row>
    <row r="582" spans="1:8" x14ac:dyDescent="0.2">
      <c r="A582" s="243"/>
      <c r="B582" s="243"/>
      <c r="C582" s="243"/>
      <c r="D582" s="243"/>
      <c r="E582" s="244"/>
      <c r="F582" s="243"/>
      <c r="G582" s="243"/>
      <c r="H582" s="245"/>
    </row>
    <row r="583" spans="1:8" x14ac:dyDescent="0.2">
      <c r="A583" s="243"/>
      <c r="B583" s="243"/>
      <c r="C583" s="243"/>
      <c r="D583" s="243"/>
      <c r="E583" s="244"/>
      <c r="F583" s="243"/>
      <c r="G583" s="243"/>
      <c r="H583" s="245"/>
    </row>
    <row r="584" spans="1:8" x14ac:dyDescent="0.2">
      <c r="A584" s="243"/>
      <c r="B584" s="243"/>
      <c r="C584" s="243"/>
      <c r="D584" s="243"/>
      <c r="E584" s="244"/>
      <c r="F584" s="243"/>
      <c r="G584" s="243"/>
      <c r="H584" s="245"/>
    </row>
    <row r="585" spans="1:8" x14ac:dyDescent="0.2">
      <c r="A585" s="243"/>
      <c r="B585" s="243"/>
      <c r="C585" s="243"/>
      <c r="D585" s="243"/>
      <c r="E585" s="244"/>
      <c r="F585" s="243"/>
      <c r="G585" s="243"/>
      <c r="H585" s="245"/>
    </row>
    <row r="586" spans="1:8" x14ac:dyDescent="0.2">
      <c r="A586" s="243"/>
      <c r="B586" s="243"/>
      <c r="C586" s="243"/>
      <c r="D586" s="243"/>
      <c r="E586" s="244"/>
      <c r="F586" s="243"/>
      <c r="G586" s="243"/>
      <c r="H586" s="245"/>
    </row>
    <row r="587" spans="1:8" x14ac:dyDescent="0.2">
      <c r="A587" s="243"/>
      <c r="B587" s="243"/>
      <c r="C587" s="243"/>
      <c r="D587" s="243"/>
      <c r="E587" s="244"/>
      <c r="F587" s="243"/>
      <c r="G587" s="243"/>
      <c r="H587" s="245"/>
    </row>
    <row r="588" spans="1:8" x14ac:dyDescent="0.2">
      <c r="A588" s="243"/>
      <c r="B588" s="243"/>
      <c r="C588" s="243"/>
      <c r="D588" s="243"/>
      <c r="E588" s="244"/>
      <c r="F588" s="243"/>
      <c r="G588" s="243"/>
      <c r="H588" s="245"/>
    </row>
    <row r="589" spans="1:8" x14ac:dyDescent="0.2">
      <c r="A589" s="243"/>
      <c r="B589" s="243"/>
      <c r="C589" s="243"/>
      <c r="D589" s="243"/>
      <c r="E589" s="244"/>
      <c r="F589" s="243"/>
      <c r="G589" s="243"/>
      <c r="H589" s="245"/>
    </row>
    <row r="590" spans="1:8" x14ac:dyDescent="0.2">
      <c r="A590" s="243"/>
      <c r="B590" s="243"/>
      <c r="C590" s="243"/>
      <c r="D590" s="243"/>
      <c r="E590" s="244"/>
      <c r="F590" s="243"/>
      <c r="G590" s="243"/>
      <c r="H590" s="245"/>
    </row>
    <row r="591" spans="1:8" x14ac:dyDescent="0.2">
      <c r="A591" s="243"/>
      <c r="B591" s="243"/>
      <c r="C591" s="243"/>
      <c r="D591" s="243"/>
      <c r="E591" s="244"/>
      <c r="F591" s="243"/>
      <c r="G591" s="243"/>
      <c r="H591" s="245"/>
    </row>
    <row r="592" spans="1:8" x14ac:dyDescent="0.2">
      <c r="A592" s="243"/>
      <c r="B592" s="243"/>
      <c r="C592" s="243"/>
      <c r="D592" s="243"/>
      <c r="E592" s="244"/>
      <c r="F592" s="243"/>
      <c r="G592" s="243"/>
      <c r="H592" s="245"/>
    </row>
    <row r="593" spans="1:8" x14ac:dyDescent="0.2">
      <c r="A593" s="243"/>
      <c r="B593" s="243"/>
      <c r="C593" s="243"/>
      <c r="D593" s="243"/>
      <c r="E593" s="244"/>
      <c r="F593" s="243"/>
      <c r="G593" s="243"/>
      <c r="H593" s="245"/>
    </row>
    <row r="594" spans="1:8" x14ac:dyDescent="0.2">
      <c r="A594" s="243"/>
      <c r="B594" s="243"/>
      <c r="C594" s="243"/>
      <c r="D594" s="243"/>
      <c r="E594" s="244"/>
      <c r="F594" s="243"/>
      <c r="G594" s="243"/>
      <c r="H594" s="245"/>
    </row>
    <row r="595" spans="1:8" x14ac:dyDescent="0.2">
      <c r="A595" s="243"/>
      <c r="B595" s="243"/>
      <c r="C595" s="243"/>
      <c r="D595" s="243"/>
      <c r="E595" s="244"/>
      <c r="F595" s="243"/>
      <c r="G595" s="243"/>
      <c r="H595" s="245"/>
    </row>
    <row r="596" spans="1:8" x14ac:dyDescent="0.2">
      <c r="A596" s="243"/>
      <c r="B596" s="243"/>
      <c r="C596" s="243"/>
      <c r="D596" s="243"/>
      <c r="E596" s="244"/>
      <c r="F596" s="243"/>
      <c r="G596" s="243"/>
      <c r="H596" s="245"/>
    </row>
    <row r="597" spans="1:8" x14ac:dyDescent="0.2">
      <c r="A597" s="243"/>
      <c r="B597" s="243"/>
      <c r="C597" s="243"/>
      <c r="D597" s="243"/>
      <c r="E597" s="244"/>
      <c r="F597" s="243"/>
      <c r="G597" s="243"/>
      <c r="H597" s="245"/>
    </row>
    <row r="598" spans="1:8" x14ac:dyDescent="0.2">
      <c r="A598" s="243"/>
      <c r="B598" s="243"/>
      <c r="C598" s="243"/>
      <c r="D598" s="243"/>
      <c r="E598" s="244"/>
      <c r="F598" s="243"/>
      <c r="G598" s="243"/>
      <c r="H598" s="245"/>
    </row>
    <row r="599" spans="1:8" x14ac:dyDescent="0.2">
      <c r="A599" s="243"/>
      <c r="B599" s="243"/>
      <c r="C599" s="243"/>
      <c r="D599" s="243"/>
      <c r="E599" s="244"/>
      <c r="F599" s="243"/>
      <c r="G599" s="243"/>
      <c r="H599" s="245"/>
    </row>
    <row r="600" spans="1:8" x14ac:dyDescent="0.2">
      <c r="A600" s="243"/>
      <c r="B600" s="243"/>
      <c r="C600" s="243"/>
      <c r="D600" s="243"/>
      <c r="E600" s="244"/>
      <c r="F600" s="243"/>
      <c r="G600" s="243"/>
      <c r="H600" s="245"/>
    </row>
    <row r="601" spans="1:8" x14ac:dyDescent="0.2">
      <c r="A601" s="243"/>
      <c r="B601" s="243"/>
      <c r="C601" s="243"/>
      <c r="D601" s="243"/>
      <c r="E601" s="244"/>
      <c r="F601" s="243"/>
      <c r="G601" s="243"/>
      <c r="H601" s="245"/>
    </row>
    <row r="602" spans="1:8" x14ac:dyDescent="0.2">
      <c r="A602" s="243"/>
      <c r="B602" s="243"/>
      <c r="C602" s="243"/>
      <c r="D602" s="243"/>
      <c r="E602" s="244"/>
      <c r="F602" s="243"/>
      <c r="G602" s="243"/>
      <c r="H602" s="245"/>
    </row>
    <row r="603" spans="1:8" x14ac:dyDescent="0.2">
      <c r="A603" s="243"/>
      <c r="B603" s="243"/>
      <c r="C603" s="243"/>
      <c r="D603" s="243"/>
      <c r="E603" s="244"/>
      <c r="F603" s="243"/>
      <c r="G603" s="243"/>
      <c r="H603" s="245"/>
    </row>
    <row r="604" spans="1:8" x14ac:dyDescent="0.2">
      <c r="A604" s="243"/>
      <c r="B604" s="243"/>
      <c r="C604" s="243"/>
      <c r="D604" s="243"/>
      <c r="E604" s="244"/>
      <c r="F604" s="243"/>
      <c r="G604" s="243"/>
      <c r="H604" s="245"/>
    </row>
    <row r="605" spans="1:8" x14ac:dyDescent="0.2">
      <c r="A605" s="243"/>
      <c r="B605" s="243"/>
      <c r="C605" s="243"/>
      <c r="D605" s="243"/>
      <c r="E605" s="244"/>
      <c r="F605" s="243"/>
      <c r="G605" s="243"/>
      <c r="H605" s="245"/>
    </row>
    <row r="606" spans="1:8" x14ac:dyDescent="0.2">
      <c r="A606" s="243"/>
      <c r="B606" s="243"/>
      <c r="C606" s="243"/>
      <c r="D606" s="243"/>
      <c r="E606" s="244"/>
      <c r="F606" s="243"/>
      <c r="G606" s="243"/>
      <c r="H606" s="245"/>
    </row>
    <row r="607" spans="1:8" x14ac:dyDescent="0.2">
      <c r="A607" s="243"/>
      <c r="B607" s="243"/>
      <c r="C607" s="243"/>
      <c r="D607" s="243"/>
      <c r="E607" s="244"/>
      <c r="F607" s="243"/>
      <c r="G607" s="243"/>
      <c r="H607" s="245"/>
    </row>
    <row r="608" spans="1:8" x14ac:dyDescent="0.2">
      <c r="A608" s="243"/>
      <c r="B608" s="243"/>
      <c r="C608" s="243"/>
      <c r="D608" s="243"/>
      <c r="E608" s="244"/>
      <c r="F608" s="243"/>
      <c r="G608" s="243"/>
      <c r="H608" s="245"/>
    </row>
    <row r="609" spans="1:8" x14ac:dyDescent="0.2">
      <c r="A609" s="243"/>
      <c r="B609" s="243"/>
      <c r="C609" s="243"/>
      <c r="D609" s="243"/>
      <c r="E609" s="244"/>
      <c r="F609" s="243"/>
      <c r="G609" s="243"/>
      <c r="H609" s="245"/>
    </row>
    <row r="610" spans="1:8" x14ac:dyDescent="0.2">
      <c r="A610" s="243"/>
      <c r="B610" s="243"/>
      <c r="C610" s="243"/>
      <c r="D610" s="243"/>
      <c r="E610" s="244"/>
      <c r="F610" s="243"/>
      <c r="G610" s="243"/>
      <c r="H610" s="245"/>
    </row>
    <row r="611" spans="1:8" x14ac:dyDescent="0.2">
      <c r="A611" s="243"/>
      <c r="B611" s="243"/>
      <c r="C611" s="243"/>
      <c r="D611" s="243"/>
      <c r="E611" s="244"/>
      <c r="F611" s="243"/>
      <c r="G611" s="243"/>
      <c r="H611" s="245"/>
    </row>
    <row r="612" spans="1:8" x14ac:dyDescent="0.2">
      <c r="A612" s="243"/>
      <c r="B612" s="243"/>
      <c r="C612" s="243"/>
      <c r="D612" s="243"/>
      <c r="E612" s="244"/>
      <c r="F612" s="243"/>
      <c r="G612" s="243"/>
      <c r="H612" s="245"/>
    </row>
    <row r="613" spans="1:8" x14ac:dyDescent="0.2">
      <c r="A613" s="243"/>
      <c r="B613" s="243"/>
      <c r="C613" s="243"/>
      <c r="D613" s="243"/>
      <c r="E613" s="244"/>
      <c r="F613" s="243"/>
      <c r="G613" s="243"/>
      <c r="H613" s="245"/>
    </row>
    <row r="614" spans="1:8" x14ac:dyDescent="0.2">
      <c r="A614" s="243"/>
      <c r="B614" s="243"/>
      <c r="C614" s="243"/>
      <c r="D614" s="243"/>
      <c r="E614" s="244"/>
      <c r="F614" s="243"/>
      <c r="G614" s="243"/>
      <c r="H614" s="245"/>
    </row>
    <row r="615" spans="1:8" x14ac:dyDescent="0.2">
      <c r="A615" s="243"/>
      <c r="B615" s="243"/>
      <c r="C615" s="243"/>
      <c r="D615" s="243"/>
      <c r="E615" s="244"/>
      <c r="F615" s="243"/>
      <c r="G615" s="243"/>
      <c r="H615" s="245"/>
    </row>
    <row r="616" spans="1:8" x14ac:dyDescent="0.2">
      <c r="A616" s="243"/>
      <c r="B616" s="243"/>
      <c r="C616" s="243"/>
      <c r="D616" s="243"/>
      <c r="E616" s="244"/>
      <c r="F616" s="243"/>
      <c r="G616" s="243"/>
      <c r="H616" s="245"/>
    </row>
    <row r="617" spans="1:8" x14ac:dyDescent="0.2">
      <c r="A617" s="243"/>
      <c r="B617" s="243"/>
      <c r="C617" s="243"/>
      <c r="D617" s="243"/>
      <c r="E617" s="244"/>
      <c r="F617" s="243"/>
      <c r="G617" s="243"/>
      <c r="H617" s="245"/>
    </row>
    <row r="618" spans="1:8" x14ac:dyDescent="0.2">
      <c r="A618" s="243"/>
      <c r="B618" s="243"/>
      <c r="C618" s="243"/>
      <c r="D618" s="243"/>
      <c r="E618" s="244"/>
      <c r="F618" s="243"/>
      <c r="G618" s="243"/>
      <c r="H618" s="245"/>
    </row>
    <row r="619" spans="1:8" x14ac:dyDescent="0.2">
      <c r="A619" s="243"/>
      <c r="B619" s="243"/>
      <c r="C619" s="243"/>
      <c r="D619" s="243"/>
      <c r="E619" s="244"/>
      <c r="F619" s="243"/>
      <c r="G619" s="243"/>
      <c r="H619" s="245"/>
    </row>
    <row r="620" spans="1:8" x14ac:dyDescent="0.2">
      <c r="A620" s="243"/>
      <c r="B620" s="243"/>
      <c r="C620" s="243"/>
      <c r="D620" s="243"/>
      <c r="E620" s="244"/>
      <c r="F620" s="243"/>
      <c r="G620" s="243"/>
      <c r="H620" s="245"/>
    </row>
    <row r="621" spans="1:8" x14ac:dyDescent="0.2">
      <c r="A621" s="243"/>
      <c r="B621" s="243"/>
      <c r="C621" s="243"/>
      <c r="D621" s="243"/>
      <c r="E621" s="244"/>
      <c r="F621" s="243"/>
      <c r="G621" s="243"/>
      <c r="H621" s="245"/>
    </row>
    <row r="622" spans="1:8" x14ac:dyDescent="0.2">
      <c r="A622" s="243"/>
      <c r="B622" s="243"/>
      <c r="C622" s="243"/>
      <c r="D622" s="243"/>
      <c r="E622" s="244"/>
      <c r="F622" s="243"/>
      <c r="G622" s="243"/>
      <c r="H622" s="245"/>
    </row>
    <row r="623" spans="1:8" x14ac:dyDescent="0.2">
      <c r="A623" s="243"/>
      <c r="B623" s="243"/>
      <c r="C623" s="243"/>
      <c r="D623" s="243"/>
      <c r="E623" s="244"/>
      <c r="F623" s="243"/>
      <c r="G623" s="243"/>
      <c r="H623" s="245"/>
    </row>
    <row r="624" spans="1:8" x14ac:dyDescent="0.2">
      <c r="A624" s="243"/>
      <c r="B624" s="243"/>
      <c r="C624" s="243"/>
      <c r="D624" s="243"/>
      <c r="E624" s="244"/>
      <c r="F624" s="243"/>
      <c r="G624" s="243"/>
      <c r="H624" s="245"/>
    </row>
    <row r="625" spans="1:8" x14ac:dyDescent="0.2">
      <c r="A625" s="243"/>
      <c r="B625" s="243"/>
      <c r="C625" s="243"/>
      <c r="D625" s="243"/>
      <c r="E625" s="244"/>
      <c r="F625" s="243"/>
      <c r="G625" s="243"/>
      <c r="H625" s="245"/>
    </row>
    <row r="626" spans="1:8" x14ac:dyDescent="0.2">
      <c r="A626" s="243"/>
      <c r="B626" s="243"/>
      <c r="C626" s="243"/>
      <c r="D626" s="243"/>
      <c r="E626" s="244"/>
      <c r="F626" s="243"/>
      <c r="G626" s="243"/>
      <c r="H626" s="245"/>
    </row>
    <row r="627" spans="1:8" x14ac:dyDescent="0.2">
      <c r="A627" s="243"/>
      <c r="B627" s="243"/>
      <c r="C627" s="243"/>
      <c r="D627" s="243"/>
      <c r="E627" s="244"/>
      <c r="F627" s="243"/>
      <c r="G627" s="243"/>
      <c r="H627" s="245"/>
    </row>
    <row r="628" spans="1:8" x14ac:dyDescent="0.2">
      <c r="A628" s="243"/>
      <c r="B628" s="243"/>
      <c r="C628" s="243"/>
      <c r="D628" s="243"/>
      <c r="E628" s="244"/>
      <c r="F628" s="243"/>
      <c r="G628" s="243"/>
      <c r="H628" s="245"/>
    </row>
    <row r="629" spans="1:8" x14ac:dyDescent="0.2">
      <c r="A629" s="243"/>
      <c r="B629" s="243"/>
      <c r="C629" s="243"/>
      <c r="D629" s="243"/>
      <c r="E629" s="244"/>
      <c r="F629" s="243"/>
      <c r="G629" s="243"/>
      <c r="H629" s="245"/>
    </row>
    <row r="630" spans="1:8" x14ac:dyDescent="0.2">
      <c r="A630" s="243"/>
      <c r="B630" s="243"/>
      <c r="C630" s="243"/>
      <c r="D630" s="243"/>
      <c r="E630" s="244"/>
      <c r="F630" s="243"/>
      <c r="G630" s="243"/>
      <c r="H630" s="245"/>
    </row>
    <row r="631" spans="1:8" x14ac:dyDescent="0.2">
      <c r="A631" s="243"/>
      <c r="B631" s="243"/>
      <c r="C631" s="243"/>
      <c r="D631" s="243"/>
      <c r="E631" s="244"/>
      <c r="F631" s="243"/>
      <c r="G631" s="243"/>
      <c r="H631" s="245"/>
    </row>
    <row r="632" spans="1:8" x14ac:dyDescent="0.2">
      <c r="A632" s="243"/>
      <c r="B632" s="243"/>
      <c r="C632" s="243"/>
      <c r="D632" s="243"/>
      <c r="E632" s="244"/>
      <c r="F632" s="243"/>
      <c r="G632" s="243"/>
      <c r="H632" s="245"/>
    </row>
    <row r="633" spans="1:8" x14ac:dyDescent="0.2">
      <c r="A633" s="243"/>
      <c r="B633" s="243"/>
      <c r="C633" s="243"/>
      <c r="D633" s="243"/>
      <c r="E633" s="244"/>
      <c r="F633" s="243"/>
      <c r="G633" s="243"/>
      <c r="H633" s="245"/>
    </row>
    <row r="634" spans="1:8" x14ac:dyDescent="0.2">
      <c r="A634" s="243"/>
      <c r="B634" s="243"/>
      <c r="C634" s="243"/>
      <c r="D634" s="243"/>
      <c r="E634" s="244"/>
      <c r="F634" s="243"/>
      <c r="G634" s="243"/>
      <c r="H634" s="245"/>
    </row>
    <row r="635" spans="1:8" x14ac:dyDescent="0.2">
      <c r="A635" s="243"/>
      <c r="B635" s="243"/>
      <c r="C635" s="243"/>
      <c r="D635" s="243"/>
      <c r="E635" s="244"/>
      <c r="F635" s="243"/>
      <c r="G635" s="243"/>
      <c r="H635" s="245"/>
    </row>
    <row r="636" spans="1:8" x14ac:dyDescent="0.2">
      <c r="A636" s="243"/>
      <c r="B636" s="243"/>
      <c r="C636" s="243"/>
      <c r="D636" s="243"/>
      <c r="E636" s="244"/>
      <c r="F636" s="243"/>
      <c r="G636" s="243"/>
      <c r="H636" s="245"/>
    </row>
    <row r="637" spans="1:8" x14ac:dyDescent="0.2">
      <c r="A637" s="243"/>
      <c r="B637" s="243"/>
      <c r="C637" s="243"/>
      <c r="D637" s="243"/>
      <c r="E637" s="244"/>
      <c r="F637" s="243"/>
      <c r="G637" s="243"/>
      <c r="H637" s="245"/>
    </row>
    <row r="638" spans="1:8" x14ac:dyDescent="0.2">
      <c r="A638" s="243"/>
      <c r="B638" s="243"/>
      <c r="C638" s="243"/>
      <c r="D638" s="243"/>
      <c r="E638" s="244"/>
      <c r="F638" s="243"/>
      <c r="G638" s="243"/>
      <c r="H638" s="245"/>
    </row>
    <row r="639" spans="1:8" x14ac:dyDescent="0.2">
      <c r="A639" s="243"/>
      <c r="B639" s="243"/>
      <c r="C639" s="243"/>
      <c r="D639" s="243"/>
      <c r="E639" s="244"/>
      <c r="F639" s="243"/>
      <c r="G639" s="243"/>
      <c r="H639" s="245"/>
    </row>
    <row r="640" spans="1:8" x14ac:dyDescent="0.2">
      <c r="A640" s="243"/>
      <c r="B640" s="243"/>
      <c r="C640" s="243"/>
      <c r="D640" s="243"/>
      <c r="E640" s="244"/>
      <c r="F640" s="243"/>
      <c r="G640" s="243"/>
      <c r="H640" s="245"/>
    </row>
    <row r="641" spans="1:8" x14ac:dyDescent="0.2">
      <c r="A641" s="243"/>
      <c r="B641" s="243"/>
      <c r="C641" s="243"/>
      <c r="D641" s="243"/>
      <c r="E641" s="244"/>
      <c r="F641" s="243"/>
      <c r="G641" s="243"/>
      <c r="H641" s="245"/>
    </row>
    <row r="642" spans="1:8" x14ac:dyDescent="0.2">
      <c r="A642" s="243"/>
      <c r="B642" s="243"/>
      <c r="C642" s="243"/>
      <c r="D642" s="243"/>
      <c r="E642" s="244"/>
      <c r="F642" s="243"/>
      <c r="G642" s="243"/>
      <c r="H642" s="245"/>
    </row>
    <row r="643" spans="1:8" x14ac:dyDescent="0.2">
      <c r="A643" s="243"/>
      <c r="B643" s="243"/>
      <c r="C643" s="243"/>
      <c r="D643" s="243"/>
      <c r="E643" s="244"/>
      <c r="F643" s="243"/>
      <c r="G643" s="243"/>
      <c r="H643" s="245"/>
    </row>
    <row r="644" spans="1:8" x14ac:dyDescent="0.2">
      <c r="A644" s="243"/>
      <c r="B644" s="243"/>
      <c r="C644" s="243"/>
      <c r="D644" s="243"/>
      <c r="E644" s="244"/>
      <c r="F644" s="243"/>
      <c r="G644" s="243"/>
      <c r="H644" s="245"/>
    </row>
    <row r="645" spans="1:8" x14ac:dyDescent="0.2">
      <c r="A645" s="243"/>
      <c r="B645" s="243"/>
      <c r="C645" s="243"/>
      <c r="D645" s="243"/>
      <c r="E645" s="244"/>
      <c r="F645" s="243"/>
      <c r="G645" s="243"/>
      <c r="H645" s="245"/>
    </row>
    <row r="646" spans="1:8" x14ac:dyDescent="0.2">
      <c r="A646" s="243"/>
      <c r="B646" s="243"/>
      <c r="C646" s="243"/>
      <c r="D646" s="243"/>
      <c r="E646" s="244"/>
      <c r="F646" s="243"/>
      <c r="G646" s="243"/>
      <c r="H646" s="245"/>
    </row>
    <row r="647" spans="1:8" x14ac:dyDescent="0.2">
      <c r="A647" s="243"/>
      <c r="B647" s="243"/>
      <c r="C647" s="243"/>
      <c r="D647" s="243"/>
      <c r="E647" s="244"/>
      <c r="F647" s="243"/>
      <c r="G647" s="243"/>
      <c r="H647" s="245"/>
    </row>
    <row r="648" spans="1:8" x14ac:dyDescent="0.2">
      <c r="A648" s="243"/>
      <c r="B648" s="243"/>
      <c r="C648" s="243"/>
      <c r="D648" s="243"/>
      <c r="E648" s="244"/>
      <c r="F648" s="243"/>
      <c r="G648" s="243"/>
      <c r="H648" s="245"/>
    </row>
    <row r="649" spans="1:8" x14ac:dyDescent="0.2">
      <c r="A649" s="243"/>
      <c r="B649" s="243"/>
      <c r="C649" s="243"/>
      <c r="D649" s="243"/>
      <c r="E649" s="244"/>
      <c r="F649" s="243"/>
      <c r="G649" s="243"/>
      <c r="H649" s="245"/>
    </row>
    <row r="650" spans="1:8" x14ac:dyDescent="0.2">
      <c r="A650" s="243"/>
      <c r="B650" s="243"/>
      <c r="C650" s="243"/>
      <c r="D650" s="243"/>
      <c r="E650" s="244"/>
      <c r="F650" s="243"/>
      <c r="G650" s="243"/>
      <c r="H650" s="245"/>
    </row>
    <row r="651" spans="1:8" x14ac:dyDescent="0.2">
      <c r="A651" s="243"/>
      <c r="B651" s="243"/>
      <c r="C651" s="243"/>
      <c r="D651" s="243"/>
      <c r="E651" s="244"/>
      <c r="F651" s="243"/>
      <c r="G651" s="243"/>
      <c r="H651" s="245"/>
    </row>
    <row r="652" spans="1:8" x14ac:dyDescent="0.2">
      <c r="A652" s="243"/>
      <c r="B652" s="243"/>
      <c r="C652" s="243"/>
      <c r="D652" s="243"/>
      <c r="E652" s="244"/>
      <c r="F652" s="243"/>
      <c r="G652" s="243"/>
      <c r="H652" s="245"/>
    </row>
    <row r="653" spans="1:8" x14ac:dyDescent="0.2">
      <c r="A653" s="243"/>
      <c r="B653" s="243"/>
      <c r="C653" s="243"/>
      <c r="D653" s="243"/>
      <c r="E653" s="244"/>
      <c r="F653" s="243"/>
      <c r="G653" s="243"/>
      <c r="H653" s="245"/>
    </row>
    <row r="654" spans="1:8" x14ac:dyDescent="0.2">
      <c r="A654" s="243"/>
      <c r="B654" s="243"/>
      <c r="C654" s="243"/>
      <c r="D654" s="243"/>
      <c r="E654" s="244"/>
      <c r="F654" s="243"/>
      <c r="G654" s="243"/>
      <c r="H654" s="245"/>
    </row>
    <row r="655" spans="1:8" x14ac:dyDescent="0.2">
      <c r="A655" s="243"/>
      <c r="B655" s="243"/>
      <c r="C655" s="243"/>
      <c r="D655" s="243"/>
      <c r="E655" s="244"/>
      <c r="F655" s="243"/>
      <c r="G655" s="243"/>
      <c r="H655" s="245"/>
    </row>
    <row r="656" spans="1:8" x14ac:dyDescent="0.2">
      <c r="A656" s="243"/>
      <c r="B656" s="243"/>
      <c r="C656" s="243"/>
      <c r="D656" s="243"/>
      <c r="E656" s="244"/>
      <c r="F656" s="243"/>
      <c r="G656" s="243"/>
      <c r="H656" s="245"/>
    </row>
    <row r="657" spans="1:8" x14ac:dyDescent="0.2">
      <c r="A657" s="243"/>
      <c r="B657" s="243"/>
      <c r="C657" s="243"/>
      <c r="D657" s="243"/>
      <c r="E657" s="244"/>
      <c r="F657" s="243"/>
      <c r="G657" s="243"/>
      <c r="H657" s="245"/>
    </row>
    <row r="658" spans="1:8" x14ac:dyDescent="0.2">
      <c r="A658" s="243"/>
      <c r="B658" s="243"/>
      <c r="C658" s="243"/>
      <c r="D658" s="243"/>
      <c r="E658" s="244"/>
      <c r="F658" s="243"/>
      <c r="G658" s="243"/>
      <c r="H658" s="245"/>
    </row>
    <row r="659" spans="1:8" x14ac:dyDescent="0.2">
      <c r="A659" s="243"/>
      <c r="B659" s="243"/>
      <c r="C659" s="243"/>
      <c r="D659" s="243"/>
      <c r="E659" s="244"/>
      <c r="F659" s="243"/>
      <c r="G659" s="243"/>
      <c r="H659" s="245"/>
    </row>
    <row r="660" spans="1:8" x14ac:dyDescent="0.2">
      <c r="A660" s="243"/>
      <c r="B660" s="243"/>
      <c r="C660" s="243"/>
      <c r="D660" s="243"/>
      <c r="E660" s="244"/>
      <c r="F660" s="243"/>
      <c r="G660" s="243"/>
      <c r="H660" s="245"/>
    </row>
    <row r="661" spans="1:8" x14ac:dyDescent="0.2">
      <c r="A661" s="243"/>
      <c r="B661" s="243"/>
      <c r="C661" s="243"/>
      <c r="D661" s="243"/>
      <c r="E661" s="244"/>
      <c r="F661" s="243"/>
      <c r="G661" s="243"/>
      <c r="H661" s="245"/>
    </row>
    <row r="662" spans="1:8" x14ac:dyDescent="0.2">
      <c r="A662" s="243"/>
      <c r="B662" s="243"/>
      <c r="C662" s="243"/>
      <c r="D662" s="243"/>
      <c r="E662" s="244"/>
      <c r="F662" s="243"/>
      <c r="G662" s="243"/>
      <c r="H662" s="245"/>
    </row>
    <row r="663" spans="1:8" x14ac:dyDescent="0.2">
      <c r="A663" s="243"/>
      <c r="B663" s="243"/>
      <c r="C663" s="243"/>
      <c r="D663" s="243"/>
      <c r="E663" s="244"/>
      <c r="F663" s="243"/>
      <c r="G663" s="243"/>
      <c r="H663" s="245"/>
    </row>
    <row r="664" spans="1:8" x14ac:dyDescent="0.2">
      <c r="A664" s="243"/>
      <c r="B664" s="243"/>
      <c r="C664" s="243"/>
      <c r="D664" s="243"/>
      <c r="E664" s="244"/>
      <c r="F664" s="243"/>
      <c r="G664" s="243"/>
      <c r="H664" s="245"/>
    </row>
    <row r="665" spans="1:8" x14ac:dyDescent="0.2">
      <c r="A665" s="243"/>
      <c r="B665" s="243"/>
      <c r="C665" s="243"/>
      <c r="D665" s="243"/>
      <c r="E665" s="244"/>
      <c r="F665" s="243"/>
      <c r="G665" s="243"/>
      <c r="H665" s="245"/>
    </row>
    <row r="666" spans="1:8" x14ac:dyDescent="0.2">
      <c r="A666" s="243"/>
      <c r="B666" s="243"/>
      <c r="C666" s="243"/>
      <c r="D666" s="243"/>
      <c r="E666" s="244"/>
      <c r="F666" s="243"/>
      <c r="G666" s="243"/>
      <c r="H666" s="245"/>
    </row>
    <row r="667" spans="1:8" x14ac:dyDescent="0.2">
      <c r="A667" s="243"/>
      <c r="B667" s="243"/>
      <c r="C667" s="243"/>
      <c r="D667" s="243"/>
      <c r="E667" s="244"/>
      <c r="F667" s="243"/>
      <c r="G667" s="243"/>
      <c r="H667" s="245"/>
    </row>
    <row r="668" spans="1:8" x14ac:dyDescent="0.2">
      <c r="A668" s="243"/>
      <c r="B668" s="243"/>
      <c r="C668" s="243"/>
      <c r="D668" s="243"/>
      <c r="E668" s="244"/>
      <c r="F668" s="243"/>
      <c r="G668" s="243"/>
      <c r="H668" s="245"/>
    </row>
    <row r="669" spans="1:8" x14ac:dyDescent="0.2">
      <c r="A669" s="243"/>
      <c r="B669" s="243"/>
      <c r="C669" s="243"/>
      <c r="D669" s="243"/>
      <c r="E669" s="244"/>
      <c r="F669" s="243"/>
      <c r="G669" s="243"/>
      <c r="H669" s="245"/>
    </row>
    <row r="670" spans="1:8" x14ac:dyDescent="0.2">
      <c r="A670" s="243"/>
      <c r="B670" s="243"/>
      <c r="C670" s="243"/>
      <c r="D670" s="243"/>
      <c r="E670" s="244"/>
      <c r="F670" s="243"/>
      <c r="G670" s="243"/>
      <c r="H670" s="245"/>
    </row>
    <row r="671" spans="1:8" x14ac:dyDescent="0.2">
      <c r="A671" s="243"/>
      <c r="B671" s="243"/>
      <c r="C671" s="243"/>
      <c r="D671" s="243"/>
      <c r="E671" s="244"/>
      <c r="F671" s="243"/>
      <c r="G671" s="243"/>
      <c r="H671" s="245"/>
    </row>
    <row r="672" spans="1:8" x14ac:dyDescent="0.2">
      <c r="A672" s="243"/>
      <c r="B672" s="243"/>
      <c r="C672" s="243"/>
      <c r="D672" s="243"/>
      <c r="E672" s="244"/>
      <c r="F672" s="243"/>
      <c r="G672" s="243"/>
      <c r="H672" s="245"/>
    </row>
    <row r="673" spans="1:8" x14ac:dyDescent="0.2">
      <c r="A673" s="243"/>
      <c r="B673" s="243"/>
      <c r="C673" s="243"/>
      <c r="D673" s="243"/>
      <c r="E673" s="244"/>
      <c r="F673" s="243"/>
      <c r="G673" s="243"/>
      <c r="H673" s="245"/>
    </row>
    <row r="674" spans="1:8" x14ac:dyDescent="0.2">
      <c r="A674" s="243"/>
      <c r="B674" s="243"/>
      <c r="C674" s="243"/>
      <c r="D674" s="243"/>
      <c r="E674" s="244"/>
      <c r="F674" s="243"/>
      <c r="G674" s="243"/>
      <c r="H674" s="245"/>
    </row>
    <row r="675" spans="1:8" x14ac:dyDescent="0.2">
      <c r="A675" s="243"/>
      <c r="B675" s="243"/>
      <c r="C675" s="243"/>
      <c r="D675" s="243"/>
      <c r="E675" s="244"/>
      <c r="F675" s="243"/>
      <c r="G675" s="243"/>
      <c r="H675" s="245"/>
    </row>
    <row r="676" spans="1:8" x14ac:dyDescent="0.2">
      <c r="A676" s="243"/>
      <c r="B676" s="243"/>
      <c r="C676" s="243"/>
      <c r="D676" s="243"/>
      <c r="E676" s="244"/>
      <c r="F676" s="243"/>
      <c r="G676" s="243"/>
      <c r="H676" s="245"/>
    </row>
    <row r="677" spans="1:8" x14ac:dyDescent="0.2">
      <c r="A677" s="243"/>
      <c r="B677" s="243"/>
      <c r="C677" s="243"/>
      <c r="D677" s="243"/>
      <c r="E677" s="244"/>
      <c r="F677" s="243"/>
      <c r="G677" s="243"/>
      <c r="H677" s="245"/>
    </row>
    <row r="678" spans="1:8" x14ac:dyDescent="0.2">
      <c r="A678" s="243"/>
      <c r="B678" s="243"/>
      <c r="C678" s="243"/>
      <c r="D678" s="243"/>
      <c r="E678" s="244"/>
      <c r="F678" s="243"/>
      <c r="G678" s="243"/>
      <c r="H678" s="245"/>
    </row>
    <row r="679" spans="1:8" x14ac:dyDescent="0.2">
      <c r="A679" s="243"/>
      <c r="B679" s="243"/>
      <c r="C679" s="243"/>
      <c r="D679" s="243"/>
      <c r="E679" s="244"/>
      <c r="F679" s="243"/>
      <c r="G679" s="243"/>
      <c r="H679" s="245"/>
    </row>
    <row r="680" spans="1:8" x14ac:dyDescent="0.2">
      <c r="A680" s="243"/>
      <c r="B680" s="243"/>
      <c r="C680" s="243"/>
      <c r="D680" s="243"/>
      <c r="E680" s="244"/>
      <c r="F680" s="243"/>
      <c r="G680" s="243"/>
      <c r="H680" s="245"/>
    </row>
    <row r="681" spans="1:8" x14ac:dyDescent="0.2">
      <c r="A681" s="243"/>
      <c r="B681" s="243"/>
      <c r="C681" s="243"/>
      <c r="D681" s="243"/>
      <c r="E681" s="244"/>
      <c r="F681" s="243"/>
      <c r="G681" s="243"/>
      <c r="H681" s="245"/>
    </row>
    <row r="682" spans="1:8" x14ac:dyDescent="0.2">
      <c r="A682" s="243"/>
      <c r="B682" s="243"/>
      <c r="C682" s="243"/>
      <c r="D682" s="243"/>
      <c r="E682" s="244"/>
      <c r="F682" s="243"/>
      <c r="G682" s="243"/>
      <c r="H682" s="245"/>
    </row>
    <row r="683" spans="1:8" x14ac:dyDescent="0.2">
      <c r="A683" s="243"/>
      <c r="B683" s="243"/>
      <c r="C683" s="243"/>
      <c r="D683" s="243"/>
      <c r="E683" s="244"/>
      <c r="F683" s="243"/>
      <c r="G683" s="243"/>
      <c r="H683" s="245"/>
    </row>
    <row r="684" spans="1:8" x14ac:dyDescent="0.2">
      <c r="A684" s="243"/>
      <c r="B684" s="243"/>
      <c r="C684" s="243"/>
      <c r="D684" s="243"/>
      <c r="E684" s="244"/>
      <c r="F684" s="243"/>
      <c r="G684" s="243"/>
      <c r="H684" s="245"/>
    </row>
    <row r="685" spans="1:8" x14ac:dyDescent="0.2">
      <c r="A685" s="243"/>
      <c r="B685" s="243"/>
      <c r="C685" s="243"/>
      <c r="D685" s="243"/>
      <c r="E685" s="244"/>
      <c r="F685" s="243"/>
      <c r="G685" s="243"/>
      <c r="H685" s="245"/>
    </row>
    <row r="686" spans="1:8" x14ac:dyDescent="0.2">
      <c r="A686" s="243"/>
      <c r="B686" s="243"/>
      <c r="C686" s="243"/>
      <c r="D686" s="243"/>
      <c r="E686" s="244"/>
      <c r="F686" s="243"/>
      <c r="G686" s="243"/>
      <c r="H686" s="245"/>
    </row>
    <row r="687" spans="1:8" x14ac:dyDescent="0.2">
      <c r="A687" s="243"/>
      <c r="B687" s="243"/>
      <c r="C687" s="243"/>
      <c r="D687" s="243"/>
      <c r="E687" s="244"/>
      <c r="F687" s="243"/>
      <c r="G687" s="243"/>
      <c r="H687" s="245"/>
    </row>
    <row r="688" spans="1:8" x14ac:dyDescent="0.2">
      <c r="A688" s="243"/>
      <c r="B688" s="243"/>
      <c r="C688" s="243"/>
      <c r="D688" s="243"/>
      <c r="E688" s="244"/>
      <c r="F688" s="243"/>
      <c r="G688" s="243"/>
      <c r="H688" s="245"/>
    </row>
    <row r="689" spans="1:8" x14ac:dyDescent="0.2">
      <c r="A689" s="243"/>
      <c r="B689" s="243"/>
      <c r="C689" s="243"/>
      <c r="D689" s="243"/>
      <c r="E689" s="244"/>
      <c r="F689" s="243"/>
      <c r="G689" s="243"/>
      <c r="H689" s="245"/>
    </row>
    <row r="690" spans="1:8" x14ac:dyDescent="0.2">
      <c r="A690" s="243"/>
      <c r="B690" s="243"/>
      <c r="C690" s="243"/>
      <c r="D690" s="243"/>
      <c r="E690" s="244"/>
      <c r="F690" s="243"/>
      <c r="G690" s="243"/>
      <c r="H690" s="245"/>
    </row>
    <row r="691" spans="1:8" x14ac:dyDescent="0.2">
      <c r="A691" s="243"/>
      <c r="B691" s="243"/>
      <c r="C691" s="243"/>
      <c r="D691" s="243"/>
      <c r="E691" s="244"/>
      <c r="F691" s="243"/>
      <c r="G691" s="243"/>
      <c r="H691" s="245"/>
    </row>
    <row r="692" spans="1:8" x14ac:dyDescent="0.2">
      <c r="A692" s="243"/>
      <c r="B692" s="243"/>
      <c r="C692" s="243"/>
      <c r="D692" s="243"/>
      <c r="E692" s="244"/>
      <c r="F692" s="243"/>
      <c r="G692" s="243"/>
      <c r="H692" s="245"/>
    </row>
    <row r="693" spans="1:8" x14ac:dyDescent="0.2">
      <c r="A693" s="243"/>
      <c r="B693" s="243"/>
      <c r="C693" s="243"/>
      <c r="D693" s="243"/>
      <c r="E693" s="244"/>
      <c r="F693" s="243"/>
      <c r="G693" s="243"/>
    </row>
    <row r="694" spans="1:8" x14ac:dyDescent="0.2">
      <c r="A694" s="243"/>
      <c r="B694" s="243"/>
      <c r="C694" s="243"/>
      <c r="D694" s="243"/>
      <c r="E694" s="244"/>
      <c r="F694" s="243"/>
      <c r="G694" s="243"/>
    </row>
    <row r="695" spans="1:8" x14ac:dyDescent="0.2">
      <c r="A695" s="243"/>
      <c r="B695" s="243"/>
      <c r="C695" s="243"/>
      <c r="D695" s="243"/>
      <c r="E695" s="244"/>
      <c r="F695" s="243"/>
      <c r="G695" s="243"/>
    </row>
    <row r="696" spans="1:8" x14ac:dyDescent="0.2">
      <c r="A696" s="243"/>
      <c r="B696" s="243"/>
      <c r="C696" s="243"/>
      <c r="D696" s="243"/>
      <c r="E696" s="244"/>
      <c r="F696" s="243"/>
      <c r="G696" s="243"/>
    </row>
    <row r="697" spans="1:8" x14ac:dyDescent="0.2">
      <c r="A697" s="243"/>
      <c r="B697" s="243"/>
      <c r="C697" s="243"/>
      <c r="D697" s="243"/>
      <c r="E697" s="244"/>
      <c r="F697" s="243"/>
      <c r="G697" s="243"/>
    </row>
    <row r="698" spans="1:8" x14ac:dyDescent="0.2">
      <c r="A698" s="243"/>
      <c r="B698" s="243"/>
      <c r="C698" s="243"/>
      <c r="D698" s="243"/>
      <c r="E698" s="244"/>
      <c r="F698" s="243"/>
      <c r="G698" s="243"/>
    </row>
    <row r="699" spans="1:8" x14ac:dyDescent="0.2">
      <c r="A699" s="243"/>
      <c r="B699" s="243"/>
      <c r="C699" s="243"/>
      <c r="D699" s="243"/>
      <c r="E699" s="244"/>
      <c r="F699" s="243"/>
      <c r="G699" s="243"/>
    </row>
    <row r="700" spans="1:8" x14ac:dyDescent="0.2">
      <c r="A700" s="243"/>
      <c r="B700" s="243"/>
      <c r="C700" s="243"/>
      <c r="D700" s="243"/>
      <c r="E700" s="244"/>
      <c r="F700" s="243"/>
      <c r="G700" s="243"/>
    </row>
    <row r="701" spans="1:8" x14ac:dyDescent="0.2">
      <c r="A701" s="243"/>
      <c r="B701" s="243"/>
      <c r="C701" s="243"/>
      <c r="D701" s="243"/>
      <c r="E701" s="244"/>
      <c r="F701" s="243"/>
      <c r="G701" s="243"/>
    </row>
    <row r="702" spans="1:8" x14ac:dyDescent="0.2">
      <c r="A702" s="243"/>
      <c r="B702" s="243"/>
      <c r="C702" s="243"/>
      <c r="D702" s="243"/>
      <c r="E702" s="244"/>
      <c r="F702" s="243"/>
      <c r="G702" s="243"/>
    </row>
    <row r="703" spans="1:8" x14ac:dyDescent="0.2">
      <c r="A703" s="243"/>
      <c r="B703" s="243"/>
      <c r="C703" s="243"/>
      <c r="D703" s="243"/>
      <c r="E703" s="244"/>
      <c r="F703" s="243"/>
      <c r="G703" s="243"/>
    </row>
    <row r="704" spans="1:8" x14ac:dyDescent="0.2">
      <c r="A704" s="243"/>
      <c r="B704" s="243"/>
      <c r="C704" s="243"/>
      <c r="D704" s="243"/>
      <c r="E704" s="244"/>
      <c r="F704" s="243"/>
      <c r="G704" s="243"/>
    </row>
    <row r="705" spans="1:7" x14ac:dyDescent="0.2">
      <c r="A705" s="243"/>
      <c r="B705" s="243"/>
      <c r="C705" s="243"/>
      <c r="D705" s="243"/>
      <c r="E705" s="244"/>
      <c r="F705" s="243"/>
      <c r="G705" s="243"/>
    </row>
    <row r="706" spans="1:7" x14ac:dyDescent="0.2">
      <c r="A706" s="243"/>
      <c r="B706" s="243"/>
      <c r="C706" s="243"/>
      <c r="D706" s="243"/>
      <c r="E706" s="244"/>
      <c r="F706" s="243"/>
      <c r="G706" s="243"/>
    </row>
    <row r="707" spans="1:7" x14ac:dyDescent="0.2">
      <c r="A707" s="243"/>
      <c r="B707" s="243"/>
      <c r="C707" s="243"/>
      <c r="D707" s="243"/>
      <c r="E707" s="244"/>
      <c r="F707" s="243"/>
      <c r="G707" s="243"/>
    </row>
    <row r="708" spans="1:7" x14ac:dyDescent="0.2">
      <c r="A708" s="243"/>
      <c r="B708" s="243"/>
      <c r="C708" s="243"/>
      <c r="D708" s="243"/>
      <c r="E708" s="244"/>
      <c r="F708" s="243"/>
      <c r="G708" s="243"/>
    </row>
    <row r="709" spans="1:7" x14ac:dyDescent="0.2">
      <c r="A709" s="243"/>
      <c r="B709" s="243"/>
      <c r="C709" s="243"/>
      <c r="D709" s="243"/>
      <c r="E709" s="244"/>
      <c r="F709" s="243"/>
      <c r="G709" s="243"/>
    </row>
    <row r="710" spans="1:7" x14ac:dyDescent="0.2">
      <c r="A710" s="243"/>
      <c r="B710" s="243"/>
      <c r="C710" s="243"/>
      <c r="D710" s="243"/>
      <c r="E710" s="244"/>
      <c r="F710" s="243"/>
      <c r="G710" s="243"/>
    </row>
    <row r="711" spans="1:7" x14ac:dyDescent="0.2">
      <c r="A711" s="243"/>
      <c r="B711" s="243"/>
      <c r="C711" s="243"/>
      <c r="D711" s="243"/>
      <c r="E711" s="244"/>
      <c r="F711" s="243"/>
      <c r="G711" s="243"/>
    </row>
    <row r="712" spans="1:7" x14ac:dyDescent="0.2">
      <c r="A712" s="243"/>
      <c r="B712" s="243"/>
      <c r="C712" s="243"/>
      <c r="D712" s="243"/>
      <c r="E712" s="244"/>
      <c r="F712" s="243"/>
      <c r="G712" s="243"/>
    </row>
    <row r="713" spans="1:7" x14ac:dyDescent="0.2">
      <c r="A713" s="243"/>
      <c r="B713" s="243"/>
      <c r="C713" s="243"/>
      <c r="D713" s="243"/>
      <c r="E713" s="244"/>
      <c r="F713" s="243"/>
      <c r="G713" s="243"/>
    </row>
    <row r="714" spans="1:7" x14ac:dyDescent="0.2">
      <c r="A714" s="243"/>
      <c r="B714" s="243"/>
      <c r="C714" s="243"/>
      <c r="D714" s="243"/>
      <c r="E714" s="244"/>
      <c r="F714" s="243"/>
      <c r="G714" s="243"/>
    </row>
    <row r="715" spans="1:7" x14ac:dyDescent="0.2">
      <c r="A715" s="243"/>
      <c r="B715" s="243"/>
      <c r="C715" s="243"/>
      <c r="D715" s="243"/>
      <c r="E715" s="244"/>
      <c r="F715" s="243"/>
      <c r="G715" s="243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7CACF-1AAA-4EA3-B1F1-144D7CFF3F9C}">
  <dimension ref="A5:O304"/>
  <sheetViews>
    <sheetView topLeftCell="A247" workbookViewId="0">
      <selection activeCell="G278" sqref="G278"/>
    </sheetView>
  </sheetViews>
  <sheetFormatPr baseColWidth="10" defaultRowHeight="12.75" x14ac:dyDescent="0.2"/>
  <cols>
    <col min="1" max="1" width="11.42578125" style="22"/>
    <col min="2" max="2" width="28.7109375" style="22" customWidth="1"/>
    <col min="3" max="16384" width="11.42578125" style="22"/>
  </cols>
  <sheetData>
    <row r="5" spans="1:8" x14ac:dyDescent="0.2">
      <c r="A5" s="1" t="s">
        <v>0</v>
      </c>
      <c r="B5" s="2"/>
      <c r="C5" s="7"/>
      <c r="D5" s="160"/>
      <c r="E5" s="3"/>
      <c r="F5" s="3"/>
      <c r="G5" s="3"/>
      <c r="H5" s="4"/>
    </row>
    <row r="6" spans="1:8" x14ac:dyDescent="0.2">
      <c r="A6" s="1"/>
      <c r="B6" s="2"/>
      <c r="C6" s="7"/>
      <c r="D6" s="160"/>
      <c r="E6" s="3"/>
      <c r="F6" s="3"/>
      <c r="G6" s="3"/>
      <c r="H6" s="4"/>
    </row>
    <row r="7" spans="1:8" x14ac:dyDescent="0.2">
      <c r="A7" s="1"/>
      <c r="B7" s="2"/>
      <c r="C7" s="7"/>
      <c r="D7" s="160"/>
      <c r="E7" s="3"/>
      <c r="F7" s="3"/>
      <c r="G7" s="3"/>
      <c r="H7" s="4"/>
    </row>
    <row r="8" spans="1:8" x14ac:dyDescent="0.2">
      <c r="A8" s="1" t="s">
        <v>1</v>
      </c>
      <c r="B8" s="1"/>
      <c r="C8" s="73"/>
      <c r="D8" s="161"/>
      <c r="E8" s="5"/>
      <c r="F8" s="6"/>
      <c r="G8" s="5"/>
      <c r="H8" s="5"/>
    </row>
    <row r="9" spans="1:8" x14ac:dyDescent="0.2">
      <c r="A9" s="7"/>
      <c r="B9" s="2"/>
      <c r="C9" s="7"/>
      <c r="D9" s="160"/>
      <c r="E9" s="3"/>
      <c r="F9" s="3"/>
      <c r="G9" s="3"/>
      <c r="H9" s="4"/>
    </row>
    <row r="10" spans="1:8" x14ac:dyDescent="0.2">
      <c r="A10" s="7"/>
      <c r="B10" s="2"/>
      <c r="C10" s="7"/>
      <c r="D10" s="160"/>
      <c r="E10" s="3"/>
      <c r="F10" s="3"/>
      <c r="G10" s="3"/>
      <c r="H10" s="4"/>
    </row>
    <row r="11" spans="1:8" ht="16.5" customHeight="1" x14ac:dyDescent="0.2">
      <c r="A11" s="7"/>
      <c r="B11" s="299" t="s">
        <v>2</v>
      </c>
      <c r="C11" s="299"/>
      <c r="D11" s="299"/>
      <c r="E11" s="299"/>
      <c r="F11" s="3"/>
      <c r="G11" s="3"/>
      <c r="H11" s="4"/>
    </row>
    <row r="12" spans="1:8" x14ac:dyDescent="0.2">
      <c r="A12" s="7"/>
      <c r="B12" s="2"/>
      <c r="C12" s="7"/>
      <c r="D12" s="160"/>
      <c r="E12" s="3"/>
      <c r="F12" s="3"/>
      <c r="G12" s="3"/>
      <c r="H12" s="4"/>
    </row>
    <row r="13" spans="1:8" x14ac:dyDescent="0.2">
      <c r="A13" s="9" t="s">
        <v>16673</v>
      </c>
      <c r="B13" s="9"/>
      <c r="C13" s="74"/>
      <c r="D13" s="160"/>
      <c r="E13" s="3"/>
      <c r="F13" s="3"/>
      <c r="G13" s="10" t="s">
        <v>3</v>
      </c>
      <c r="H13" s="11">
        <v>97858.31</v>
      </c>
    </row>
    <row r="14" spans="1:8" x14ac:dyDescent="0.2">
      <c r="A14" s="3"/>
      <c r="B14" s="8"/>
      <c r="C14" s="7"/>
      <c r="D14" s="160"/>
      <c r="E14" s="3"/>
      <c r="F14" s="3"/>
      <c r="G14" s="3"/>
      <c r="H14" s="4"/>
    </row>
    <row r="15" spans="1:8" x14ac:dyDescent="0.2">
      <c r="A15" s="12"/>
      <c r="B15" s="13" t="s">
        <v>4</v>
      </c>
      <c r="C15" s="7"/>
      <c r="D15" s="162"/>
      <c r="E15" s="14"/>
      <c r="F15" s="15"/>
      <c r="G15" s="3"/>
      <c r="H15" s="4"/>
    </row>
    <row r="16" spans="1:8" ht="17.25" customHeight="1" x14ac:dyDescent="0.2">
      <c r="A16" s="12"/>
      <c r="B16" s="300" t="s">
        <v>1553</v>
      </c>
      <c r="C16" s="300"/>
      <c r="D16" s="300"/>
      <c r="E16" s="300"/>
      <c r="F16" s="15"/>
      <c r="G16" s="3"/>
      <c r="H16" s="4"/>
    </row>
    <row r="17" spans="1:8" x14ac:dyDescent="0.2">
      <c r="A17" s="12"/>
      <c r="B17" s="8"/>
      <c r="C17" s="7"/>
      <c r="D17" s="162"/>
      <c r="E17" s="14"/>
      <c r="F17" s="15"/>
      <c r="G17" s="3"/>
      <c r="H17" s="4"/>
    </row>
    <row r="18" spans="1:8" x14ac:dyDescent="0.2">
      <c r="A18" s="38" t="s">
        <v>5</v>
      </c>
      <c r="B18" s="39" t="s">
        <v>6</v>
      </c>
      <c r="C18" s="75" t="s">
        <v>7</v>
      </c>
      <c r="D18" s="163" t="s">
        <v>8</v>
      </c>
      <c r="E18" s="41"/>
      <c r="F18" s="41" t="s">
        <v>9</v>
      </c>
      <c r="G18" s="42"/>
      <c r="H18" s="36"/>
    </row>
    <row r="19" spans="1:8" x14ac:dyDescent="0.2">
      <c r="A19" s="200">
        <v>44372</v>
      </c>
      <c r="B19" s="199" t="s">
        <v>14666</v>
      </c>
      <c r="C19" s="201" t="s">
        <v>14667</v>
      </c>
      <c r="D19" s="164"/>
      <c r="E19" s="41"/>
      <c r="F19" s="46">
        <v>83.73</v>
      </c>
      <c r="G19" s="42"/>
      <c r="H19" s="36"/>
    </row>
    <row r="20" spans="1:8" x14ac:dyDescent="0.2">
      <c r="A20" s="200"/>
      <c r="B20" s="199"/>
      <c r="C20" s="201"/>
      <c r="D20" s="164"/>
      <c r="E20" s="41"/>
      <c r="F20" s="241"/>
      <c r="G20" s="42"/>
      <c r="H20" s="36"/>
    </row>
    <row r="21" spans="1:8" x14ac:dyDescent="0.2">
      <c r="A21" s="47"/>
      <c r="B21" s="48"/>
      <c r="C21" s="77"/>
      <c r="D21" s="149"/>
      <c r="E21" s="41"/>
      <c r="F21" s="68"/>
      <c r="G21" s="42"/>
      <c r="H21" s="49">
        <f>SUM(F19:F20)</f>
        <v>83.73</v>
      </c>
    </row>
    <row r="22" spans="1:8" x14ac:dyDescent="0.2">
      <c r="A22" s="38"/>
      <c r="B22" s="50"/>
      <c r="C22" s="78"/>
      <c r="D22" s="163"/>
      <c r="E22" s="41"/>
      <c r="F22" s="51"/>
      <c r="G22" s="52"/>
      <c r="H22" s="36"/>
    </row>
    <row r="23" spans="1:8" x14ac:dyDescent="0.2">
      <c r="A23" s="42"/>
      <c r="B23" s="53" t="s">
        <v>4</v>
      </c>
      <c r="C23" s="78"/>
      <c r="D23" s="165"/>
      <c r="E23" s="54"/>
      <c r="F23" s="41" t="s">
        <v>9</v>
      </c>
      <c r="G23" s="42"/>
      <c r="H23" s="36"/>
    </row>
    <row r="24" spans="1:8" ht="18" customHeight="1" x14ac:dyDescent="0.2">
      <c r="A24" s="40" t="s">
        <v>5</v>
      </c>
      <c r="B24" s="301" t="s">
        <v>10</v>
      </c>
      <c r="C24" s="301"/>
      <c r="D24" s="301"/>
      <c r="E24" s="54"/>
      <c r="F24" s="51"/>
      <c r="G24" s="42"/>
      <c r="H24" s="36"/>
    </row>
    <row r="25" spans="1:8" x14ac:dyDescent="0.2">
      <c r="A25" s="90">
        <v>44305</v>
      </c>
      <c r="B25" s="216" t="s">
        <v>11660</v>
      </c>
      <c r="C25" s="78"/>
      <c r="D25" s="165"/>
      <c r="E25" s="54"/>
      <c r="F25" s="214">
        <v>1.08</v>
      </c>
      <c r="G25" s="42"/>
      <c r="H25" s="36"/>
    </row>
    <row r="26" spans="1:8" x14ac:dyDescent="0.2">
      <c r="A26" s="90">
        <v>44313</v>
      </c>
      <c r="B26" s="216" t="s">
        <v>11661</v>
      </c>
      <c r="C26" s="78"/>
      <c r="D26" s="165"/>
      <c r="E26" s="54"/>
      <c r="F26" s="214">
        <v>16.760000000000002</v>
      </c>
      <c r="G26" s="42"/>
      <c r="H26" s="36"/>
    </row>
    <row r="27" spans="1:8" x14ac:dyDescent="0.2">
      <c r="A27" s="200">
        <v>44319</v>
      </c>
      <c r="B27" s="216" t="s">
        <v>13223</v>
      </c>
      <c r="C27" s="78"/>
      <c r="D27" s="165"/>
      <c r="E27" s="54"/>
      <c r="F27" s="214">
        <v>3.8</v>
      </c>
      <c r="G27" s="42"/>
      <c r="H27" s="36"/>
    </row>
    <row r="28" spans="1:8" x14ac:dyDescent="0.2">
      <c r="A28" s="200">
        <v>44319</v>
      </c>
      <c r="B28" s="216" t="s">
        <v>13224</v>
      </c>
      <c r="C28" s="78"/>
      <c r="D28" s="165"/>
      <c r="E28" s="54"/>
      <c r="F28" s="214">
        <v>12.3</v>
      </c>
      <c r="G28" s="42"/>
      <c r="H28" s="36"/>
    </row>
    <row r="29" spans="1:8" x14ac:dyDescent="0.2">
      <c r="A29" s="200">
        <v>44321</v>
      </c>
      <c r="B29" s="216" t="s">
        <v>13219</v>
      </c>
      <c r="C29" s="78"/>
      <c r="D29" s="165"/>
      <c r="E29" s="54"/>
      <c r="F29" s="214">
        <v>1.95</v>
      </c>
      <c r="G29" s="42"/>
      <c r="H29" s="36"/>
    </row>
    <row r="30" spans="1:8" x14ac:dyDescent="0.2">
      <c r="A30" s="200">
        <v>44321</v>
      </c>
      <c r="B30" s="216" t="s">
        <v>13220</v>
      </c>
      <c r="C30" s="78"/>
      <c r="D30" s="165"/>
      <c r="E30" s="54"/>
      <c r="F30" s="214">
        <v>1.65</v>
      </c>
      <c r="G30" s="42"/>
      <c r="H30" s="36"/>
    </row>
    <row r="31" spans="1:8" x14ac:dyDescent="0.2">
      <c r="A31" s="200">
        <v>44323</v>
      </c>
      <c r="B31" s="216" t="s">
        <v>13225</v>
      </c>
      <c r="C31" s="78"/>
      <c r="D31" s="165"/>
      <c r="E31" s="54"/>
      <c r="F31" s="214">
        <v>8.43</v>
      </c>
      <c r="G31" s="42"/>
      <c r="H31" s="36"/>
    </row>
    <row r="32" spans="1:8" x14ac:dyDescent="0.2">
      <c r="A32" s="200">
        <v>44341</v>
      </c>
      <c r="B32" s="216" t="s">
        <v>13226</v>
      </c>
      <c r="C32" s="78"/>
      <c r="D32" s="165"/>
      <c r="E32" s="54"/>
      <c r="F32" s="214">
        <v>4.32</v>
      </c>
      <c r="G32" s="42"/>
      <c r="H32" s="36"/>
    </row>
    <row r="33" spans="1:8" x14ac:dyDescent="0.2">
      <c r="A33" s="200">
        <v>44343</v>
      </c>
      <c r="B33" s="216" t="s">
        <v>13221</v>
      </c>
      <c r="C33" s="78"/>
      <c r="D33" s="165"/>
      <c r="E33" s="54"/>
      <c r="F33" s="214">
        <v>3.57</v>
      </c>
      <c r="G33" s="42"/>
      <c r="H33" s="36"/>
    </row>
    <row r="34" spans="1:8" x14ac:dyDescent="0.2">
      <c r="A34" s="200">
        <v>44343</v>
      </c>
      <c r="B34" s="216" t="s">
        <v>13222</v>
      </c>
      <c r="C34" s="78"/>
      <c r="D34" s="165"/>
      <c r="E34" s="54"/>
      <c r="F34" s="214">
        <v>12.8</v>
      </c>
      <c r="G34" s="42"/>
      <c r="H34" s="36"/>
    </row>
    <row r="35" spans="1:8" x14ac:dyDescent="0.2">
      <c r="A35" s="200">
        <v>44347</v>
      </c>
      <c r="B35" s="216" t="s">
        <v>13220</v>
      </c>
      <c r="C35" s="78"/>
      <c r="D35" s="165"/>
      <c r="E35" s="54"/>
      <c r="F35" s="214">
        <v>1.75</v>
      </c>
      <c r="G35" s="42"/>
      <c r="H35" s="36"/>
    </row>
    <row r="36" spans="1:8" x14ac:dyDescent="0.2">
      <c r="A36" s="200">
        <v>44350</v>
      </c>
      <c r="B36" s="216" t="s">
        <v>16672</v>
      </c>
      <c r="C36" s="78"/>
      <c r="D36" s="165"/>
      <c r="E36" s="54"/>
      <c r="F36" s="214">
        <v>1.68</v>
      </c>
      <c r="G36" s="42"/>
      <c r="H36" s="36"/>
    </row>
    <row r="37" spans="1:8" x14ac:dyDescent="0.2">
      <c r="A37" s="200">
        <v>44355</v>
      </c>
      <c r="B37" s="216" t="s">
        <v>13220</v>
      </c>
      <c r="C37" s="78"/>
      <c r="D37" s="165"/>
      <c r="E37" s="54"/>
      <c r="F37" s="214">
        <v>3</v>
      </c>
      <c r="G37" s="42"/>
      <c r="H37" s="36"/>
    </row>
    <row r="38" spans="1:8" x14ac:dyDescent="0.2">
      <c r="A38" s="200">
        <v>44372</v>
      </c>
      <c r="B38" s="216" t="s">
        <v>16671</v>
      </c>
      <c r="C38" s="78"/>
      <c r="D38" s="165"/>
      <c r="E38" s="54"/>
      <c r="F38" s="214">
        <v>117.15</v>
      </c>
      <c r="G38" s="42"/>
      <c r="H38" s="36"/>
    </row>
    <row r="39" spans="1:8" x14ac:dyDescent="0.2">
      <c r="A39" s="200">
        <v>44375</v>
      </c>
      <c r="B39" s="216" t="s">
        <v>16670</v>
      </c>
      <c r="C39" s="78"/>
      <c r="D39" s="165"/>
      <c r="E39" s="54"/>
      <c r="F39" s="214">
        <v>31.82</v>
      </c>
      <c r="G39" s="42"/>
      <c r="H39" s="36"/>
    </row>
    <row r="40" spans="1:8" x14ac:dyDescent="0.2">
      <c r="A40" s="200">
        <v>44389</v>
      </c>
      <c r="B40" s="216" t="s">
        <v>18278</v>
      </c>
      <c r="C40" s="78"/>
      <c r="D40" s="165"/>
      <c r="E40" s="54"/>
      <c r="F40" s="214">
        <v>2.04</v>
      </c>
      <c r="G40" s="42"/>
      <c r="H40" s="36"/>
    </row>
    <row r="41" spans="1:8" x14ac:dyDescent="0.2">
      <c r="A41" s="200">
        <v>44391</v>
      </c>
      <c r="B41" s="216" t="s">
        <v>13220</v>
      </c>
      <c r="C41" s="78"/>
      <c r="D41" s="165"/>
      <c r="E41" s="54"/>
      <c r="F41" s="214">
        <v>10</v>
      </c>
      <c r="G41" s="42"/>
      <c r="H41" s="36"/>
    </row>
    <row r="42" spans="1:8" x14ac:dyDescent="0.2">
      <c r="A42" s="200">
        <v>44406</v>
      </c>
      <c r="B42" s="216" t="s">
        <v>13220</v>
      </c>
      <c r="C42" s="78"/>
      <c r="D42" s="165"/>
      <c r="E42" s="54"/>
      <c r="F42" s="214">
        <v>20</v>
      </c>
      <c r="G42" s="42"/>
      <c r="H42" s="36"/>
    </row>
    <row r="43" spans="1:8" x14ac:dyDescent="0.2">
      <c r="A43" s="200">
        <v>44407</v>
      </c>
      <c r="B43" s="216" t="s">
        <v>16671</v>
      </c>
      <c r="C43" s="78"/>
      <c r="D43" s="165"/>
      <c r="E43" s="54"/>
      <c r="F43" s="69">
        <v>973.41</v>
      </c>
      <c r="G43" s="42"/>
      <c r="H43" s="36"/>
    </row>
    <row r="44" spans="1:8" x14ac:dyDescent="0.2">
      <c r="A44" s="90"/>
      <c r="B44" s="89"/>
      <c r="C44" s="91"/>
      <c r="D44" s="148"/>
      <c r="F44" s="265"/>
      <c r="G44" s="42"/>
      <c r="H44" s="49">
        <f>SUM(F25:F43)</f>
        <v>1227.51</v>
      </c>
    </row>
    <row r="45" spans="1:8" x14ac:dyDescent="0.2">
      <c r="A45" s="58"/>
      <c r="B45" s="59" t="s">
        <v>12</v>
      </c>
      <c r="C45" s="75"/>
      <c r="D45" s="166"/>
      <c r="E45" s="40"/>
      <c r="F45" s="42"/>
      <c r="G45" s="60"/>
      <c r="H45" s="37"/>
    </row>
    <row r="46" spans="1:8" x14ac:dyDescent="0.2">
      <c r="A46" s="40" t="s">
        <v>5</v>
      </c>
      <c r="B46" s="59" t="s">
        <v>13</v>
      </c>
      <c r="C46" s="75"/>
      <c r="D46" s="166"/>
      <c r="E46" s="40"/>
      <c r="F46" s="41" t="s">
        <v>9</v>
      </c>
      <c r="G46" s="60"/>
      <c r="H46" s="37"/>
    </row>
    <row r="47" spans="1:8" x14ac:dyDescent="0.2">
      <c r="A47" s="43"/>
      <c r="B47" s="44"/>
      <c r="C47" s="78"/>
      <c r="D47" s="165"/>
      <c r="E47" s="54"/>
      <c r="F47" s="69"/>
      <c r="G47" s="42"/>
      <c r="H47" s="36"/>
    </row>
    <row r="48" spans="1:8" x14ac:dyDescent="0.2">
      <c r="A48" s="61"/>
      <c r="B48" s="57"/>
      <c r="C48" s="78"/>
      <c r="D48" s="165"/>
      <c r="E48" s="54"/>
      <c r="F48" s="51"/>
      <c r="G48" s="42"/>
      <c r="H48" s="49">
        <f>SUM(F47:F47)</f>
        <v>0</v>
      </c>
    </row>
    <row r="49" spans="1:14" x14ac:dyDescent="0.2">
      <c r="A49" s="42"/>
      <c r="B49" s="57"/>
      <c r="C49" s="78"/>
      <c r="D49" s="165"/>
      <c r="E49" s="54"/>
      <c r="F49" s="51"/>
      <c r="G49" s="42"/>
      <c r="H49" s="36"/>
    </row>
    <row r="50" spans="1:14" x14ac:dyDescent="0.2">
      <c r="A50" s="42"/>
      <c r="B50" s="59" t="s">
        <v>12</v>
      </c>
      <c r="C50" s="78"/>
      <c r="D50" s="165"/>
      <c r="E50" s="54"/>
      <c r="F50" s="41" t="s">
        <v>9</v>
      </c>
      <c r="G50" s="42"/>
      <c r="H50" s="235"/>
      <c r="I50" s="233"/>
      <c r="J50" s="233"/>
      <c r="K50" s="233"/>
      <c r="L50" s="233"/>
      <c r="M50" s="233"/>
      <c r="N50" s="233"/>
    </row>
    <row r="51" spans="1:14" x14ac:dyDescent="0.2">
      <c r="A51" s="40" t="s">
        <v>5</v>
      </c>
      <c r="B51" s="55" t="s">
        <v>14</v>
      </c>
      <c r="C51" s="78"/>
      <c r="D51" s="165"/>
      <c r="E51" s="54"/>
      <c r="F51" s="52"/>
      <c r="G51" s="42"/>
      <c r="H51" s="235"/>
      <c r="I51" s="233"/>
      <c r="J51" s="233"/>
      <c r="K51" s="236"/>
      <c r="L51" s="236"/>
      <c r="M51" s="236"/>
      <c r="N51" s="233"/>
    </row>
    <row r="52" spans="1:14" x14ac:dyDescent="0.2">
      <c r="A52" s="200">
        <v>44324.679699074077</v>
      </c>
      <c r="B52" s="199" t="s">
        <v>12647</v>
      </c>
      <c r="C52" s="217" t="s">
        <v>12648</v>
      </c>
      <c r="D52" s="148"/>
      <c r="E52" s="35"/>
      <c r="F52" s="232">
        <v>1.95</v>
      </c>
      <c r="G52" s="185"/>
      <c r="H52" s="237"/>
      <c r="I52" s="233"/>
      <c r="J52" s="233"/>
      <c r="K52" s="233"/>
      <c r="L52" s="233"/>
      <c r="M52" s="233"/>
      <c r="N52" s="233"/>
    </row>
    <row r="53" spans="1:14" x14ac:dyDescent="0.2">
      <c r="A53" s="200">
        <v>44329.581377314818</v>
      </c>
      <c r="B53" s="199" t="s">
        <v>12404</v>
      </c>
      <c r="C53" s="217" t="s">
        <v>12405</v>
      </c>
      <c r="D53" s="148"/>
      <c r="E53" s="35"/>
      <c r="F53" s="232">
        <v>1.08</v>
      </c>
      <c r="G53" s="185"/>
      <c r="H53" s="237"/>
      <c r="I53" s="233"/>
      <c r="J53" s="233"/>
      <c r="K53" s="233"/>
      <c r="L53" s="233"/>
      <c r="M53" s="233"/>
      <c r="N53" s="233"/>
    </row>
    <row r="54" spans="1:14" x14ac:dyDescent="0.2">
      <c r="A54" s="200">
        <v>44341.698692129627</v>
      </c>
      <c r="B54" s="199" t="s">
        <v>12045</v>
      </c>
      <c r="C54" s="217" t="s">
        <v>12046</v>
      </c>
      <c r="D54" s="148"/>
      <c r="E54" s="35"/>
      <c r="F54" s="198">
        <v>8.43</v>
      </c>
      <c r="G54" s="42"/>
      <c r="H54" s="238"/>
      <c r="I54" s="233"/>
      <c r="J54" s="233"/>
      <c r="K54" s="233"/>
      <c r="L54" s="233"/>
      <c r="M54" s="233"/>
      <c r="N54" s="233"/>
    </row>
    <row r="55" spans="1:14" x14ac:dyDescent="0.2">
      <c r="A55" s="200">
        <v>44345.534768518519</v>
      </c>
      <c r="B55" s="199" t="s">
        <v>11739</v>
      </c>
      <c r="C55" s="217" t="s">
        <v>11740</v>
      </c>
      <c r="D55" s="148"/>
      <c r="E55" s="35"/>
      <c r="F55" s="198">
        <v>12.8</v>
      </c>
      <c r="G55" s="6"/>
      <c r="H55" s="239"/>
      <c r="I55" s="233"/>
      <c r="J55" s="233"/>
      <c r="K55" s="233"/>
      <c r="L55" s="233"/>
      <c r="M55" s="233"/>
      <c r="N55" s="233"/>
    </row>
    <row r="56" spans="1:14" x14ac:dyDescent="0.2">
      <c r="A56" s="200">
        <v>44357</v>
      </c>
      <c r="B56" s="199" t="s">
        <v>15240</v>
      </c>
      <c r="C56" s="201" t="s">
        <v>15241</v>
      </c>
      <c r="D56" s="148"/>
      <c r="E56" s="35"/>
      <c r="F56" s="198">
        <v>4.32</v>
      </c>
      <c r="G56" s="6"/>
      <c r="H56" s="239"/>
      <c r="I56" s="233"/>
      <c r="J56" s="233"/>
      <c r="K56" s="233"/>
      <c r="L56" s="233"/>
      <c r="M56" s="233"/>
      <c r="N56" s="233"/>
    </row>
    <row r="57" spans="1:14" x14ac:dyDescent="0.2">
      <c r="A57" s="200">
        <v>44365</v>
      </c>
      <c r="B57" s="199" t="s">
        <v>14879</v>
      </c>
      <c r="C57" s="201" t="s">
        <v>14880</v>
      </c>
      <c r="D57" s="148"/>
      <c r="E57" s="35"/>
      <c r="F57" s="198">
        <v>35.799999999999997</v>
      </c>
      <c r="G57" s="6"/>
      <c r="H57" s="239"/>
      <c r="I57" s="233"/>
      <c r="J57" s="233"/>
      <c r="K57" s="233"/>
      <c r="L57" s="233"/>
      <c r="M57" s="233"/>
      <c r="N57" s="233"/>
    </row>
    <row r="58" spans="1:14" x14ac:dyDescent="0.2">
      <c r="A58" s="200">
        <v>44365</v>
      </c>
      <c r="B58" s="199" t="s">
        <v>14871</v>
      </c>
      <c r="C58" s="201" t="s">
        <v>14872</v>
      </c>
      <c r="D58" s="148"/>
      <c r="E58" s="35"/>
      <c r="F58" s="198">
        <v>3.39</v>
      </c>
      <c r="G58" s="6"/>
      <c r="H58" s="239"/>
      <c r="I58" s="233"/>
      <c r="J58" s="233"/>
      <c r="K58" s="233"/>
      <c r="L58" s="233"/>
      <c r="M58" s="233"/>
      <c r="N58" s="233"/>
    </row>
    <row r="59" spans="1:14" x14ac:dyDescent="0.2">
      <c r="A59" s="200">
        <v>44365</v>
      </c>
      <c r="B59" s="199" t="s">
        <v>14869</v>
      </c>
      <c r="C59" s="201" t="s">
        <v>14870</v>
      </c>
      <c r="D59" s="148"/>
      <c r="E59" s="35"/>
      <c r="F59" s="198">
        <v>4.58</v>
      </c>
      <c r="G59" s="6"/>
      <c r="H59" s="239"/>
      <c r="I59" s="233"/>
      <c r="J59" s="233"/>
      <c r="K59" s="233"/>
      <c r="L59" s="233"/>
      <c r="M59" s="233"/>
      <c r="N59" s="233"/>
    </row>
    <row r="60" spans="1:14" x14ac:dyDescent="0.2">
      <c r="A60" s="200">
        <v>44365</v>
      </c>
      <c r="B60" s="199" t="s">
        <v>14867</v>
      </c>
      <c r="C60" s="201" t="s">
        <v>14868</v>
      </c>
      <c r="D60" s="148"/>
      <c r="E60" s="35"/>
      <c r="F60" s="198">
        <v>11.24</v>
      </c>
      <c r="G60" s="6"/>
      <c r="H60" s="239"/>
      <c r="I60" s="233"/>
      <c r="J60" s="233"/>
      <c r="K60" s="233"/>
      <c r="L60" s="233"/>
      <c r="M60" s="233"/>
      <c r="N60" s="233"/>
    </row>
    <row r="61" spans="1:14" x14ac:dyDescent="0.2">
      <c r="A61" s="200">
        <v>44365</v>
      </c>
      <c r="B61" s="199" t="s">
        <v>14865</v>
      </c>
      <c r="C61" s="201" t="s">
        <v>14866</v>
      </c>
      <c r="D61" s="148"/>
      <c r="E61" s="35"/>
      <c r="F61" s="198">
        <v>1.68</v>
      </c>
      <c r="G61" s="6"/>
      <c r="H61" s="239"/>
      <c r="I61" s="233"/>
      <c r="J61" s="233"/>
      <c r="K61" s="233"/>
      <c r="L61" s="233"/>
      <c r="M61" s="233"/>
      <c r="N61" s="233"/>
    </row>
    <row r="62" spans="1:14" x14ac:dyDescent="0.2">
      <c r="A62" s="200">
        <v>44365</v>
      </c>
      <c r="B62" s="199" t="s">
        <v>14863</v>
      </c>
      <c r="C62" s="201" t="s">
        <v>14864</v>
      </c>
      <c r="D62" s="148"/>
      <c r="E62" s="35"/>
      <c r="F62" s="198">
        <v>1.94</v>
      </c>
      <c r="G62" s="6"/>
      <c r="H62" s="239"/>
      <c r="I62" s="233"/>
      <c r="J62" s="233"/>
      <c r="K62" s="233"/>
      <c r="L62" s="233"/>
      <c r="M62" s="233"/>
      <c r="N62" s="233"/>
    </row>
    <row r="63" spans="1:14" x14ac:dyDescent="0.2">
      <c r="A63" s="200">
        <v>44365</v>
      </c>
      <c r="B63" s="199" t="s">
        <v>14861</v>
      </c>
      <c r="C63" s="201" t="s">
        <v>14862</v>
      </c>
      <c r="D63" s="148"/>
      <c r="E63" s="35"/>
      <c r="F63" s="198">
        <v>3.19</v>
      </c>
      <c r="G63" s="6"/>
      <c r="H63" s="239"/>
      <c r="I63" s="233"/>
      <c r="J63" s="233"/>
      <c r="K63" s="233"/>
      <c r="L63" s="233"/>
      <c r="M63" s="233"/>
      <c r="N63" s="233"/>
    </row>
    <row r="64" spans="1:14" x14ac:dyDescent="0.2">
      <c r="A64" s="200">
        <v>44365</v>
      </c>
      <c r="B64" s="199" t="s">
        <v>14859</v>
      </c>
      <c r="C64" s="201" t="s">
        <v>14860</v>
      </c>
      <c r="D64" s="148"/>
      <c r="E64" s="35"/>
      <c r="F64" s="198">
        <v>1.68</v>
      </c>
      <c r="G64" s="6"/>
      <c r="H64" s="239"/>
      <c r="I64" s="233"/>
      <c r="J64" s="233"/>
      <c r="K64" s="233"/>
      <c r="L64" s="233"/>
      <c r="M64" s="233"/>
      <c r="N64" s="233"/>
    </row>
    <row r="65" spans="1:14" x14ac:dyDescent="0.2">
      <c r="A65" s="200">
        <v>44365</v>
      </c>
      <c r="B65" s="199" t="s">
        <v>14857</v>
      </c>
      <c r="C65" s="201" t="s">
        <v>14858</v>
      </c>
      <c r="D65" s="148"/>
      <c r="E65" s="35"/>
      <c r="F65" s="198">
        <v>5.29</v>
      </c>
      <c r="G65" s="6"/>
      <c r="H65" s="239"/>
      <c r="I65" s="233"/>
      <c r="J65" s="233"/>
      <c r="K65" s="233"/>
      <c r="L65" s="233"/>
      <c r="M65" s="233"/>
      <c r="N65" s="233"/>
    </row>
    <row r="66" spans="1:14" x14ac:dyDescent="0.2">
      <c r="A66" s="200">
        <v>44365</v>
      </c>
      <c r="B66" s="199" t="s">
        <v>14855</v>
      </c>
      <c r="C66" s="201" t="s">
        <v>14856</v>
      </c>
      <c r="D66" s="148"/>
      <c r="E66" s="35"/>
      <c r="F66" s="198">
        <v>5.21</v>
      </c>
      <c r="G66" s="6"/>
      <c r="H66" s="239"/>
      <c r="I66" s="233"/>
      <c r="J66" s="233"/>
      <c r="K66" s="233"/>
      <c r="L66" s="233"/>
      <c r="M66" s="233"/>
      <c r="N66" s="233"/>
    </row>
    <row r="67" spans="1:14" x14ac:dyDescent="0.2">
      <c r="A67" s="200">
        <v>44365</v>
      </c>
      <c r="B67" s="199" t="s">
        <v>14853</v>
      </c>
      <c r="C67" s="201" t="s">
        <v>14854</v>
      </c>
      <c r="D67" s="148"/>
      <c r="E67" s="35"/>
      <c r="F67" s="198">
        <v>5.03</v>
      </c>
      <c r="G67" s="6"/>
      <c r="H67" s="239"/>
      <c r="I67" s="233"/>
      <c r="J67" s="233"/>
      <c r="K67" s="233"/>
      <c r="L67" s="233"/>
      <c r="M67" s="233"/>
      <c r="N67" s="233"/>
    </row>
    <row r="68" spans="1:14" x14ac:dyDescent="0.2">
      <c r="A68" s="200">
        <v>44365</v>
      </c>
      <c r="B68" s="199" t="s">
        <v>14851</v>
      </c>
      <c r="C68" s="201" t="s">
        <v>14852</v>
      </c>
      <c r="D68" s="148"/>
      <c r="E68" s="35"/>
      <c r="F68" s="198">
        <v>32.97</v>
      </c>
      <c r="G68" s="6"/>
      <c r="H68" s="239"/>
      <c r="I68" s="233"/>
      <c r="J68" s="233"/>
      <c r="K68" s="233"/>
      <c r="L68" s="233"/>
      <c r="M68" s="233"/>
      <c r="N68" s="233"/>
    </row>
    <row r="69" spans="1:14" x14ac:dyDescent="0.2">
      <c r="A69" s="200">
        <v>44365</v>
      </c>
      <c r="B69" s="199" t="s">
        <v>14849</v>
      </c>
      <c r="C69" s="201" t="s">
        <v>14850</v>
      </c>
      <c r="D69" s="148"/>
      <c r="E69" s="35"/>
      <c r="F69" s="198">
        <v>9.86</v>
      </c>
      <c r="G69" s="6"/>
      <c r="H69" s="239"/>
      <c r="I69" s="233"/>
      <c r="J69" s="233"/>
      <c r="K69" s="233"/>
      <c r="L69" s="233"/>
      <c r="M69" s="233"/>
      <c r="N69" s="233"/>
    </row>
    <row r="70" spans="1:14" x14ac:dyDescent="0.2">
      <c r="A70" s="200">
        <v>44366</v>
      </c>
      <c r="B70" s="199" t="s">
        <v>14838</v>
      </c>
      <c r="C70" s="201" t="s">
        <v>14839</v>
      </c>
      <c r="D70" s="148"/>
      <c r="E70" s="35"/>
      <c r="F70" s="198">
        <v>1.68</v>
      </c>
      <c r="G70" s="6"/>
      <c r="H70" s="239"/>
      <c r="I70" s="233"/>
      <c r="J70" s="233"/>
      <c r="K70" s="233"/>
      <c r="L70" s="233"/>
      <c r="M70" s="233"/>
      <c r="N70" s="233"/>
    </row>
    <row r="71" spans="1:14" x14ac:dyDescent="0.2">
      <c r="A71" s="200">
        <v>44366</v>
      </c>
      <c r="B71" s="199" t="s">
        <v>14836</v>
      </c>
      <c r="C71" s="201" t="s">
        <v>14837</v>
      </c>
      <c r="D71" s="148"/>
      <c r="E71" s="35"/>
      <c r="F71" s="198">
        <v>1.93</v>
      </c>
      <c r="G71" s="6"/>
      <c r="H71" s="239"/>
      <c r="I71" s="233"/>
      <c r="J71" s="233"/>
      <c r="K71" s="233"/>
      <c r="L71" s="233"/>
      <c r="M71" s="233"/>
      <c r="N71" s="233"/>
    </row>
    <row r="72" spans="1:14" x14ac:dyDescent="0.2">
      <c r="A72" s="200">
        <v>44366</v>
      </c>
      <c r="B72" s="199" t="s">
        <v>14834</v>
      </c>
      <c r="C72" s="201" t="s">
        <v>14835</v>
      </c>
      <c r="D72" s="148"/>
      <c r="E72" s="35"/>
      <c r="F72" s="198">
        <v>2.46</v>
      </c>
      <c r="G72" s="6"/>
      <c r="H72" s="239"/>
      <c r="I72" s="233"/>
      <c r="J72" s="233"/>
      <c r="K72" s="233"/>
      <c r="L72" s="233"/>
      <c r="M72" s="233"/>
      <c r="N72" s="233"/>
    </row>
    <row r="73" spans="1:14" x14ac:dyDescent="0.2">
      <c r="A73" s="200">
        <v>44366</v>
      </c>
      <c r="B73" s="199" t="s">
        <v>14832</v>
      </c>
      <c r="C73" s="201" t="s">
        <v>14833</v>
      </c>
      <c r="D73" s="148"/>
      <c r="E73" s="35"/>
      <c r="F73" s="198">
        <v>1.99</v>
      </c>
      <c r="G73" s="6"/>
      <c r="H73" s="239"/>
      <c r="I73" s="233"/>
      <c r="J73" s="233"/>
      <c r="K73" s="233"/>
      <c r="L73" s="233"/>
      <c r="M73" s="233"/>
      <c r="N73" s="233"/>
    </row>
    <row r="74" spans="1:14" x14ac:dyDescent="0.2">
      <c r="A74" s="200">
        <v>44366</v>
      </c>
      <c r="B74" s="199" t="s">
        <v>14830</v>
      </c>
      <c r="C74" s="201" t="s">
        <v>14831</v>
      </c>
      <c r="D74" s="148"/>
      <c r="E74" s="35"/>
      <c r="F74" s="198">
        <v>2.4</v>
      </c>
      <c r="G74" s="6"/>
      <c r="H74" s="239"/>
      <c r="I74" s="233"/>
      <c r="J74" s="233"/>
      <c r="K74" s="233"/>
      <c r="L74" s="233"/>
      <c r="M74" s="233"/>
      <c r="N74" s="233"/>
    </row>
    <row r="75" spans="1:14" x14ac:dyDescent="0.2">
      <c r="A75" s="200">
        <v>44366</v>
      </c>
      <c r="B75" s="199" t="s">
        <v>14828</v>
      </c>
      <c r="C75" s="201" t="s">
        <v>14829</v>
      </c>
      <c r="D75" s="148"/>
      <c r="E75" s="35"/>
      <c r="F75" s="198">
        <v>7.32</v>
      </c>
      <c r="G75" s="6"/>
      <c r="H75" s="239"/>
      <c r="I75" s="233"/>
      <c r="J75" s="233"/>
      <c r="K75" s="233"/>
      <c r="L75" s="233"/>
      <c r="M75" s="233"/>
      <c r="N75" s="233"/>
    </row>
    <row r="76" spans="1:14" x14ac:dyDescent="0.2">
      <c r="A76" s="200">
        <v>44366</v>
      </c>
      <c r="B76" s="199" t="s">
        <v>14826</v>
      </c>
      <c r="C76" s="201" t="s">
        <v>14827</v>
      </c>
      <c r="D76" s="148"/>
      <c r="E76" s="35"/>
      <c r="F76" s="198">
        <v>6.21</v>
      </c>
      <c r="G76" s="6"/>
      <c r="H76" s="239"/>
      <c r="I76" s="233"/>
      <c r="J76" s="233"/>
      <c r="K76" s="233"/>
      <c r="L76" s="233"/>
      <c r="M76" s="233"/>
      <c r="N76" s="233"/>
    </row>
    <row r="77" spans="1:14" x14ac:dyDescent="0.2">
      <c r="A77" s="200">
        <v>44366</v>
      </c>
      <c r="B77" s="199" t="s">
        <v>14824</v>
      </c>
      <c r="C77" s="201" t="s">
        <v>14825</v>
      </c>
      <c r="D77" s="148"/>
      <c r="E77" s="35"/>
      <c r="F77" s="198">
        <v>4.82</v>
      </c>
      <c r="G77" s="6"/>
      <c r="H77" s="239"/>
      <c r="I77" s="233"/>
      <c r="J77" s="233"/>
      <c r="K77" s="233"/>
      <c r="L77" s="233"/>
      <c r="M77" s="233"/>
      <c r="N77" s="233"/>
    </row>
    <row r="78" spans="1:14" x14ac:dyDescent="0.2">
      <c r="A78" s="200">
        <v>44367</v>
      </c>
      <c r="B78" s="199" t="s">
        <v>14822</v>
      </c>
      <c r="C78" s="201" t="s">
        <v>14823</v>
      </c>
      <c r="D78" s="148"/>
      <c r="E78" s="35"/>
      <c r="F78" s="198">
        <v>3.19</v>
      </c>
      <c r="G78" s="6"/>
      <c r="H78" s="239"/>
      <c r="I78" s="233"/>
      <c r="J78" s="233"/>
      <c r="K78" s="233"/>
      <c r="L78" s="233"/>
      <c r="M78" s="233"/>
      <c r="N78" s="233"/>
    </row>
    <row r="79" spans="1:14" x14ac:dyDescent="0.2">
      <c r="A79" s="200">
        <v>44367</v>
      </c>
      <c r="B79" s="199" t="s">
        <v>14820</v>
      </c>
      <c r="C79" s="201" t="s">
        <v>14821</v>
      </c>
      <c r="D79" s="148"/>
      <c r="E79" s="35"/>
      <c r="F79" s="198">
        <v>3.36</v>
      </c>
      <c r="G79" s="6"/>
      <c r="H79" s="239"/>
      <c r="I79" s="233"/>
      <c r="J79" s="233"/>
      <c r="K79" s="233"/>
      <c r="L79" s="233"/>
      <c r="M79" s="233"/>
      <c r="N79" s="233"/>
    </row>
    <row r="80" spans="1:14" x14ac:dyDescent="0.2">
      <c r="A80" s="200">
        <v>44367</v>
      </c>
      <c r="B80" s="199" t="s">
        <v>14818</v>
      </c>
      <c r="C80" s="201" t="s">
        <v>14819</v>
      </c>
      <c r="D80" s="148"/>
      <c r="E80" s="35"/>
      <c r="F80" s="198">
        <v>14.03</v>
      </c>
      <c r="G80" s="6"/>
      <c r="H80" s="239"/>
      <c r="I80" s="233"/>
      <c r="J80" s="233"/>
      <c r="K80" s="233"/>
      <c r="L80" s="233"/>
      <c r="M80" s="233"/>
      <c r="N80" s="233"/>
    </row>
    <row r="81" spans="1:14" x14ac:dyDescent="0.2">
      <c r="A81" s="200">
        <v>44368</v>
      </c>
      <c r="B81" s="199" t="s">
        <v>14792</v>
      </c>
      <c r="C81" s="201" t="s">
        <v>14793</v>
      </c>
      <c r="D81" s="148"/>
      <c r="E81" s="35"/>
      <c r="F81" s="198">
        <v>12.57</v>
      </c>
      <c r="G81" s="6"/>
      <c r="H81" s="239"/>
      <c r="I81" s="233"/>
      <c r="J81" s="233"/>
      <c r="K81" s="233"/>
      <c r="L81" s="233"/>
      <c r="M81" s="233"/>
      <c r="N81" s="233"/>
    </row>
    <row r="82" spans="1:14" x14ac:dyDescent="0.2">
      <c r="A82" s="200">
        <v>44368</v>
      </c>
      <c r="B82" s="199" t="s">
        <v>14790</v>
      </c>
      <c r="C82" s="201" t="s">
        <v>14791</v>
      </c>
      <c r="D82" s="148"/>
      <c r="E82" s="35"/>
      <c r="F82" s="198">
        <v>5.22</v>
      </c>
      <c r="G82" s="6"/>
      <c r="H82" s="239"/>
      <c r="I82" s="233"/>
      <c r="J82" s="233"/>
      <c r="K82" s="233"/>
      <c r="L82" s="233"/>
      <c r="M82" s="233"/>
      <c r="N82" s="233"/>
    </row>
    <row r="83" spans="1:14" x14ac:dyDescent="0.2">
      <c r="A83" s="200">
        <v>44368</v>
      </c>
      <c r="B83" s="199" t="s">
        <v>14788</v>
      </c>
      <c r="C83" s="201" t="s">
        <v>14789</v>
      </c>
      <c r="D83" s="148"/>
      <c r="E83" s="35"/>
      <c r="F83" s="198">
        <v>5.04</v>
      </c>
      <c r="G83" s="6"/>
      <c r="H83" s="239"/>
      <c r="I83" s="233"/>
      <c r="J83" s="233"/>
      <c r="K83" s="233"/>
      <c r="L83" s="233"/>
      <c r="M83" s="233"/>
      <c r="N83" s="233"/>
    </row>
    <row r="84" spans="1:14" x14ac:dyDescent="0.2">
      <c r="A84" s="200">
        <v>44371</v>
      </c>
      <c r="B84" s="199" t="s">
        <v>14740</v>
      </c>
      <c r="C84" s="201" t="s">
        <v>14741</v>
      </c>
      <c r="D84" s="148"/>
      <c r="E84" s="35"/>
      <c r="F84" s="198">
        <v>6.8</v>
      </c>
      <c r="G84" s="6"/>
      <c r="H84" s="239"/>
      <c r="I84" s="233"/>
      <c r="J84" s="233"/>
      <c r="K84" s="233"/>
      <c r="L84" s="233"/>
      <c r="M84" s="233"/>
      <c r="N84" s="233"/>
    </row>
    <row r="85" spans="1:14" x14ac:dyDescent="0.2">
      <c r="A85" s="200">
        <v>44401</v>
      </c>
      <c r="B85" s="199" t="s">
        <v>17171</v>
      </c>
      <c r="C85" s="201" t="s">
        <v>17172</v>
      </c>
      <c r="D85" s="148"/>
      <c r="E85" s="35"/>
      <c r="F85" s="198">
        <v>5.14</v>
      </c>
      <c r="G85" s="6"/>
      <c r="H85" s="239"/>
      <c r="I85" s="233"/>
      <c r="J85" s="233"/>
      <c r="K85" s="233"/>
      <c r="L85" s="233"/>
      <c r="M85" s="233"/>
      <c r="N85" s="233"/>
    </row>
    <row r="86" spans="1:14" x14ac:dyDescent="0.2">
      <c r="A86" s="200">
        <v>44401</v>
      </c>
      <c r="B86" s="199" t="s">
        <v>17169</v>
      </c>
      <c r="C86" s="201" t="s">
        <v>17170</v>
      </c>
      <c r="D86" s="148"/>
      <c r="E86" s="35"/>
      <c r="F86" s="198">
        <v>6.9</v>
      </c>
      <c r="G86" s="6"/>
      <c r="H86" s="239"/>
      <c r="I86" s="233"/>
      <c r="J86" s="233"/>
      <c r="K86" s="233"/>
      <c r="L86" s="233"/>
      <c r="M86" s="233"/>
      <c r="N86" s="233"/>
    </row>
    <row r="87" spans="1:14" x14ac:dyDescent="0.2">
      <c r="A87" s="200">
        <v>44401</v>
      </c>
      <c r="B87" s="199" t="s">
        <v>17167</v>
      </c>
      <c r="C87" s="201" t="s">
        <v>17168</v>
      </c>
      <c r="D87" s="148"/>
      <c r="E87" s="35"/>
      <c r="F87" s="198">
        <v>2.76</v>
      </c>
      <c r="G87" s="6"/>
      <c r="H87" s="239"/>
      <c r="I87" s="233"/>
      <c r="J87" s="233"/>
      <c r="K87" s="233"/>
      <c r="L87" s="233"/>
      <c r="M87" s="233"/>
      <c r="N87" s="233"/>
    </row>
    <row r="88" spans="1:14" x14ac:dyDescent="0.2">
      <c r="A88" s="200">
        <v>44401</v>
      </c>
      <c r="B88" s="199" t="s">
        <v>17165</v>
      </c>
      <c r="C88" s="201" t="s">
        <v>17166</v>
      </c>
      <c r="D88" s="148"/>
      <c r="E88" s="35"/>
      <c r="F88" s="198">
        <v>5.13</v>
      </c>
      <c r="G88" s="6"/>
      <c r="H88" s="239"/>
      <c r="I88" s="233"/>
      <c r="J88" s="233"/>
      <c r="K88" s="233"/>
      <c r="L88" s="233"/>
      <c r="M88" s="233"/>
      <c r="N88" s="233"/>
    </row>
    <row r="89" spans="1:14" x14ac:dyDescent="0.2">
      <c r="A89" s="200">
        <v>44401</v>
      </c>
      <c r="B89" s="199" t="s">
        <v>17163</v>
      </c>
      <c r="C89" s="201" t="s">
        <v>17164</v>
      </c>
      <c r="D89" s="148"/>
      <c r="E89" s="35"/>
      <c r="F89" s="198">
        <v>1.68</v>
      </c>
      <c r="G89" s="6"/>
      <c r="H89" s="239"/>
      <c r="I89" s="233"/>
      <c r="J89" s="233"/>
      <c r="K89" s="233"/>
      <c r="L89" s="233"/>
      <c r="M89" s="233"/>
      <c r="N89" s="233"/>
    </row>
    <row r="90" spans="1:14" x14ac:dyDescent="0.2">
      <c r="A90" s="200">
        <v>44401</v>
      </c>
      <c r="B90" s="199" t="s">
        <v>17161</v>
      </c>
      <c r="C90" s="201" t="s">
        <v>17162</v>
      </c>
      <c r="D90" s="148"/>
      <c r="E90" s="35"/>
      <c r="F90" s="198">
        <v>4.78</v>
      </c>
      <c r="G90" s="6"/>
      <c r="H90" s="239"/>
      <c r="I90" s="233"/>
      <c r="J90" s="233"/>
      <c r="K90" s="233"/>
      <c r="L90" s="233"/>
      <c r="M90" s="233"/>
      <c r="N90" s="233"/>
    </row>
    <row r="91" spans="1:14" x14ac:dyDescent="0.2">
      <c r="A91" s="200">
        <v>44401</v>
      </c>
      <c r="B91" s="199" t="s">
        <v>17159</v>
      </c>
      <c r="C91" s="201" t="s">
        <v>17160</v>
      </c>
      <c r="D91" s="148"/>
      <c r="E91" s="35"/>
      <c r="F91" s="198">
        <v>2.42</v>
      </c>
      <c r="G91" s="6"/>
      <c r="H91" s="239"/>
      <c r="I91" s="233"/>
      <c r="J91" s="233"/>
      <c r="K91" s="233"/>
      <c r="L91" s="233"/>
      <c r="M91" s="233"/>
      <c r="N91" s="233"/>
    </row>
    <row r="92" spans="1:14" x14ac:dyDescent="0.2">
      <c r="A92" s="200">
        <v>44401</v>
      </c>
      <c r="B92" s="199" t="s">
        <v>17157</v>
      </c>
      <c r="C92" s="201" t="s">
        <v>17158</v>
      </c>
      <c r="D92" s="148"/>
      <c r="E92" s="35"/>
      <c r="F92" s="198">
        <v>3.56</v>
      </c>
      <c r="G92" s="6"/>
      <c r="H92" s="239"/>
      <c r="I92" s="233"/>
      <c r="J92" s="233"/>
      <c r="K92" s="233"/>
      <c r="L92" s="233"/>
      <c r="M92" s="233"/>
      <c r="N92" s="233"/>
    </row>
    <row r="93" spans="1:14" x14ac:dyDescent="0.2">
      <c r="A93" s="200">
        <v>44401</v>
      </c>
      <c r="B93" s="199" t="s">
        <v>17155</v>
      </c>
      <c r="C93" s="201" t="s">
        <v>17156</v>
      </c>
      <c r="D93" s="148"/>
      <c r="E93" s="35"/>
      <c r="F93" s="198">
        <v>6.99</v>
      </c>
      <c r="G93" s="6"/>
      <c r="H93" s="239"/>
      <c r="I93" s="233"/>
      <c r="J93" s="233"/>
      <c r="K93" s="233"/>
      <c r="L93" s="233"/>
      <c r="M93" s="233"/>
      <c r="N93" s="233"/>
    </row>
    <row r="94" spans="1:14" x14ac:dyDescent="0.2">
      <c r="A94" s="200">
        <v>44401</v>
      </c>
      <c r="B94" s="199" t="s">
        <v>17153</v>
      </c>
      <c r="C94" s="201" t="s">
        <v>17154</v>
      </c>
      <c r="D94" s="148"/>
      <c r="E94" s="35"/>
      <c r="F94" s="198">
        <v>1.79</v>
      </c>
      <c r="G94" s="6"/>
      <c r="H94" s="239"/>
      <c r="I94" s="233"/>
      <c r="J94" s="233"/>
      <c r="K94" s="236"/>
      <c r="L94" s="233"/>
      <c r="M94" s="233"/>
      <c r="N94" s="233"/>
    </row>
    <row r="95" spans="1:14" x14ac:dyDescent="0.2">
      <c r="A95" s="200">
        <v>44401</v>
      </c>
      <c r="B95" s="199" t="s">
        <v>17151</v>
      </c>
      <c r="C95" s="201" t="s">
        <v>17152</v>
      </c>
      <c r="D95" s="148"/>
      <c r="E95" s="35"/>
      <c r="F95" s="198">
        <v>5.0599999999999996</v>
      </c>
      <c r="G95" s="6"/>
      <c r="H95" s="239"/>
      <c r="I95" s="233"/>
      <c r="J95" s="233"/>
      <c r="K95" s="233"/>
      <c r="L95" s="233"/>
      <c r="M95" s="233"/>
      <c r="N95" s="233"/>
    </row>
    <row r="96" spans="1:14" x14ac:dyDescent="0.2">
      <c r="A96" s="200">
        <v>44401</v>
      </c>
      <c r="B96" s="199" t="s">
        <v>17149</v>
      </c>
      <c r="C96" s="201" t="s">
        <v>17150</v>
      </c>
      <c r="D96" s="148"/>
      <c r="E96" s="35"/>
      <c r="F96" s="198">
        <v>2.77</v>
      </c>
      <c r="G96" s="6"/>
      <c r="H96" s="239"/>
      <c r="I96" s="233"/>
      <c r="J96" s="233"/>
      <c r="K96" s="233"/>
      <c r="L96" s="233"/>
      <c r="M96" s="233"/>
      <c r="N96" s="233"/>
    </row>
    <row r="97" spans="1:14" x14ac:dyDescent="0.2">
      <c r="A97" s="200">
        <v>44401</v>
      </c>
      <c r="B97" s="199" t="s">
        <v>17147</v>
      </c>
      <c r="C97" s="201" t="s">
        <v>17148</v>
      </c>
      <c r="D97" s="148"/>
      <c r="E97" s="35"/>
      <c r="F97" s="198">
        <v>1.68</v>
      </c>
      <c r="G97" s="6"/>
      <c r="H97" s="239"/>
      <c r="I97" s="233"/>
      <c r="J97" s="233"/>
      <c r="K97" s="233"/>
      <c r="L97" s="233"/>
      <c r="M97" s="233"/>
      <c r="N97" s="233"/>
    </row>
    <row r="98" spans="1:14" x14ac:dyDescent="0.2">
      <c r="A98" s="200">
        <v>44401</v>
      </c>
      <c r="B98" s="199" t="s">
        <v>17145</v>
      </c>
      <c r="C98" s="201" t="s">
        <v>17146</v>
      </c>
      <c r="D98" s="148"/>
      <c r="E98" s="35"/>
      <c r="F98" s="198">
        <v>13.07</v>
      </c>
      <c r="G98" s="6"/>
      <c r="H98" s="239"/>
      <c r="I98" s="233"/>
      <c r="J98" s="233"/>
      <c r="K98" s="233"/>
      <c r="L98" s="233"/>
      <c r="M98" s="233"/>
      <c r="N98" s="233"/>
    </row>
    <row r="99" spans="1:14" x14ac:dyDescent="0.2">
      <c r="A99" s="200">
        <v>44401</v>
      </c>
      <c r="B99" s="199" t="s">
        <v>17143</v>
      </c>
      <c r="C99" s="201" t="s">
        <v>17144</v>
      </c>
      <c r="D99" s="148"/>
      <c r="E99" s="35"/>
      <c r="F99" s="198">
        <v>33.4</v>
      </c>
      <c r="G99" s="6"/>
      <c r="H99" s="239"/>
      <c r="I99" s="233"/>
      <c r="J99" s="233"/>
      <c r="K99" s="233"/>
      <c r="L99" s="233"/>
      <c r="M99" s="233"/>
      <c r="N99" s="233"/>
    </row>
    <row r="100" spans="1:14" x14ac:dyDescent="0.2">
      <c r="A100" s="200">
        <v>44402</v>
      </c>
      <c r="B100" s="199" t="s">
        <v>17133</v>
      </c>
      <c r="C100" s="201" t="s">
        <v>17134</v>
      </c>
      <c r="D100" s="148"/>
      <c r="E100" s="35"/>
      <c r="F100" s="198">
        <v>9.27</v>
      </c>
      <c r="G100" s="6"/>
      <c r="H100" s="239"/>
      <c r="I100" s="233"/>
      <c r="J100" s="233"/>
      <c r="K100" s="233"/>
      <c r="L100" s="233"/>
      <c r="M100" s="233"/>
      <c r="N100" s="233"/>
    </row>
    <row r="101" spans="1:14" x14ac:dyDescent="0.2">
      <c r="A101" s="200">
        <v>44402</v>
      </c>
      <c r="B101" s="199" t="s">
        <v>17131</v>
      </c>
      <c r="C101" s="201" t="s">
        <v>17132</v>
      </c>
      <c r="D101" s="148"/>
      <c r="E101" s="35"/>
      <c r="F101" s="198">
        <v>1.68</v>
      </c>
      <c r="G101" s="6"/>
      <c r="H101" s="239"/>
      <c r="I101" s="233"/>
      <c r="J101" s="233"/>
      <c r="K101" s="233"/>
      <c r="L101" s="233"/>
      <c r="M101" s="233"/>
      <c r="N101" s="233"/>
    </row>
    <row r="102" spans="1:14" x14ac:dyDescent="0.2">
      <c r="A102" s="200">
        <v>44402</v>
      </c>
      <c r="B102" s="199" t="s">
        <v>17129</v>
      </c>
      <c r="C102" s="201" t="s">
        <v>17130</v>
      </c>
      <c r="D102" s="148"/>
      <c r="E102" s="35"/>
      <c r="F102" s="198">
        <v>21.33</v>
      </c>
      <c r="G102" s="6"/>
      <c r="H102" s="239"/>
      <c r="I102" s="233"/>
      <c r="J102" s="233"/>
      <c r="K102" s="233"/>
      <c r="L102" s="233"/>
      <c r="M102" s="233"/>
      <c r="N102" s="233"/>
    </row>
    <row r="103" spans="1:14" x14ac:dyDescent="0.2">
      <c r="A103" s="200">
        <v>44402</v>
      </c>
      <c r="B103" s="199" t="s">
        <v>17127</v>
      </c>
      <c r="C103" s="201" t="s">
        <v>17128</v>
      </c>
      <c r="D103" s="148"/>
      <c r="E103" s="35"/>
      <c r="F103" s="198">
        <v>10.43</v>
      </c>
      <c r="G103" s="6"/>
      <c r="H103" s="239"/>
      <c r="I103" s="233"/>
      <c r="J103" s="233"/>
      <c r="K103" s="233"/>
      <c r="L103" s="233"/>
      <c r="M103" s="233"/>
      <c r="N103" s="233"/>
    </row>
    <row r="104" spans="1:14" x14ac:dyDescent="0.2">
      <c r="A104" s="200">
        <v>44402</v>
      </c>
      <c r="B104" s="199" t="s">
        <v>17125</v>
      </c>
      <c r="C104" s="201" t="s">
        <v>17126</v>
      </c>
      <c r="D104" s="148"/>
      <c r="E104" s="35"/>
      <c r="F104" s="198">
        <v>1.68</v>
      </c>
      <c r="G104" s="6"/>
      <c r="H104" s="239"/>
      <c r="I104" s="233"/>
      <c r="J104" s="233"/>
      <c r="K104" s="233"/>
      <c r="L104" s="233"/>
      <c r="M104" s="233"/>
      <c r="N104" s="233"/>
    </row>
    <row r="105" spans="1:14" x14ac:dyDescent="0.2">
      <c r="A105" s="200">
        <v>44403</v>
      </c>
      <c r="B105" s="199" t="s">
        <v>17117</v>
      </c>
      <c r="C105" s="201" t="s">
        <v>17118</v>
      </c>
      <c r="D105" s="148"/>
      <c r="E105" s="35"/>
      <c r="F105" s="198">
        <v>16.760000000000002</v>
      </c>
      <c r="G105" s="6"/>
      <c r="H105" s="239"/>
      <c r="I105" s="233"/>
      <c r="J105" s="233"/>
      <c r="K105" s="233"/>
      <c r="L105" s="233"/>
      <c r="M105" s="233"/>
      <c r="N105" s="233"/>
    </row>
    <row r="106" spans="1:14" x14ac:dyDescent="0.2">
      <c r="A106" s="200">
        <v>44403</v>
      </c>
      <c r="B106" s="199" t="s">
        <v>17115</v>
      </c>
      <c r="C106" s="201" t="s">
        <v>17116</v>
      </c>
      <c r="D106" s="148"/>
      <c r="E106" s="35"/>
      <c r="F106" s="198">
        <v>1.75</v>
      </c>
      <c r="G106" s="6"/>
      <c r="H106" s="239"/>
      <c r="I106" s="233"/>
      <c r="J106" s="233"/>
      <c r="K106" s="233"/>
      <c r="L106" s="233"/>
      <c r="M106" s="233"/>
      <c r="N106" s="233"/>
    </row>
    <row r="107" spans="1:14" x14ac:dyDescent="0.2">
      <c r="A107" s="200">
        <v>44403</v>
      </c>
      <c r="B107" s="199" t="s">
        <v>17113</v>
      </c>
      <c r="C107" s="201" t="s">
        <v>17114</v>
      </c>
      <c r="D107" s="148"/>
      <c r="E107" s="35"/>
      <c r="F107" s="198">
        <v>5.13</v>
      </c>
      <c r="G107" s="6"/>
      <c r="H107" s="239"/>
      <c r="I107" s="233"/>
      <c r="J107" s="233"/>
      <c r="K107" s="233"/>
      <c r="L107" s="233"/>
      <c r="M107" s="233"/>
      <c r="N107" s="233"/>
    </row>
    <row r="108" spans="1:14" x14ac:dyDescent="0.2">
      <c r="A108" s="200">
        <v>44403</v>
      </c>
      <c r="B108" s="199" t="s">
        <v>17111</v>
      </c>
      <c r="C108" s="201" t="s">
        <v>17112</v>
      </c>
      <c r="D108" s="148"/>
      <c r="E108" s="35"/>
      <c r="F108" s="198">
        <v>4</v>
      </c>
      <c r="G108" s="6"/>
      <c r="H108" s="239"/>
      <c r="I108" s="233"/>
      <c r="J108" s="233"/>
      <c r="K108" s="233"/>
      <c r="L108" s="233"/>
      <c r="M108" s="233"/>
      <c r="N108" s="233"/>
    </row>
    <row r="109" spans="1:14" x14ac:dyDescent="0.2">
      <c r="A109" s="200">
        <v>44403</v>
      </c>
      <c r="B109" s="199" t="s">
        <v>17109</v>
      </c>
      <c r="C109" s="201" t="s">
        <v>17110</v>
      </c>
      <c r="D109" s="148"/>
      <c r="E109" s="35"/>
      <c r="F109" s="198">
        <v>1.1299999999999999</v>
      </c>
      <c r="G109" s="6"/>
      <c r="H109" s="239"/>
      <c r="I109" s="233"/>
      <c r="J109" s="233"/>
      <c r="K109" s="233"/>
      <c r="L109" s="233"/>
      <c r="M109" s="233"/>
      <c r="N109" s="233"/>
    </row>
    <row r="110" spans="1:14" x14ac:dyDescent="0.2">
      <c r="A110" s="200">
        <v>44403</v>
      </c>
      <c r="B110" s="199" t="s">
        <v>17107</v>
      </c>
      <c r="C110" s="201" t="s">
        <v>17108</v>
      </c>
      <c r="D110" s="148"/>
      <c r="E110" s="35"/>
      <c r="F110" s="198">
        <v>1.79</v>
      </c>
      <c r="G110" s="6"/>
      <c r="H110" s="239"/>
      <c r="I110" s="233"/>
      <c r="J110" s="233"/>
      <c r="K110" s="233"/>
      <c r="L110" s="233"/>
      <c r="M110" s="236"/>
      <c r="N110" s="233"/>
    </row>
    <row r="111" spans="1:14" x14ac:dyDescent="0.2">
      <c r="A111" s="200">
        <v>44403</v>
      </c>
      <c r="B111" s="199" t="s">
        <v>17105</v>
      </c>
      <c r="C111" s="201" t="s">
        <v>17106</v>
      </c>
      <c r="D111" s="148"/>
      <c r="E111" s="35"/>
      <c r="F111" s="198">
        <v>2.02</v>
      </c>
      <c r="G111" s="6"/>
      <c r="H111" s="239"/>
      <c r="I111" s="233"/>
      <c r="J111" s="233"/>
      <c r="K111" s="233"/>
      <c r="L111" s="233"/>
      <c r="M111" s="233"/>
      <c r="N111" s="233"/>
    </row>
    <row r="112" spans="1:14" x14ac:dyDescent="0.2">
      <c r="A112" s="200">
        <v>44403</v>
      </c>
      <c r="B112" s="199" t="s">
        <v>17103</v>
      </c>
      <c r="C112" s="201" t="s">
        <v>17104</v>
      </c>
      <c r="D112" s="148"/>
      <c r="E112" s="35"/>
      <c r="F112" s="198">
        <v>5.4</v>
      </c>
      <c r="G112" s="6"/>
      <c r="H112" s="239"/>
      <c r="I112" s="233"/>
      <c r="J112" s="233"/>
      <c r="K112" s="233"/>
      <c r="L112" s="233"/>
      <c r="M112" s="233"/>
      <c r="N112" s="233"/>
    </row>
    <row r="113" spans="1:14" x14ac:dyDescent="0.2">
      <c r="A113" s="200">
        <v>44403</v>
      </c>
      <c r="B113" s="199" t="s">
        <v>17101</v>
      </c>
      <c r="C113" s="201" t="s">
        <v>17102</v>
      </c>
      <c r="D113" s="148"/>
      <c r="E113" s="35"/>
      <c r="F113" s="198">
        <v>5.26</v>
      </c>
      <c r="G113" s="6"/>
      <c r="H113" s="239"/>
      <c r="I113" s="233"/>
      <c r="J113" s="233"/>
      <c r="K113" s="233"/>
      <c r="L113" s="233"/>
      <c r="M113" s="233"/>
      <c r="N113" s="233"/>
    </row>
    <row r="114" spans="1:14" x14ac:dyDescent="0.2">
      <c r="A114" s="200">
        <v>44403</v>
      </c>
      <c r="B114" s="199" t="s">
        <v>17099</v>
      </c>
      <c r="C114" s="201" t="s">
        <v>17100</v>
      </c>
      <c r="D114" s="148"/>
      <c r="E114" s="35"/>
      <c r="F114" s="198">
        <v>4.91</v>
      </c>
      <c r="G114" s="6"/>
      <c r="H114" s="239"/>
      <c r="I114" s="233"/>
      <c r="J114" s="233"/>
      <c r="K114" s="233"/>
      <c r="L114" s="233"/>
      <c r="M114" s="233"/>
      <c r="N114" s="233"/>
    </row>
    <row r="115" spans="1:14" x14ac:dyDescent="0.2">
      <c r="A115" s="200">
        <v>44404</v>
      </c>
      <c r="B115" s="199" t="s">
        <v>17057</v>
      </c>
      <c r="C115" s="201" t="s">
        <v>17058</v>
      </c>
      <c r="D115" s="148"/>
      <c r="E115" s="35"/>
      <c r="F115" s="198">
        <v>5.21</v>
      </c>
      <c r="G115" s="6"/>
      <c r="H115" s="239"/>
      <c r="I115" s="233"/>
      <c r="J115" s="233"/>
      <c r="K115" s="233"/>
      <c r="L115" s="233"/>
      <c r="M115" s="233"/>
      <c r="N115" s="233"/>
    </row>
    <row r="116" spans="1:14" x14ac:dyDescent="0.2">
      <c r="A116" s="200">
        <v>44404</v>
      </c>
      <c r="B116" s="199" t="s">
        <v>17055</v>
      </c>
      <c r="C116" s="201" t="s">
        <v>17056</v>
      </c>
      <c r="D116" s="148"/>
      <c r="E116" s="35"/>
      <c r="F116" s="198">
        <v>6.24</v>
      </c>
      <c r="G116" s="6"/>
      <c r="H116" s="239"/>
      <c r="I116" s="233"/>
      <c r="J116" s="233"/>
      <c r="K116" s="233"/>
      <c r="L116" s="233"/>
      <c r="M116" s="233"/>
      <c r="N116" s="233"/>
    </row>
    <row r="117" spans="1:14" x14ac:dyDescent="0.2">
      <c r="A117" s="200">
        <v>44404</v>
      </c>
      <c r="B117" s="199" t="s">
        <v>17051</v>
      </c>
      <c r="C117" s="201" t="s">
        <v>17052</v>
      </c>
      <c r="D117" s="148"/>
      <c r="E117" s="35"/>
      <c r="F117" s="198">
        <v>2.5099999999999998</v>
      </c>
      <c r="G117" s="6"/>
      <c r="H117" s="239"/>
      <c r="I117" s="233"/>
      <c r="J117" s="233"/>
      <c r="K117" s="233"/>
      <c r="L117" s="233"/>
      <c r="M117" s="233"/>
      <c r="N117" s="233"/>
    </row>
    <row r="118" spans="1:14" x14ac:dyDescent="0.2">
      <c r="A118" s="200">
        <v>44404</v>
      </c>
      <c r="B118" s="199" t="s">
        <v>17049</v>
      </c>
      <c r="C118" s="201" t="s">
        <v>17050</v>
      </c>
      <c r="D118" s="148"/>
      <c r="E118" s="35"/>
      <c r="F118" s="198">
        <v>0.6</v>
      </c>
      <c r="G118" s="6"/>
      <c r="H118" s="239"/>
      <c r="I118" s="233"/>
      <c r="J118" s="233"/>
      <c r="K118" s="233"/>
      <c r="L118" s="233"/>
      <c r="M118" s="233"/>
      <c r="N118" s="233"/>
    </row>
    <row r="119" spans="1:14" x14ac:dyDescent="0.2">
      <c r="A119" s="200">
        <v>44404</v>
      </c>
      <c r="B119" s="199" t="s">
        <v>17047</v>
      </c>
      <c r="C119" s="201" t="s">
        <v>17048</v>
      </c>
      <c r="D119" s="148"/>
      <c r="E119" s="35"/>
      <c r="F119" s="198">
        <v>5.35</v>
      </c>
      <c r="G119" s="6"/>
      <c r="H119" s="239"/>
      <c r="I119" s="233"/>
      <c r="J119" s="233"/>
      <c r="K119" s="233"/>
      <c r="L119" s="233"/>
      <c r="M119" s="233"/>
      <c r="N119" s="233"/>
    </row>
    <row r="120" spans="1:14" x14ac:dyDescent="0.2">
      <c r="A120" s="200">
        <v>44404</v>
      </c>
      <c r="B120" s="199" t="s">
        <v>17045</v>
      </c>
      <c r="C120" s="201" t="s">
        <v>17046</v>
      </c>
      <c r="D120" s="148"/>
      <c r="E120" s="35"/>
      <c r="F120" s="198">
        <v>8.35</v>
      </c>
      <c r="G120" s="6"/>
      <c r="H120" s="239"/>
      <c r="I120" s="233"/>
      <c r="J120" s="233"/>
      <c r="K120" s="233"/>
      <c r="L120" s="233"/>
      <c r="M120" s="233"/>
      <c r="N120" s="233"/>
    </row>
    <row r="121" spans="1:14" x14ac:dyDescent="0.2">
      <c r="A121" s="200">
        <v>44404</v>
      </c>
      <c r="B121" s="199" t="s">
        <v>17043</v>
      </c>
      <c r="C121" s="201" t="s">
        <v>17044</v>
      </c>
      <c r="D121" s="148"/>
      <c r="E121" s="35"/>
      <c r="F121" s="198">
        <v>6.94</v>
      </c>
      <c r="G121" s="6"/>
      <c r="H121" s="239"/>
      <c r="I121" s="233"/>
      <c r="J121" s="233"/>
      <c r="K121" s="233"/>
      <c r="L121" s="233"/>
      <c r="M121" s="233"/>
      <c r="N121" s="233"/>
    </row>
    <row r="122" spans="1:14" x14ac:dyDescent="0.2">
      <c r="A122" s="200">
        <v>44404</v>
      </c>
      <c r="B122" s="199" t="s">
        <v>17041</v>
      </c>
      <c r="C122" s="201" t="s">
        <v>17042</v>
      </c>
      <c r="D122" s="148"/>
      <c r="E122" s="35"/>
      <c r="F122" s="198">
        <v>5.72</v>
      </c>
      <c r="G122" s="6"/>
      <c r="H122" s="239"/>
      <c r="I122" s="233"/>
      <c r="J122" s="233"/>
      <c r="K122" s="233"/>
      <c r="L122" s="233"/>
      <c r="M122" s="233"/>
      <c r="N122" s="233"/>
    </row>
    <row r="123" spans="1:14" x14ac:dyDescent="0.2">
      <c r="A123" s="200">
        <v>44404</v>
      </c>
      <c r="B123" s="199" t="s">
        <v>17039</v>
      </c>
      <c r="C123" s="201" t="s">
        <v>17040</v>
      </c>
      <c r="D123" s="148"/>
      <c r="E123" s="35"/>
      <c r="F123" s="198">
        <v>2.34</v>
      </c>
      <c r="G123" s="6"/>
      <c r="H123" s="239"/>
      <c r="I123" s="233"/>
      <c r="J123" s="233"/>
      <c r="K123" s="233"/>
      <c r="L123" s="233"/>
      <c r="M123" s="233"/>
      <c r="N123" s="233"/>
    </row>
    <row r="124" spans="1:14" x14ac:dyDescent="0.2">
      <c r="A124" s="200">
        <v>44404</v>
      </c>
      <c r="B124" s="199" t="s">
        <v>17037</v>
      </c>
      <c r="C124" s="201" t="s">
        <v>17038</v>
      </c>
      <c r="D124" s="148"/>
      <c r="E124" s="35"/>
      <c r="F124" s="198">
        <v>1.75</v>
      </c>
      <c r="G124" s="6"/>
      <c r="H124" s="239"/>
      <c r="I124" s="233"/>
      <c r="J124" s="233"/>
      <c r="K124" s="233"/>
      <c r="L124" s="233"/>
      <c r="M124" s="233"/>
      <c r="N124" s="233"/>
    </row>
    <row r="125" spans="1:14" x14ac:dyDescent="0.2">
      <c r="A125" s="200">
        <v>44404</v>
      </c>
      <c r="B125" s="199" t="s">
        <v>17035</v>
      </c>
      <c r="C125" s="201" t="s">
        <v>17036</v>
      </c>
      <c r="D125" s="148"/>
      <c r="E125" s="35"/>
      <c r="F125" s="198">
        <v>1.65</v>
      </c>
      <c r="G125" s="6"/>
      <c r="H125" s="239"/>
      <c r="I125" s="233"/>
      <c r="J125" s="233"/>
      <c r="K125" s="233"/>
      <c r="L125" s="233"/>
      <c r="M125" s="233"/>
      <c r="N125" s="233"/>
    </row>
    <row r="126" spans="1:14" x14ac:dyDescent="0.2">
      <c r="A126" s="200">
        <v>44404</v>
      </c>
      <c r="B126" s="199" t="s">
        <v>17033</v>
      </c>
      <c r="C126" s="201" t="s">
        <v>17034</v>
      </c>
      <c r="D126" s="148"/>
      <c r="E126" s="35"/>
      <c r="F126" s="198">
        <v>0.09</v>
      </c>
      <c r="G126" s="6"/>
      <c r="H126" s="239"/>
      <c r="I126" s="233"/>
      <c r="J126" s="233"/>
      <c r="K126" s="233"/>
      <c r="L126" s="233"/>
      <c r="M126" s="233"/>
      <c r="N126" s="233"/>
    </row>
    <row r="127" spans="1:14" x14ac:dyDescent="0.2">
      <c r="A127" s="200">
        <v>44404</v>
      </c>
      <c r="B127" s="199" t="s">
        <v>17031</v>
      </c>
      <c r="C127" s="201" t="s">
        <v>17032</v>
      </c>
      <c r="D127" s="148"/>
      <c r="E127" s="35"/>
      <c r="F127" s="198">
        <v>13.1</v>
      </c>
      <c r="G127" s="6"/>
      <c r="H127" s="239"/>
      <c r="I127" s="233"/>
      <c r="J127" s="233"/>
      <c r="K127" s="233"/>
      <c r="L127" s="233"/>
      <c r="M127" s="233"/>
      <c r="N127" s="233"/>
    </row>
    <row r="128" spans="1:14" x14ac:dyDescent="0.2">
      <c r="A128" s="200">
        <v>44404</v>
      </c>
      <c r="B128" s="199" t="s">
        <v>17029</v>
      </c>
      <c r="C128" s="201" t="s">
        <v>17030</v>
      </c>
      <c r="D128" s="148"/>
      <c r="E128" s="35"/>
      <c r="F128" s="198">
        <v>17.52</v>
      </c>
      <c r="G128" s="6"/>
      <c r="H128" s="239"/>
      <c r="I128" s="233"/>
      <c r="J128" s="233"/>
      <c r="K128" s="233"/>
      <c r="L128" s="233"/>
      <c r="M128" s="233"/>
      <c r="N128" s="233"/>
    </row>
    <row r="129" spans="1:14" x14ac:dyDescent="0.2">
      <c r="A129" s="200">
        <v>44404</v>
      </c>
      <c r="B129" s="199" t="s">
        <v>17027</v>
      </c>
      <c r="C129" s="201" t="s">
        <v>17028</v>
      </c>
      <c r="D129" s="148"/>
      <c r="E129" s="35"/>
      <c r="F129" s="198">
        <v>28.82</v>
      </c>
      <c r="G129" s="6"/>
      <c r="H129" s="239"/>
      <c r="I129" s="233"/>
      <c r="J129" s="233"/>
      <c r="K129" s="233"/>
      <c r="L129" s="233"/>
      <c r="M129" s="233"/>
      <c r="N129" s="233"/>
    </row>
    <row r="130" spans="1:14" x14ac:dyDescent="0.2">
      <c r="A130" s="200">
        <v>44404</v>
      </c>
      <c r="B130" s="199" t="s">
        <v>17025</v>
      </c>
      <c r="C130" s="201" t="s">
        <v>17026</v>
      </c>
      <c r="D130" s="148"/>
      <c r="E130" s="35"/>
      <c r="F130" s="198">
        <v>2.12</v>
      </c>
      <c r="G130" s="6"/>
      <c r="H130" s="239"/>
      <c r="I130" s="233"/>
      <c r="J130" s="233"/>
      <c r="K130" s="233"/>
      <c r="L130" s="233"/>
      <c r="M130" s="233"/>
      <c r="N130" s="233"/>
    </row>
    <row r="131" spans="1:14" x14ac:dyDescent="0.2">
      <c r="A131" s="200">
        <v>44404</v>
      </c>
      <c r="B131" s="199" t="s">
        <v>17023</v>
      </c>
      <c r="C131" s="201" t="s">
        <v>17024</v>
      </c>
      <c r="D131" s="148"/>
      <c r="E131" s="35"/>
      <c r="F131" s="198">
        <v>1.85</v>
      </c>
      <c r="G131" s="6"/>
      <c r="H131" s="239"/>
      <c r="I131" s="233"/>
      <c r="J131" s="233"/>
      <c r="K131" s="233"/>
      <c r="L131" s="233"/>
      <c r="M131" s="233"/>
      <c r="N131" s="233"/>
    </row>
    <row r="132" spans="1:14" x14ac:dyDescent="0.2">
      <c r="A132" s="200">
        <v>44404</v>
      </c>
      <c r="B132" s="199" t="s">
        <v>17021</v>
      </c>
      <c r="C132" s="201" t="s">
        <v>17022</v>
      </c>
      <c r="D132" s="148"/>
      <c r="E132" s="35"/>
      <c r="F132" s="198">
        <v>4.1900000000000004</v>
      </c>
      <c r="G132" s="6"/>
      <c r="H132" s="239"/>
      <c r="I132" s="233"/>
      <c r="J132" s="233"/>
      <c r="K132" s="233"/>
      <c r="L132" s="233"/>
      <c r="M132" s="233"/>
      <c r="N132" s="233"/>
    </row>
    <row r="133" spans="1:14" x14ac:dyDescent="0.2">
      <c r="A133" s="200">
        <v>44404</v>
      </c>
      <c r="B133" s="199" t="s">
        <v>17019</v>
      </c>
      <c r="C133" s="201" t="s">
        <v>17020</v>
      </c>
      <c r="D133" s="148"/>
      <c r="E133" s="35"/>
      <c r="F133" s="198">
        <v>3.09</v>
      </c>
      <c r="G133" s="6"/>
      <c r="H133" s="239"/>
      <c r="I133" s="233"/>
      <c r="J133" s="233"/>
      <c r="K133" s="233"/>
      <c r="L133" s="233"/>
      <c r="M133" s="233"/>
      <c r="N133" s="233"/>
    </row>
    <row r="134" spans="1:14" x14ac:dyDescent="0.2">
      <c r="A134" s="200">
        <v>44404</v>
      </c>
      <c r="B134" s="199" t="s">
        <v>17017</v>
      </c>
      <c r="C134" s="201" t="s">
        <v>17018</v>
      </c>
      <c r="D134" s="148"/>
      <c r="E134" s="35"/>
      <c r="F134" s="198">
        <v>0.06</v>
      </c>
      <c r="G134" s="6"/>
      <c r="H134" s="239"/>
      <c r="I134" s="233"/>
      <c r="J134" s="233"/>
      <c r="K134" s="233"/>
      <c r="L134" s="233"/>
      <c r="M134" s="233"/>
      <c r="N134" s="233"/>
    </row>
    <row r="135" spans="1:14" x14ac:dyDescent="0.2">
      <c r="A135" s="200">
        <v>44404</v>
      </c>
      <c r="B135" s="199" t="s">
        <v>17015</v>
      </c>
      <c r="C135" s="201" t="s">
        <v>17016</v>
      </c>
      <c r="D135" s="148"/>
      <c r="E135" s="35"/>
      <c r="F135" s="198">
        <v>3.37</v>
      </c>
      <c r="G135" s="6"/>
      <c r="H135" s="239"/>
      <c r="I135" s="233"/>
      <c r="J135" s="233"/>
      <c r="K135" s="233"/>
      <c r="L135" s="233"/>
      <c r="M135" s="233"/>
      <c r="N135" s="233"/>
    </row>
    <row r="136" spans="1:14" x14ac:dyDescent="0.2">
      <c r="A136" s="200">
        <v>44404</v>
      </c>
      <c r="B136" s="199" t="s">
        <v>17013</v>
      </c>
      <c r="C136" s="201" t="s">
        <v>17014</v>
      </c>
      <c r="D136" s="148"/>
      <c r="E136" s="35"/>
      <c r="F136" s="198">
        <v>8.3800000000000008</v>
      </c>
      <c r="G136" s="6"/>
      <c r="H136" s="239"/>
      <c r="I136" s="233"/>
      <c r="J136" s="233"/>
      <c r="K136" s="233"/>
      <c r="L136" s="233"/>
      <c r="M136" s="233"/>
      <c r="N136" s="233"/>
    </row>
    <row r="137" spans="1:14" x14ac:dyDescent="0.2">
      <c r="A137" s="200">
        <v>44404</v>
      </c>
      <c r="B137" s="199" t="s">
        <v>17011</v>
      </c>
      <c r="C137" s="201" t="s">
        <v>17012</v>
      </c>
      <c r="D137" s="148"/>
      <c r="E137" s="35"/>
      <c r="F137" s="198">
        <v>7.95</v>
      </c>
      <c r="G137" s="6"/>
      <c r="H137" s="239"/>
      <c r="I137" s="233"/>
      <c r="J137" s="233"/>
      <c r="K137" s="233"/>
      <c r="L137" s="233"/>
      <c r="M137" s="233"/>
      <c r="N137" s="233"/>
    </row>
    <row r="138" spans="1:14" x14ac:dyDescent="0.2">
      <c r="A138" s="200">
        <v>44404</v>
      </c>
      <c r="B138" s="199" t="s">
        <v>17009</v>
      </c>
      <c r="C138" s="201" t="s">
        <v>17010</v>
      </c>
      <c r="D138" s="148"/>
      <c r="E138" s="35"/>
      <c r="F138" s="198">
        <v>3.48</v>
      </c>
      <c r="G138" s="6"/>
      <c r="H138" s="239"/>
      <c r="I138" s="233"/>
      <c r="J138" s="233"/>
      <c r="K138" s="233"/>
      <c r="L138" s="233"/>
      <c r="M138" s="233"/>
      <c r="N138" s="233"/>
    </row>
    <row r="139" spans="1:14" x14ac:dyDescent="0.2">
      <c r="A139" s="200">
        <v>44404</v>
      </c>
      <c r="B139" s="199" t="s">
        <v>17007</v>
      </c>
      <c r="C139" s="201" t="s">
        <v>17008</v>
      </c>
      <c r="D139" s="148"/>
      <c r="E139" s="35"/>
      <c r="F139" s="198">
        <v>11.51</v>
      </c>
      <c r="G139" s="6"/>
      <c r="H139" s="239"/>
      <c r="I139" s="233"/>
      <c r="J139" s="233"/>
      <c r="K139" s="233"/>
      <c r="L139" s="233"/>
      <c r="M139" s="233"/>
      <c r="N139" s="233"/>
    </row>
    <row r="140" spans="1:14" x14ac:dyDescent="0.2">
      <c r="A140" s="200">
        <v>44404</v>
      </c>
      <c r="B140" s="199" t="s">
        <v>17005</v>
      </c>
      <c r="C140" s="201" t="s">
        <v>17006</v>
      </c>
      <c r="D140" s="148"/>
      <c r="E140" s="35"/>
      <c r="F140" s="198">
        <v>1.85</v>
      </c>
      <c r="G140" s="6"/>
      <c r="H140" s="239"/>
      <c r="I140" s="233"/>
      <c r="J140" s="233"/>
      <c r="K140" s="233"/>
      <c r="L140" s="233"/>
      <c r="M140" s="233"/>
      <c r="N140" s="233"/>
    </row>
    <row r="141" spans="1:14" x14ac:dyDescent="0.2">
      <c r="A141" s="200">
        <v>44404</v>
      </c>
      <c r="B141" s="199" t="s">
        <v>17003</v>
      </c>
      <c r="C141" s="201" t="s">
        <v>17004</v>
      </c>
      <c r="D141" s="148"/>
      <c r="E141" s="35"/>
      <c r="F141" s="198">
        <v>3.56</v>
      </c>
      <c r="G141" s="6"/>
      <c r="H141" s="239"/>
      <c r="I141" s="233"/>
      <c r="J141" s="233"/>
      <c r="K141" s="233"/>
      <c r="L141" s="233"/>
      <c r="M141" s="233"/>
      <c r="N141" s="233"/>
    </row>
    <row r="142" spans="1:14" x14ac:dyDescent="0.2">
      <c r="A142" s="200">
        <v>44404</v>
      </c>
      <c r="B142" s="199" t="s">
        <v>16999</v>
      </c>
      <c r="C142" s="201" t="s">
        <v>17000</v>
      </c>
      <c r="D142" s="148"/>
      <c r="E142" s="35"/>
      <c r="F142" s="198">
        <v>2.2999999999999998</v>
      </c>
      <c r="G142" s="6"/>
      <c r="H142" s="239"/>
      <c r="I142" s="233"/>
      <c r="J142" s="233"/>
      <c r="K142" s="233"/>
      <c r="L142" s="233"/>
      <c r="M142" s="233"/>
      <c r="N142" s="233"/>
    </row>
    <row r="143" spans="1:14" x14ac:dyDescent="0.2">
      <c r="A143" s="200">
        <v>44405</v>
      </c>
      <c r="B143" s="199" t="s">
        <v>16997</v>
      </c>
      <c r="C143" s="201" t="s">
        <v>16998</v>
      </c>
      <c r="D143" s="148"/>
      <c r="E143" s="35"/>
      <c r="F143" s="198">
        <v>3.24</v>
      </c>
      <c r="G143" s="6"/>
      <c r="H143" s="239"/>
      <c r="I143" s="233"/>
      <c r="J143" s="233"/>
      <c r="K143" s="233"/>
      <c r="L143" s="233"/>
      <c r="M143" s="233"/>
      <c r="N143" s="233"/>
    </row>
    <row r="144" spans="1:14" x14ac:dyDescent="0.2">
      <c r="A144" s="200">
        <v>44405</v>
      </c>
      <c r="B144" s="199" t="s">
        <v>16995</v>
      </c>
      <c r="C144" s="201" t="s">
        <v>16996</v>
      </c>
      <c r="D144" s="148"/>
      <c r="E144" s="35"/>
      <c r="F144" s="198">
        <v>1.68</v>
      </c>
      <c r="G144" s="6"/>
      <c r="H144" s="239"/>
      <c r="I144" s="233"/>
      <c r="J144" s="233"/>
      <c r="K144" s="233"/>
      <c r="L144" s="233"/>
      <c r="M144" s="233"/>
      <c r="N144" s="233"/>
    </row>
    <row r="145" spans="1:14" x14ac:dyDescent="0.2">
      <c r="A145" s="200">
        <v>44405</v>
      </c>
      <c r="B145" s="199" t="s">
        <v>16985</v>
      </c>
      <c r="C145" s="201" t="s">
        <v>16986</v>
      </c>
      <c r="D145" s="148"/>
      <c r="E145" s="35"/>
      <c r="F145" s="198">
        <v>0.42</v>
      </c>
      <c r="G145" s="6"/>
      <c r="H145" s="239"/>
      <c r="I145" s="233"/>
      <c r="J145" s="233"/>
      <c r="K145" s="233"/>
      <c r="L145" s="233"/>
      <c r="M145" s="233"/>
      <c r="N145" s="233"/>
    </row>
    <row r="146" spans="1:14" x14ac:dyDescent="0.2">
      <c r="A146" s="200">
        <v>44405</v>
      </c>
      <c r="B146" s="199" t="s">
        <v>16983</v>
      </c>
      <c r="C146" s="201" t="s">
        <v>16984</v>
      </c>
      <c r="D146" s="148"/>
      <c r="E146" s="35"/>
      <c r="F146" s="198">
        <v>5.04</v>
      </c>
      <c r="G146" s="6"/>
      <c r="H146" s="239"/>
      <c r="I146" s="233"/>
      <c r="J146" s="233"/>
      <c r="K146" s="233"/>
      <c r="L146" s="233"/>
      <c r="M146" s="233"/>
      <c r="N146" s="233"/>
    </row>
    <row r="147" spans="1:14" x14ac:dyDescent="0.2">
      <c r="A147" s="200">
        <v>44405</v>
      </c>
      <c r="B147" s="199" t="s">
        <v>16981</v>
      </c>
      <c r="C147" s="201" t="s">
        <v>16982</v>
      </c>
      <c r="D147" s="148"/>
      <c r="E147" s="35"/>
      <c r="F147" s="198">
        <v>1.98</v>
      </c>
      <c r="G147" s="6"/>
      <c r="H147" s="239"/>
      <c r="I147" s="233"/>
      <c r="J147" s="233"/>
      <c r="K147" s="233"/>
      <c r="L147" s="233"/>
      <c r="M147" s="233"/>
      <c r="N147" s="233"/>
    </row>
    <row r="148" spans="1:14" x14ac:dyDescent="0.2">
      <c r="A148" s="200">
        <v>44405</v>
      </c>
      <c r="B148" s="199" t="s">
        <v>16979</v>
      </c>
      <c r="C148" s="201" t="s">
        <v>16980</v>
      </c>
      <c r="D148" s="148"/>
      <c r="E148" s="35"/>
      <c r="F148" s="198">
        <v>4.2</v>
      </c>
      <c r="G148" s="6"/>
      <c r="H148" s="239"/>
      <c r="I148" s="233"/>
      <c r="J148" s="233"/>
      <c r="K148" s="233"/>
      <c r="L148" s="233"/>
      <c r="M148" s="233"/>
      <c r="N148" s="233"/>
    </row>
    <row r="149" spans="1:14" x14ac:dyDescent="0.2">
      <c r="A149" s="200">
        <v>44405</v>
      </c>
      <c r="B149" s="199" t="s">
        <v>16977</v>
      </c>
      <c r="C149" s="201" t="s">
        <v>16978</v>
      </c>
      <c r="D149" s="148"/>
      <c r="E149" s="35"/>
      <c r="F149" s="198">
        <v>17.190000000000001</v>
      </c>
      <c r="G149" s="6"/>
      <c r="H149" s="239"/>
      <c r="I149" s="233"/>
      <c r="J149" s="233"/>
      <c r="K149" s="233"/>
      <c r="L149" s="233"/>
      <c r="M149" s="233"/>
      <c r="N149" s="233"/>
    </row>
    <row r="150" spans="1:14" x14ac:dyDescent="0.2">
      <c r="A150" s="200">
        <v>44405</v>
      </c>
      <c r="B150" s="199" t="s">
        <v>16975</v>
      </c>
      <c r="C150" s="201" t="s">
        <v>16976</v>
      </c>
      <c r="D150" s="148"/>
      <c r="E150" s="35"/>
      <c r="F150" s="198">
        <v>37.340000000000003</v>
      </c>
      <c r="G150" s="6"/>
      <c r="H150" s="239"/>
      <c r="I150" s="233"/>
      <c r="J150" s="233"/>
      <c r="K150" s="233"/>
      <c r="L150" s="233"/>
      <c r="M150" s="233"/>
      <c r="N150" s="233"/>
    </row>
    <row r="151" spans="1:14" x14ac:dyDescent="0.2">
      <c r="A151" s="200">
        <v>44405</v>
      </c>
      <c r="B151" s="199" t="s">
        <v>16973</v>
      </c>
      <c r="C151" s="201" t="s">
        <v>16974</v>
      </c>
      <c r="D151" s="148"/>
      <c r="E151" s="35"/>
      <c r="F151" s="198">
        <v>6.94</v>
      </c>
      <c r="G151" s="6"/>
      <c r="H151" s="239"/>
      <c r="I151" s="233"/>
      <c r="J151" s="233"/>
      <c r="K151" s="233"/>
      <c r="L151" s="233"/>
      <c r="M151" s="233"/>
      <c r="N151" s="233"/>
    </row>
    <row r="152" spans="1:14" x14ac:dyDescent="0.2">
      <c r="A152" s="200">
        <v>44405</v>
      </c>
      <c r="B152" s="199" t="s">
        <v>16971</v>
      </c>
      <c r="C152" s="201" t="s">
        <v>16972</v>
      </c>
      <c r="D152" s="148"/>
      <c r="E152" s="35"/>
      <c r="F152" s="198">
        <v>0.7</v>
      </c>
      <c r="G152" s="6"/>
      <c r="H152" s="239"/>
      <c r="I152" s="233"/>
      <c r="J152" s="233"/>
      <c r="K152" s="233"/>
      <c r="L152" s="233"/>
      <c r="M152" s="233"/>
      <c r="N152" s="233"/>
    </row>
    <row r="153" spans="1:14" x14ac:dyDescent="0.2">
      <c r="A153" s="200">
        <v>44405</v>
      </c>
      <c r="B153" s="199" t="s">
        <v>16969</v>
      </c>
      <c r="C153" s="201" t="s">
        <v>16970</v>
      </c>
      <c r="D153" s="148"/>
      <c r="E153" s="35"/>
      <c r="F153" s="198">
        <v>2.17</v>
      </c>
      <c r="G153" s="6"/>
      <c r="H153" s="239"/>
      <c r="I153" s="233"/>
      <c r="J153" s="233"/>
      <c r="K153" s="233"/>
      <c r="L153" s="233"/>
      <c r="M153" s="233"/>
      <c r="N153" s="233"/>
    </row>
    <row r="154" spans="1:14" x14ac:dyDescent="0.2">
      <c r="A154" s="200">
        <v>44405</v>
      </c>
      <c r="B154" s="199" t="s">
        <v>16967</v>
      </c>
      <c r="C154" s="201" t="s">
        <v>16968</v>
      </c>
      <c r="D154" s="148"/>
      <c r="E154" s="35"/>
      <c r="F154" s="232">
        <v>1.68</v>
      </c>
      <c r="G154" s="6"/>
      <c r="H154" s="239"/>
      <c r="I154" s="233"/>
      <c r="J154" s="233"/>
      <c r="K154" s="233"/>
      <c r="L154" s="233"/>
      <c r="M154" s="233"/>
      <c r="N154" s="233"/>
    </row>
    <row r="155" spans="1:14" x14ac:dyDescent="0.2">
      <c r="A155" s="200">
        <v>44405</v>
      </c>
      <c r="B155" s="199" t="s">
        <v>16965</v>
      </c>
      <c r="C155" s="201" t="s">
        <v>16966</v>
      </c>
      <c r="D155" s="148"/>
      <c r="E155" s="35"/>
      <c r="F155" s="232">
        <v>5.55</v>
      </c>
      <c r="G155" s="6"/>
      <c r="H155" s="239"/>
      <c r="I155" s="233"/>
      <c r="J155" s="233"/>
      <c r="K155" s="233"/>
      <c r="L155" s="233"/>
      <c r="M155" s="233"/>
      <c r="N155" s="233"/>
    </row>
    <row r="156" spans="1:14" x14ac:dyDescent="0.2">
      <c r="A156" s="200">
        <v>44405</v>
      </c>
      <c r="B156" s="199" t="s">
        <v>16963</v>
      </c>
      <c r="C156" s="201" t="s">
        <v>16964</v>
      </c>
      <c r="D156" s="148"/>
      <c r="E156" s="35"/>
      <c r="F156" s="232">
        <v>32.14</v>
      </c>
      <c r="G156" s="6"/>
      <c r="H156" s="239"/>
      <c r="I156" s="233"/>
      <c r="J156" s="233"/>
      <c r="K156" s="233"/>
      <c r="L156" s="233"/>
      <c r="M156" s="233"/>
      <c r="N156" s="233"/>
    </row>
    <row r="157" spans="1:14" x14ac:dyDescent="0.2">
      <c r="A157" s="200">
        <v>44405</v>
      </c>
      <c r="B157" s="199" t="s">
        <v>16961</v>
      </c>
      <c r="C157" s="201" t="s">
        <v>16962</v>
      </c>
      <c r="D157" s="148"/>
      <c r="E157" s="35"/>
      <c r="F157" s="232">
        <v>8.4600000000000009</v>
      </c>
      <c r="G157" s="6"/>
      <c r="H157" s="239"/>
      <c r="I157" s="233"/>
      <c r="J157" s="233"/>
      <c r="K157" s="233"/>
      <c r="L157" s="233"/>
      <c r="M157" s="233"/>
      <c r="N157" s="233"/>
    </row>
    <row r="158" spans="1:14" x14ac:dyDescent="0.2">
      <c r="A158" s="200">
        <v>44405</v>
      </c>
      <c r="B158" s="199" t="s">
        <v>16959</v>
      </c>
      <c r="C158" s="201" t="s">
        <v>16960</v>
      </c>
      <c r="D158" s="148"/>
      <c r="E158" s="35"/>
      <c r="F158" s="232">
        <v>3.24</v>
      </c>
      <c r="G158" s="6"/>
      <c r="H158" s="239"/>
      <c r="I158" s="233"/>
      <c r="J158" s="233"/>
      <c r="K158" s="233"/>
      <c r="L158" s="233"/>
      <c r="M158" s="233"/>
      <c r="N158" s="233"/>
    </row>
    <row r="159" spans="1:14" x14ac:dyDescent="0.2">
      <c r="A159" s="200">
        <v>44405</v>
      </c>
      <c r="B159" s="199" t="s">
        <v>16957</v>
      </c>
      <c r="C159" s="201" t="s">
        <v>16958</v>
      </c>
      <c r="D159" s="148"/>
      <c r="E159" s="35"/>
      <c r="F159" s="232">
        <v>1.94</v>
      </c>
      <c r="G159" s="6"/>
      <c r="H159" s="239"/>
      <c r="I159" s="233"/>
      <c r="J159" s="233"/>
      <c r="K159" s="233"/>
      <c r="L159" s="233"/>
      <c r="M159" s="233"/>
      <c r="N159" s="233"/>
    </row>
    <row r="160" spans="1:14" x14ac:dyDescent="0.2">
      <c r="A160" s="200">
        <v>44405</v>
      </c>
      <c r="B160" s="199" t="s">
        <v>16955</v>
      </c>
      <c r="C160" s="201" t="s">
        <v>16956</v>
      </c>
      <c r="D160" s="148"/>
      <c r="E160" s="35"/>
      <c r="F160" s="232">
        <v>17.25</v>
      </c>
      <c r="G160" s="6"/>
      <c r="H160" s="239"/>
      <c r="I160" s="233"/>
      <c r="J160" s="233"/>
      <c r="K160" s="233"/>
      <c r="L160" s="233"/>
      <c r="M160" s="233"/>
      <c r="N160" s="233"/>
    </row>
    <row r="161" spans="1:14" x14ac:dyDescent="0.2">
      <c r="A161" s="200">
        <v>44405</v>
      </c>
      <c r="B161" s="199" t="s">
        <v>16953</v>
      </c>
      <c r="C161" s="201" t="s">
        <v>16954</v>
      </c>
      <c r="D161" s="148"/>
      <c r="E161" s="35"/>
      <c r="F161" s="232">
        <v>5.58</v>
      </c>
      <c r="G161" s="6"/>
      <c r="H161" s="239"/>
      <c r="I161" s="233"/>
      <c r="J161" s="233"/>
      <c r="K161" s="233"/>
      <c r="L161" s="233"/>
      <c r="M161" s="233"/>
      <c r="N161" s="233"/>
    </row>
    <row r="162" spans="1:14" x14ac:dyDescent="0.2">
      <c r="A162" s="200">
        <v>44405</v>
      </c>
      <c r="B162" s="199" t="s">
        <v>16951</v>
      </c>
      <c r="C162" s="201" t="s">
        <v>16952</v>
      </c>
      <c r="D162" s="148"/>
      <c r="E162" s="35"/>
      <c r="F162" s="232">
        <v>3.6</v>
      </c>
      <c r="G162" s="6"/>
      <c r="H162" s="239"/>
      <c r="I162" s="233"/>
      <c r="J162" s="233"/>
      <c r="K162" s="233"/>
      <c r="L162" s="233"/>
      <c r="M162" s="233"/>
      <c r="N162" s="233"/>
    </row>
    <row r="163" spans="1:14" x14ac:dyDescent="0.2">
      <c r="A163" s="200">
        <v>44405</v>
      </c>
      <c r="B163" s="199" t="s">
        <v>16949</v>
      </c>
      <c r="C163" s="201" t="s">
        <v>16950</v>
      </c>
      <c r="D163" s="148"/>
      <c r="E163" s="35"/>
      <c r="F163" s="232">
        <v>8.3800000000000008</v>
      </c>
      <c r="G163" s="6"/>
      <c r="H163" s="239"/>
      <c r="I163" s="233"/>
      <c r="J163" s="233"/>
      <c r="K163" s="233"/>
      <c r="L163" s="233"/>
      <c r="M163" s="233"/>
      <c r="N163" s="233"/>
    </row>
    <row r="164" spans="1:14" x14ac:dyDescent="0.2">
      <c r="A164" s="200">
        <v>44405</v>
      </c>
      <c r="B164" s="199" t="s">
        <v>16947</v>
      </c>
      <c r="C164" s="201" t="s">
        <v>16948</v>
      </c>
      <c r="D164" s="148"/>
      <c r="E164" s="35"/>
      <c r="F164" s="232">
        <v>8.3800000000000008</v>
      </c>
      <c r="G164" s="6"/>
      <c r="H164" s="239"/>
      <c r="I164" s="233"/>
      <c r="J164" s="233"/>
      <c r="K164" s="233"/>
      <c r="L164" s="233"/>
      <c r="M164" s="233"/>
      <c r="N164" s="233"/>
    </row>
    <row r="165" spans="1:14" x14ac:dyDescent="0.2">
      <c r="A165" s="200">
        <v>44405</v>
      </c>
      <c r="B165" s="199" t="s">
        <v>16945</v>
      </c>
      <c r="C165" s="201" t="s">
        <v>16946</v>
      </c>
      <c r="D165" s="148"/>
      <c r="E165" s="35"/>
      <c r="F165" s="232">
        <v>2.2799999999999998</v>
      </c>
      <c r="G165" s="6"/>
      <c r="H165" s="239"/>
      <c r="I165" s="233"/>
      <c r="J165" s="233"/>
      <c r="K165" s="236"/>
      <c r="L165" s="233"/>
      <c r="M165" s="233"/>
      <c r="N165" s="233"/>
    </row>
    <row r="166" spans="1:14" x14ac:dyDescent="0.2">
      <c r="A166" s="200">
        <v>44405</v>
      </c>
      <c r="B166" s="199" t="s">
        <v>16943</v>
      </c>
      <c r="C166" s="201" t="s">
        <v>16944</v>
      </c>
      <c r="D166" s="148"/>
      <c r="E166" s="35"/>
      <c r="F166" s="232">
        <v>9.94</v>
      </c>
      <c r="G166" s="6"/>
      <c r="H166" s="239"/>
      <c r="I166" s="233"/>
      <c r="J166" s="233"/>
      <c r="K166" s="233"/>
      <c r="L166" s="233"/>
      <c r="M166" s="233"/>
      <c r="N166" s="233"/>
    </row>
    <row r="167" spans="1:14" x14ac:dyDescent="0.2">
      <c r="A167" s="200">
        <v>44405</v>
      </c>
      <c r="B167" s="199" t="s">
        <v>16941</v>
      </c>
      <c r="C167" s="201" t="s">
        <v>16942</v>
      </c>
      <c r="D167" s="148"/>
      <c r="E167" s="35"/>
      <c r="F167" s="232">
        <v>1.68</v>
      </c>
      <c r="G167" s="6"/>
      <c r="H167" s="239"/>
      <c r="I167" s="233"/>
      <c r="J167" s="233"/>
      <c r="K167" s="233"/>
      <c r="L167" s="233"/>
      <c r="M167" s="233"/>
      <c r="N167" s="233"/>
    </row>
    <row r="168" spans="1:14" x14ac:dyDescent="0.2">
      <c r="A168" s="200">
        <v>44405</v>
      </c>
      <c r="B168" s="199" t="s">
        <v>16939</v>
      </c>
      <c r="C168" s="201" t="s">
        <v>16940</v>
      </c>
      <c r="D168" s="148"/>
      <c r="E168" s="35"/>
      <c r="F168" s="232">
        <v>8.3800000000000008</v>
      </c>
      <c r="G168" s="6"/>
      <c r="H168" s="239"/>
      <c r="I168" s="233"/>
      <c r="J168" s="233"/>
      <c r="K168" s="233"/>
      <c r="L168" s="233"/>
      <c r="M168" s="233"/>
      <c r="N168" s="233"/>
    </row>
    <row r="169" spans="1:14" x14ac:dyDescent="0.2">
      <c r="A169" s="200">
        <v>44405</v>
      </c>
      <c r="B169" s="199" t="s">
        <v>16937</v>
      </c>
      <c r="C169" s="201" t="s">
        <v>16938</v>
      </c>
      <c r="D169" s="148"/>
      <c r="E169" s="35"/>
      <c r="F169" s="232">
        <v>8.3800000000000008</v>
      </c>
      <c r="G169" s="6"/>
      <c r="H169" s="239"/>
      <c r="I169" s="233"/>
      <c r="J169" s="233"/>
      <c r="K169" s="233"/>
      <c r="L169" s="236"/>
      <c r="M169" s="233"/>
      <c r="N169" s="233"/>
    </row>
    <row r="170" spans="1:14" x14ac:dyDescent="0.2">
      <c r="A170" s="200">
        <v>44405</v>
      </c>
      <c r="B170" s="199" t="s">
        <v>16935</v>
      </c>
      <c r="C170" s="201" t="s">
        <v>16936</v>
      </c>
      <c r="D170" s="148"/>
      <c r="E170" s="35"/>
      <c r="F170" s="232">
        <v>8.3800000000000008</v>
      </c>
      <c r="G170" s="6"/>
      <c r="H170" s="239"/>
      <c r="I170" s="233"/>
      <c r="J170" s="233"/>
      <c r="K170" s="233"/>
      <c r="L170" s="233"/>
      <c r="M170" s="233"/>
      <c r="N170" s="233"/>
    </row>
    <row r="171" spans="1:14" x14ac:dyDescent="0.2">
      <c r="A171" s="200">
        <v>44405</v>
      </c>
      <c r="B171" s="199" t="s">
        <v>16933</v>
      </c>
      <c r="C171" s="201" t="s">
        <v>16934</v>
      </c>
      <c r="D171" s="148"/>
      <c r="E171" s="35"/>
      <c r="F171" s="232">
        <v>5.82</v>
      </c>
      <c r="G171" s="6"/>
      <c r="H171" s="239"/>
      <c r="I171" s="233"/>
      <c r="J171" s="233"/>
      <c r="K171" s="233"/>
      <c r="L171" s="233"/>
      <c r="M171" s="233"/>
      <c r="N171" s="233"/>
    </row>
    <row r="172" spans="1:14" x14ac:dyDescent="0.2">
      <c r="A172" s="200">
        <v>44405</v>
      </c>
      <c r="B172" s="199" t="s">
        <v>16931</v>
      </c>
      <c r="C172" s="201" t="s">
        <v>16932</v>
      </c>
      <c r="D172" s="148"/>
      <c r="E172" s="35"/>
      <c r="F172" s="232">
        <v>4.5599999999999996</v>
      </c>
      <c r="G172" s="6"/>
      <c r="H172" s="239"/>
      <c r="I172" s="240"/>
      <c r="J172" s="233"/>
      <c r="K172" s="233"/>
      <c r="L172" s="233"/>
      <c r="M172" s="233"/>
      <c r="N172" s="233"/>
    </row>
    <row r="173" spans="1:14" x14ac:dyDescent="0.2">
      <c r="A173" s="200">
        <v>44405</v>
      </c>
      <c r="B173" s="199" t="s">
        <v>16929</v>
      </c>
      <c r="C173" s="201" t="s">
        <v>16930</v>
      </c>
      <c r="D173" s="148"/>
      <c r="E173" s="35"/>
      <c r="F173" s="232">
        <v>31.18</v>
      </c>
      <c r="G173" s="6"/>
      <c r="H173" s="239"/>
      <c r="I173" s="233"/>
      <c r="J173" s="233"/>
      <c r="K173" s="233"/>
      <c r="L173" s="233"/>
      <c r="M173" s="233"/>
      <c r="N173" s="233"/>
    </row>
    <row r="174" spans="1:14" x14ac:dyDescent="0.2">
      <c r="A174" s="200">
        <v>44405</v>
      </c>
      <c r="B174" s="199" t="s">
        <v>16927</v>
      </c>
      <c r="C174" s="201" t="s">
        <v>16928</v>
      </c>
      <c r="D174" s="148"/>
      <c r="E174" s="35"/>
      <c r="F174" s="232">
        <v>8.11</v>
      </c>
      <c r="G174" s="6"/>
      <c r="H174" s="239"/>
      <c r="I174" s="233"/>
      <c r="J174" s="233"/>
      <c r="K174" s="233"/>
      <c r="L174" s="233"/>
      <c r="M174" s="233"/>
      <c r="N174" s="233"/>
    </row>
    <row r="175" spans="1:14" x14ac:dyDescent="0.2">
      <c r="A175" s="200">
        <v>44405</v>
      </c>
      <c r="B175" s="199" t="s">
        <v>16925</v>
      </c>
      <c r="C175" s="201" t="s">
        <v>16926</v>
      </c>
      <c r="D175" s="148"/>
      <c r="E175" s="35"/>
      <c r="F175" s="232">
        <v>24.6</v>
      </c>
      <c r="G175" s="6"/>
      <c r="H175" s="239"/>
      <c r="I175" s="233"/>
      <c r="J175" s="233"/>
      <c r="K175" s="233"/>
      <c r="L175" s="233"/>
      <c r="M175" s="233"/>
      <c r="N175" s="233"/>
    </row>
    <row r="176" spans="1:14" x14ac:dyDescent="0.2">
      <c r="A176" s="200">
        <v>44405</v>
      </c>
      <c r="B176" s="199" t="s">
        <v>16923</v>
      </c>
      <c r="C176" s="201" t="s">
        <v>16924</v>
      </c>
      <c r="D176" s="148"/>
      <c r="E176" s="35"/>
      <c r="F176" s="232">
        <v>0.03</v>
      </c>
      <c r="G176" s="6"/>
      <c r="H176" s="239"/>
      <c r="I176" s="233"/>
      <c r="J176" s="233"/>
      <c r="K176" s="233"/>
      <c r="L176" s="233"/>
      <c r="M176" s="233"/>
      <c r="N176" s="233"/>
    </row>
    <row r="177" spans="1:14" x14ac:dyDescent="0.2">
      <c r="A177" s="200">
        <v>44405</v>
      </c>
      <c r="B177" s="199" t="s">
        <v>16921</v>
      </c>
      <c r="C177" s="201" t="s">
        <v>16922</v>
      </c>
      <c r="D177" s="148"/>
      <c r="E177" s="35"/>
      <c r="F177" s="232">
        <v>7.58</v>
      </c>
      <c r="G177" s="6"/>
      <c r="H177" s="239"/>
      <c r="I177" s="233"/>
      <c r="J177" s="233"/>
      <c r="K177" s="233"/>
      <c r="L177" s="233"/>
      <c r="M177" s="236"/>
      <c r="N177" s="233"/>
    </row>
    <row r="178" spans="1:14" x14ac:dyDescent="0.2">
      <c r="A178" s="200">
        <v>44406</v>
      </c>
      <c r="B178" s="199" t="s">
        <v>16889</v>
      </c>
      <c r="C178" s="201" t="s">
        <v>16890</v>
      </c>
      <c r="D178" s="148"/>
      <c r="E178" s="35"/>
      <c r="F178" s="232">
        <v>1.68</v>
      </c>
      <c r="G178" s="6"/>
      <c r="H178" s="239"/>
      <c r="I178" s="233"/>
      <c r="J178" s="233"/>
      <c r="K178" s="233"/>
      <c r="L178" s="233"/>
      <c r="M178" s="233"/>
      <c r="N178" s="233"/>
    </row>
    <row r="179" spans="1:14" x14ac:dyDescent="0.2">
      <c r="A179" s="200">
        <v>44406</v>
      </c>
      <c r="B179" s="199" t="s">
        <v>16887</v>
      </c>
      <c r="C179" s="201" t="s">
        <v>16888</v>
      </c>
      <c r="D179" s="148"/>
      <c r="E179" s="35"/>
      <c r="F179" s="232">
        <v>22.9</v>
      </c>
      <c r="G179" s="6"/>
      <c r="H179" s="239"/>
      <c r="I179" s="233"/>
      <c r="J179" s="233"/>
      <c r="K179" s="233"/>
      <c r="L179" s="233"/>
      <c r="M179" s="233"/>
      <c r="N179" s="233"/>
    </row>
    <row r="180" spans="1:14" x14ac:dyDescent="0.2">
      <c r="A180" s="200">
        <v>44406</v>
      </c>
      <c r="B180" s="199" t="s">
        <v>16885</v>
      </c>
      <c r="C180" s="201" t="s">
        <v>16886</v>
      </c>
      <c r="D180" s="148"/>
      <c r="E180" s="35"/>
      <c r="F180" s="232">
        <v>5.82</v>
      </c>
      <c r="G180" s="6"/>
      <c r="H180" s="239"/>
      <c r="I180" s="233"/>
      <c r="J180" s="233"/>
      <c r="K180" s="233"/>
      <c r="L180" s="233"/>
      <c r="M180" s="233"/>
      <c r="N180" s="233"/>
    </row>
    <row r="181" spans="1:14" x14ac:dyDescent="0.2">
      <c r="A181" s="200">
        <v>44406</v>
      </c>
      <c r="B181" s="199" t="s">
        <v>16883</v>
      </c>
      <c r="C181" s="201" t="s">
        <v>16884</v>
      </c>
      <c r="D181" s="148"/>
      <c r="E181" s="35"/>
      <c r="F181" s="232">
        <v>13.54</v>
      </c>
      <c r="G181" s="6"/>
      <c r="H181" s="239"/>
      <c r="I181" s="233"/>
      <c r="J181" s="233"/>
      <c r="K181" s="233"/>
      <c r="L181" s="233"/>
      <c r="M181" s="233"/>
      <c r="N181" s="233"/>
    </row>
    <row r="182" spans="1:14" x14ac:dyDescent="0.2">
      <c r="A182" s="200">
        <v>44406</v>
      </c>
      <c r="B182" s="199" t="s">
        <v>16881</v>
      </c>
      <c r="C182" s="201" t="s">
        <v>16882</v>
      </c>
      <c r="D182" s="148"/>
      <c r="E182" s="35"/>
      <c r="F182" s="232">
        <v>8.6199999999999992</v>
      </c>
      <c r="G182" s="6"/>
      <c r="H182" s="5"/>
    </row>
    <row r="183" spans="1:14" x14ac:dyDescent="0.2">
      <c r="A183" s="200">
        <v>44406</v>
      </c>
      <c r="B183" s="199" t="s">
        <v>16879</v>
      </c>
      <c r="C183" s="201" t="s">
        <v>16880</v>
      </c>
      <c r="D183" s="148"/>
      <c r="E183" s="35"/>
      <c r="F183" s="232">
        <v>2.5099999999999998</v>
      </c>
      <c r="G183" s="6"/>
      <c r="H183" s="5"/>
    </row>
    <row r="184" spans="1:14" x14ac:dyDescent="0.2">
      <c r="A184" s="200">
        <v>44406</v>
      </c>
      <c r="B184" s="199" t="s">
        <v>16877</v>
      </c>
      <c r="C184" s="201" t="s">
        <v>16878</v>
      </c>
      <c r="D184" s="148"/>
      <c r="E184" s="35"/>
      <c r="F184" s="232">
        <v>13.82</v>
      </c>
      <c r="G184" s="6"/>
      <c r="H184" s="5"/>
    </row>
    <row r="185" spans="1:14" x14ac:dyDescent="0.2">
      <c r="A185" s="200">
        <v>44406</v>
      </c>
      <c r="B185" s="199" t="s">
        <v>16875</v>
      </c>
      <c r="C185" s="201" t="s">
        <v>16876</v>
      </c>
      <c r="D185" s="148"/>
      <c r="E185" s="35"/>
      <c r="F185" s="232">
        <v>3.37</v>
      </c>
      <c r="G185" s="6"/>
      <c r="H185" s="5"/>
    </row>
    <row r="186" spans="1:14" x14ac:dyDescent="0.2">
      <c r="A186" s="200">
        <v>44406</v>
      </c>
      <c r="B186" s="199" t="s">
        <v>16873</v>
      </c>
      <c r="C186" s="201" t="s">
        <v>16874</v>
      </c>
      <c r="D186" s="148"/>
      <c r="E186" s="35"/>
      <c r="F186" s="232">
        <v>1.68</v>
      </c>
      <c r="G186" s="6"/>
      <c r="H186" s="5"/>
    </row>
    <row r="187" spans="1:14" x14ac:dyDescent="0.2">
      <c r="A187" s="200">
        <v>44406</v>
      </c>
      <c r="B187" s="199" t="s">
        <v>16871</v>
      </c>
      <c r="C187" s="201" t="s">
        <v>16872</v>
      </c>
      <c r="D187" s="148"/>
      <c r="E187" s="35"/>
      <c r="F187" s="232">
        <v>6.99</v>
      </c>
      <c r="G187" s="6"/>
      <c r="H187" s="5"/>
    </row>
    <row r="188" spans="1:14" x14ac:dyDescent="0.2">
      <c r="A188" s="200">
        <v>44406</v>
      </c>
      <c r="B188" s="199" t="s">
        <v>16869</v>
      </c>
      <c r="C188" s="201" t="s">
        <v>16870</v>
      </c>
      <c r="D188" s="148"/>
      <c r="E188" s="35"/>
      <c r="F188" s="232">
        <v>30.1</v>
      </c>
      <c r="G188" s="6"/>
      <c r="H188" s="5"/>
    </row>
    <row r="189" spans="1:14" x14ac:dyDescent="0.2">
      <c r="A189" s="200">
        <v>44406</v>
      </c>
      <c r="B189" s="199" t="s">
        <v>16867</v>
      </c>
      <c r="C189" s="201" t="s">
        <v>16868</v>
      </c>
      <c r="D189" s="148"/>
      <c r="E189" s="35"/>
      <c r="F189" s="232">
        <v>17.600000000000001</v>
      </c>
      <c r="G189" s="6"/>
      <c r="H189" s="5"/>
    </row>
    <row r="190" spans="1:14" x14ac:dyDescent="0.2">
      <c r="A190" s="200">
        <v>44406</v>
      </c>
      <c r="B190" s="199" t="s">
        <v>16865</v>
      </c>
      <c r="C190" s="201" t="s">
        <v>16866</v>
      </c>
      <c r="D190" s="148"/>
      <c r="E190" s="35"/>
      <c r="F190" s="232">
        <v>4.8499999999999996</v>
      </c>
      <c r="G190" s="6"/>
      <c r="H190" s="5"/>
    </row>
    <row r="191" spans="1:14" x14ac:dyDescent="0.2">
      <c r="A191" s="200">
        <v>44406</v>
      </c>
      <c r="B191" s="199" t="s">
        <v>16863</v>
      </c>
      <c r="C191" s="201" t="s">
        <v>16864</v>
      </c>
      <c r="D191" s="148"/>
      <c r="E191" s="35"/>
      <c r="F191" s="232">
        <v>1.68</v>
      </c>
      <c r="G191" s="6"/>
      <c r="H191" s="5"/>
    </row>
    <row r="192" spans="1:14" x14ac:dyDescent="0.2">
      <c r="A192" s="200">
        <v>44406</v>
      </c>
      <c r="B192" s="199" t="s">
        <v>16861</v>
      </c>
      <c r="C192" s="201" t="s">
        <v>16862</v>
      </c>
      <c r="D192" s="148"/>
      <c r="E192" s="35"/>
      <c r="F192" s="232">
        <v>1.68</v>
      </c>
      <c r="G192" s="6"/>
      <c r="H192" s="5"/>
    </row>
    <row r="193" spans="1:8" x14ac:dyDescent="0.2">
      <c r="A193" s="200">
        <v>44406</v>
      </c>
      <c r="B193" s="199" t="s">
        <v>16859</v>
      </c>
      <c r="C193" s="201" t="s">
        <v>16860</v>
      </c>
      <c r="D193" s="148"/>
      <c r="E193" s="35"/>
      <c r="F193" s="232">
        <v>43.17</v>
      </c>
      <c r="G193" s="6"/>
      <c r="H193" s="5"/>
    </row>
    <row r="194" spans="1:8" x14ac:dyDescent="0.2">
      <c r="A194" s="200">
        <v>44406</v>
      </c>
      <c r="B194" s="199" t="s">
        <v>16857</v>
      </c>
      <c r="C194" s="201" t="s">
        <v>16858</v>
      </c>
      <c r="D194" s="148"/>
      <c r="E194" s="35"/>
      <c r="F194" s="232">
        <v>5.68</v>
      </c>
      <c r="G194" s="6"/>
      <c r="H194" s="5"/>
    </row>
    <row r="195" spans="1:8" x14ac:dyDescent="0.2">
      <c r="A195" s="200">
        <v>44406</v>
      </c>
      <c r="B195" s="199" t="s">
        <v>16855</v>
      </c>
      <c r="C195" s="201" t="s">
        <v>16856</v>
      </c>
      <c r="D195" s="148"/>
      <c r="E195" s="35"/>
      <c r="F195" s="232">
        <v>2.1800000000000002</v>
      </c>
      <c r="G195" s="6"/>
      <c r="H195" s="5"/>
    </row>
    <row r="196" spans="1:8" x14ac:dyDescent="0.2">
      <c r="A196" s="200">
        <v>44406</v>
      </c>
      <c r="B196" s="199" t="s">
        <v>16853</v>
      </c>
      <c r="C196" s="201" t="s">
        <v>16854</v>
      </c>
      <c r="D196" s="148"/>
      <c r="E196" s="35"/>
      <c r="F196" s="232">
        <v>8.5</v>
      </c>
      <c r="G196" s="6"/>
      <c r="H196" s="5"/>
    </row>
    <row r="197" spans="1:8" x14ac:dyDescent="0.2">
      <c r="A197" s="200">
        <v>44406</v>
      </c>
      <c r="B197" s="199" t="s">
        <v>16851</v>
      </c>
      <c r="C197" s="201" t="s">
        <v>16852</v>
      </c>
      <c r="D197" s="148"/>
      <c r="E197" s="35"/>
      <c r="F197" s="232">
        <v>3</v>
      </c>
      <c r="G197" s="6"/>
      <c r="H197" s="5"/>
    </row>
    <row r="198" spans="1:8" x14ac:dyDescent="0.2">
      <c r="A198" s="200">
        <v>44406</v>
      </c>
      <c r="B198" s="199" t="s">
        <v>16849</v>
      </c>
      <c r="C198" s="201" t="s">
        <v>16850</v>
      </c>
      <c r="D198" s="148"/>
      <c r="E198" s="35"/>
      <c r="F198" s="232">
        <v>16.760000000000002</v>
      </c>
      <c r="G198" s="6"/>
      <c r="H198" s="5"/>
    </row>
    <row r="199" spans="1:8" x14ac:dyDescent="0.2">
      <c r="A199" s="200">
        <v>44406</v>
      </c>
      <c r="B199" s="199" t="s">
        <v>16847</v>
      </c>
      <c r="C199" s="201" t="s">
        <v>16848</v>
      </c>
      <c r="D199" s="148"/>
      <c r="E199" s="35"/>
      <c r="F199" s="232">
        <v>13.51</v>
      </c>
      <c r="G199" s="6"/>
      <c r="H199" s="5"/>
    </row>
    <row r="200" spans="1:8" x14ac:dyDescent="0.2">
      <c r="A200" s="200">
        <v>44406</v>
      </c>
      <c r="B200" s="199" t="s">
        <v>16845</v>
      </c>
      <c r="C200" s="201" t="s">
        <v>16846</v>
      </c>
      <c r="D200" s="148"/>
      <c r="E200" s="35"/>
      <c r="F200" s="232">
        <v>33.25</v>
      </c>
      <c r="G200" s="6"/>
      <c r="H200" s="5"/>
    </row>
    <row r="201" spans="1:8" x14ac:dyDescent="0.2">
      <c r="A201" s="200">
        <v>44406</v>
      </c>
      <c r="B201" s="199" t="s">
        <v>16843</v>
      </c>
      <c r="C201" s="201" t="s">
        <v>16844</v>
      </c>
      <c r="D201" s="148"/>
      <c r="E201" s="35"/>
      <c r="F201" s="232">
        <v>2.0699999999999998</v>
      </c>
      <c r="G201" s="6"/>
      <c r="H201" s="5"/>
    </row>
    <row r="202" spans="1:8" x14ac:dyDescent="0.2">
      <c r="A202" s="200">
        <v>44406</v>
      </c>
      <c r="B202" s="199" t="s">
        <v>16841</v>
      </c>
      <c r="C202" s="201" t="s">
        <v>16842</v>
      </c>
      <c r="D202" s="148"/>
      <c r="E202" s="35"/>
      <c r="F202" s="232">
        <v>1.94</v>
      </c>
      <c r="G202" s="6"/>
      <c r="H202" s="5"/>
    </row>
    <row r="203" spans="1:8" x14ac:dyDescent="0.2">
      <c r="A203" s="200">
        <v>44406</v>
      </c>
      <c r="B203" s="199" t="s">
        <v>16839</v>
      </c>
      <c r="C203" s="201" t="s">
        <v>16840</v>
      </c>
      <c r="D203" s="148"/>
      <c r="E203" s="35"/>
      <c r="F203" s="232">
        <v>0.68</v>
      </c>
      <c r="G203" s="6"/>
      <c r="H203" s="5"/>
    </row>
    <row r="204" spans="1:8" x14ac:dyDescent="0.2">
      <c r="A204" s="200">
        <v>44406</v>
      </c>
      <c r="B204" s="199" t="s">
        <v>16837</v>
      </c>
      <c r="C204" s="201" t="s">
        <v>16838</v>
      </c>
      <c r="D204" s="148"/>
      <c r="E204" s="35"/>
      <c r="F204" s="232">
        <v>6.96</v>
      </c>
      <c r="G204" s="6"/>
      <c r="H204" s="5"/>
    </row>
    <row r="205" spans="1:8" x14ac:dyDescent="0.2">
      <c r="A205" s="200">
        <v>44406</v>
      </c>
      <c r="B205" s="199" t="s">
        <v>16835</v>
      </c>
      <c r="C205" s="201" t="s">
        <v>16836</v>
      </c>
      <c r="D205" s="148"/>
      <c r="E205" s="35"/>
      <c r="F205" s="232">
        <v>1.84</v>
      </c>
      <c r="G205" s="6"/>
      <c r="H205" s="5"/>
    </row>
    <row r="206" spans="1:8" x14ac:dyDescent="0.2">
      <c r="A206" s="200">
        <v>44406</v>
      </c>
      <c r="B206" s="199" t="s">
        <v>16833</v>
      </c>
      <c r="C206" s="201" t="s">
        <v>16834</v>
      </c>
      <c r="D206" s="148"/>
      <c r="E206" s="35"/>
      <c r="F206" s="232">
        <v>5.04</v>
      </c>
      <c r="G206" s="6"/>
      <c r="H206" s="5"/>
    </row>
    <row r="207" spans="1:8" x14ac:dyDescent="0.2">
      <c r="A207" s="200">
        <v>44406</v>
      </c>
      <c r="B207" s="199" t="s">
        <v>16831</v>
      </c>
      <c r="C207" s="201" t="s">
        <v>16832</v>
      </c>
      <c r="D207" s="148"/>
      <c r="E207" s="35"/>
      <c r="F207" s="232">
        <v>3.39</v>
      </c>
      <c r="G207" s="6"/>
      <c r="H207" s="5"/>
    </row>
    <row r="208" spans="1:8" x14ac:dyDescent="0.2">
      <c r="A208" s="200">
        <v>44406</v>
      </c>
      <c r="B208" s="199" t="s">
        <v>16829</v>
      </c>
      <c r="C208" s="201" t="s">
        <v>16830</v>
      </c>
      <c r="D208" s="148"/>
      <c r="E208" s="35"/>
      <c r="F208" s="232">
        <v>0.26</v>
      </c>
      <c r="G208" s="6"/>
      <c r="H208" s="5"/>
    </row>
    <row r="209" spans="1:8" x14ac:dyDescent="0.2">
      <c r="A209" s="200">
        <v>44406</v>
      </c>
      <c r="B209" s="199" t="s">
        <v>16827</v>
      </c>
      <c r="C209" s="201" t="s">
        <v>16828</v>
      </c>
      <c r="D209" s="148"/>
      <c r="E209" s="35"/>
      <c r="F209" s="232">
        <v>4.58</v>
      </c>
      <c r="G209" s="6"/>
      <c r="H209" s="5"/>
    </row>
    <row r="210" spans="1:8" x14ac:dyDescent="0.2">
      <c r="A210" s="200">
        <v>44406</v>
      </c>
      <c r="B210" s="199" t="s">
        <v>16825</v>
      </c>
      <c r="C210" s="201" t="s">
        <v>16826</v>
      </c>
      <c r="D210" s="148"/>
      <c r="E210" s="35"/>
      <c r="F210" s="232">
        <v>2.77</v>
      </c>
      <c r="G210" s="6"/>
      <c r="H210" s="5"/>
    </row>
    <row r="211" spans="1:8" x14ac:dyDescent="0.2">
      <c r="A211" s="200">
        <v>44406</v>
      </c>
      <c r="B211" s="199" t="s">
        <v>16823</v>
      </c>
      <c r="C211" s="201" t="s">
        <v>16824</v>
      </c>
      <c r="D211" s="148"/>
      <c r="E211" s="35"/>
      <c r="F211" s="232">
        <v>4.05</v>
      </c>
      <c r="G211" s="6"/>
      <c r="H211" s="5"/>
    </row>
    <row r="212" spans="1:8" x14ac:dyDescent="0.2">
      <c r="A212" s="200">
        <v>44406</v>
      </c>
      <c r="B212" s="199" t="s">
        <v>16821</v>
      </c>
      <c r="C212" s="201" t="s">
        <v>16822</v>
      </c>
      <c r="D212" s="148"/>
      <c r="E212" s="35"/>
      <c r="F212" s="232">
        <v>5.26</v>
      </c>
      <c r="G212" s="6"/>
      <c r="H212" s="5"/>
    </row>
    <row r="213" spans="1:8" x14ac:dyDescent="0.2">
      <c r="A213" s="200">
        <v>44406</v>
      </c>
      <c r="B213" s="199" t="s">
        <v>16819</v>
      </c>
      <c r="C213" s="201" t="s">
        <v>16820</v>
      </c>
      <c r="D213" s="148"/>
      <c r="E213" s="35"/>
      <c r="F213" s="232">
        <v>1.84</v>
      </c>
      <c r="G213" s="6"/>
      <c r="H213" s="5"/>
    </row>
    <row r="214" spans="1:8" x14ac:dyDescent="0.2">
      <c r="A214" s="200">
        <v>44406</v>
      </c>
      <c r="B214" s="199" t="s">
        <v>16817</v>
      </c>
      <c r="C214" s="201" t="s">
        <v>16818</v>
      </c>
      <c r="D214" s="148"/>
      <c r="E214" s="35"/>
      <c r="F214" s="232">
        <v>8.08</v>
      </c>
      <c r="G214" s="6"/>
      <c r="H214" s="5"/>
    </row>
    <row r="215" spans="1:8" x14ac:dyDescent="0.2">
      <c r="A215" s="200">
        <v>44406</v>
      </c>
      <c r="B215" s="199" t="s">
        <v>16815</v>
      </c>
      <c r="C215" s="201" t="s">
        <v>16816</v>
      </c>
      <c r="D215" s="148"/>
      <c r="E215" s="35"/>
      <c r="F215" s="232">
        <v>6.3</v>
      </c>
      <c r="G215" s="6"/>
      <c r="H215" s="5"/>
    </row>
    <row r="216" spans="1:8" x14ac:dyDescent="0.2">
      <c r="A216" s="200">
        <v>44406</v>
      </c>
      <c r="B216" s="199" t="s">
        <v>16813</v>
      </c>
      <c r="C216" s="201" t="s">
        <v>16814</v>
      </c>
      <c r="D216" s="148"/>
      <c r="E216" s="35"/>
      <c r="F216" s="232">
        <v>5.45</v>
      </c>
      <c r="G216" s="6"/>
      <c r="H216" s="5"/>
    </row>
    <row r="217" spans="1:8" x14ac:dyDescent="0.2">
      <c r="A217" s="200">
        <v>44407</v>
      </c>
      <c r="B217" s="199" t="s">
        <v>16793</v>
      </c>
      <c r="C217" s="201" t="s">
        <v>16794</v>
      </c>
      <c r="D217" s="148"/>
      <c r="E217" s="35" t="s">
        <v>3577</v>
      </c>
      <c r="F217" s="232">
        <v>5.04</v>
      </c>
      <c r="G217" s="6"/>
      <c r="H217" s="5"/>
    </row>
    <row r="218" spans="1:8" x14ac:dyDescent="0.2">
      <c r="A218" s="200">
        <v>44407</v>
      </c>
      <c r="B218" s="199" t="s">
        <v>16791</v>
      </c>
      <c r="C218" s="201" t="s">
        <v>16792</v>
      </c>
      <c r="D218" s="148"/>
      <c r="E218" s="35" t="s">
        <v>3577</v>
      </c>
      <c r="F218" s="232">
        <v>5.04</v>
      </c>
      <c r="G218" s="6"/>
      <c r="H218" s="5"/>
    </row>
    <row r="219" spans="1:8" x14ac:dyDescent="0.2">
      <c r="A219" s="200">
        <v>44407</v>
      </c>
      <c r="B219" s="199" t="s">
        <v>16783</v>
      </c>
      <c r="C219" s="201" t="s">
        <v>16784</v>
      </c>
      <c r="D219" s="148"/>
      <c r="E219" s="35" t="s">
        <v>3577</v>
      </c>
      <c r="F219" s="232">
        <v>3.85</v>
      </c>
      <c r="G219" s="6"/>
      <c r="H219" s="5"/>
    </row>
    <row r="220" spans="1:8" x14ac:dyDescent="0.2">
      <c r="A220" s="200">
        <v>44407</v>
      </c>
      <c r="B220" s="199" t="s">
        <v>16781</v>
      </c>
      <c r="C220" s="201" t="s">
        <v>16782</v>
      </c>
      <c r="D220" s="148"/>
      <c r="E220" s="35" t="s">
        <v>3577</v>
      </c>
      <c r="F220" s="232">
        <v>17.760000000000002</v>
      </c>
      <c r="G220" s="6"/>
      <c r="H220" s="5"/>
    </row>
    <row r="221" spans="1:8" x14ac:dyDescent="0.2">
      <c r="A221" s="200">
        <v>44407</v>
      </c>
      <c r="B221" s="199" t="s">
        <v>16779</v>
      </c>
      <c r="C221" s="201" t="s">
        <v>16780</v>
      </c>
      <c r="D221" s="148"/>
      <c r="E221" s="35" t="s">
        <v>3577</v>
      </c>
      <c r="F221" s="232">
        <v>3.98</v>
      </c>
      <c r="G221" s="6"/>
      <c r="H221" s="5"/>
    </row>
    <row r="222" spans="1:8" x14ac:dyDescent="0.2">
      <c r="A222" s="200">
        <v>44407</v>
      </c>
      <c r="B222" s="199" t="s">
        <v>16777</v>
      </c>
      <c r="C222" s="201" t="s">
        <v>16778</v>
      </c>
      <c r="D222" s="148"/>
      <c r="E222" s="35" t="s">
        <v>3577</v>
      </c>
      <c r="F222" s="232">
        <v>3.48</v>
      </c>
      <c r="G222" s="6"/>
      <c r="H222" s="5"/>
    </row>
    <row r="223" spans="1:8" x14ac:dyDescent="0.2">
      <c r="A223" s="200">
        <v>44407</v>
      </c>
      <c r="B223" s="199" t="s">
        <v>16775</v>
      </c>
      <c r="C223" s="201" t="s">
        <v>16776</v>
      </c>
      <c r="D223" s="148"/>
      <c r="E223" s="35" t="s">
        <v>3577</v>
      </c>
      <c r="F223" s="232">
        <v>11.24</v>
      </c>
      <c r="G223" s="6"/>
      <c r="H223" s="5"/>
    </row>
    <row r="224" spans="1:8" x14ac:dyDescent="0.2">
      <c r="A224" s="200">
        <v>44407</v>
      </c>
      <c r="B224" s="199" t="s">
        <v>16773</v>
      </c>
      <c r="C224" s="201" t="s">
        <v>16774</v>
      </c>
      <c r="D224" s="148"/>
      <c r="E224" s="35" t="s">
        <v>3577</v>
      </c>
      <c r="F224" s="232">
        <v>5.04</v>
      </c>
      <c r="G224" s="6"/>
      <c r="H224" s="5"/>
    </row>
    <row r="225" spans="1:15" x14ac:dyDescent="0.2">
      <c r="A225" s="200">
        <v>44407</v>
      </c>
      <c r="B225" s="199" t="s">
        <v>16771</v>
      </c>
      <c r="C225" s="201" t="s">
        <v>16772</v>
      </c>
      <c r="D225" s="148"/>
      <c r="E225" s="35" t="s">
        <v>3577</v>
      </c>
      <c r="F225" s="232">
        <v>2.7</v>
      </c>
      <c r="G225" s="6"/>
      <c r="H225" s="5"/>
    </row>
    <row r="226" spans="1:15" x14ac:dyDescent="0.2">
      <c r="A226" s="200">
        <v>44407</v>
      </c>
      <c r="B226" s="199" t="s">
        <v>16769</v>
      </c>
      <c r="C226" s="201" t="s">
        <v>16770</v>
      </c>
      <c r="D226" s="148"/>
      <c r="E226" s="35" t="s">
        <v>3577</v>
      </c>
      <c r="F226" s="232">
        <v>1.68</v>
      </c>
      <c r="G226" s="6"/>
      <c r="H226" s="5"/>
    </row>
    <row r="227" spans="1:15" x14ac:dyDescent="0.2">
      <c r="A227" s="200">
        <v>44407</v>
      </c>
      <c r="B227" s="199" t="s">
        <v>16767</v>
      </c>
      <c r="C227" s="201" t="s">
        <v>16768</v>
      </c>
      <c r="D227" s="148"/>
      <c r="E227" s="35" t="s">
        <v>3577</v>
      </c>
      <c r="F227" s="232">
        <v>6.3</v>
      </c>
      <c r="G227" s="6"/>
      <c r="H227" s="5"/>
    </row>
    <row r="228" spans="1:15" x14ac:dyDescent="0.2">
      <c r="A228" s="200">
        <v>44407</v>
      </c>
      <c r="B228" s="199" t="s">
        <v>16765</v>
      </c>
      <c r="C228" s="201" t="s">
        <v>16766</v>
      </c>
      <c r="D228" s="148"/>
      <c r="E228" s="35" t="s">
        <v>3577</v>
      </c>
      <c r="F228" s="232">
        <v>10.45</v>
      </c>
      <c r="G228" s="6"/>
      <c r="H228" s="5"/>
    </row>
    <row r="229" spans="1:15" x14ac:dyDescent="0.2">
      <c r="A229" s="200">
        <v>44407</v>
      </c>
      <c r="B229" s="199" t="s">
        <v>16763</v>
      </c>
      <c r="C229" s="201" t="s">
        <v>16764</v>
      </c>
      <c r="D229" s="148"/>
      <c r="E229" s="35" t="s">
        <v>3577</v>
      </c>
      <c r="F229" s="232">
        <v>10.98</v>
      </c>
      <c r="G229" s="6"/>
      <c r="H229" s="5"/>
      <c r="O229" s="148"/>
    </row>
    <row r="230" spans="1:15" x14ac:dyDescent="0.2">
      <c r="A230" s="200">
        <v>44407</v>
      </c>
      <c r="B230" s="199" t="s">
        <v>16761</v>
      </c>
      <c r="C230" s="201" t="s">
        <v>16762</v>
      </c>
      <c r="D230" s="148"/>
      <c r="E230" s="35" t="s">
        <v>3577</v>
      </c>
      <c r="F230" s="232">
        <v>5.38</v>
      </c>
      <c r="G230" s="6"/>
      <c r="H230" s="5"/>
      <c r="O230" s="148"/>
    </row>
    <row r="231" spans="1:15" x14ac:dyDescent="0.2">
      <c r="A231" s="200">
        <v>44407</v>
      </c>
      <c r="B231" s="199" t="s">
        <v>16759</v>
      </c>
      <c r="C231" s="201" t="s">
        <v>16760</v>
      </c>
      <c r="D231" s="148"/>
      <c r="E231" s="35" t="s">
        <v>3577</v>
      </c>
      <c r="F231" s="232">
        <v>5.26</v>
      </c>
      <c r="G231" s="6"/>
      <c r="H231" s="5"/>
      <c r="O231" s="148"/>
    </row>
    <row r="232" spans="1:15" x14ac:dyDescent="0.2">
      <c r="A232" s="200">
        <v>44407</v>
      </c>
      <c r="B232" s="199" t="s">
        <v>16757</v>
      </c>
      <c r="C232" s="201" t="s">
        <v>16758</v>
      </c>
      <c r="D232" s="148"/>
      <c r="E232" s="35" t="s">
        <v>3577</v>
      </c>
      <c r="F232" s="232">
        <v>12.58</v>
      </c>
      <c r="G232" s="6"/>
      <c r="H232" s="5"/>
      <c r="O232" s="148"/>
    </row>
    <row r="233" spans="1:15" x14ac:dyDescent="0.2">
      <c r="A233" s="200">
        <v>44407</v>
      </c>
      <c r="B233" s="199" t="s">
        <v>16755</v>
      </c>
      <c r="C233" s="201" t="s">
        <v>16756</v>
      </c>
      <c r="D233" s="148"/>
      <c r="E233" s="35" t="s">
        <v>3577</v>
      </c>
      <c r="F233" s="232">
        <v>2.13</v>
      </c>
      <c r="G233" s="6"/>
      <c r="H233" s="5"/>
      <c r="O233" s="148"/>
    </row>
    <row r="234" spans="1:15" x14ac:dyDescent="0.2">
      <c r="A234" s="200">
        <v>44407</v>
      </c>
      <c r="B234" s="199" t="s">
        <v>16753</v>
      </c>
      <c r="C234" s="201" t="s">
        <v>16754</v>
      </c>
      <c r="D234" s="148"/>
      <c r="E234" s="35" t="s">
        <v>3577</v>
      </c>
      <c r="F234" s="232">
        <v>2.16</v>
      </c>
      <c r="G234" s="6"/>
      <c r="H234" s="5"/>
      <c r="O234" s="148"/>
    </row>
    <row r="235" spans="1:15" x14ac:dyDescent="0.2">
      <c r="A235" s="200">
        <v>44407</v>
      </c>
      <c r="B235" s="199" t="s">
        <v>16751</v>
      </c>
      <c r="C235" s="201" t="s">
        <v>16752</v>
      </c>
      <c r="D235" s="148"/>
      <c r="E235" s="35" t="s">
        <v>3577</v>
      </c>
      <c r="F235" s="232">
        <v>5.04</v>
      </c>
      <c r="G235" s="6"/>
      <c r="H235" s="5"/>
      <c r="O235" s="148"/>
    </row>
    <row r="236" spans="1:15" x14ac:dyDescent="0.2">
      <c r="A236" s="200">
        <v>44407</v>
      </c>
      <c r="B236" s="199" t="s">
        <v>16749</v>
      </c>
      <c r="C236" s="201" t="s">
        <v>16750</v>
      </c>
      <c r="D236" s="148"/>
      <c r="E236" s="35" t="s">
        <v>3577</v>
      </c>
      <c r="F236" s="232">
        <v>5.37</v>
      </c>
      <c r="G236" s="6"/>
      <c r="H236" s="5"/>
      <c r="O236" s="148"/>
    </row>
    <row r="237" spans="1:15" x14ac:dyDescent="0.2">
      <c r="A237" s="200">
        <v>44407</v>
      </c>
      <c r="B237" s="199" t="s">
        <v>16745</v>
      </c>
      <c r="C237" s="201" t="s">
        <v>16746</v>
      </c>
      <c r="D237" s="148"/>
      <c r="E237" s="35" t="s">
        <v>3577</v>
      </c>
      <c r="F237" s="232">
        <v>2.89</v>
      </c>
      <c r="G237" s="6"/>
      <c r="H237" s="5"/>
      <c r="O237" s="148"/>
    </row>
    <row r="238" spans="1:15" x14ac:dyDescent="0.2">
      <c r="A238" s="200">
        <v>44407</v>
      </c>
      <c r="B238" s="199" t="s">
        <v>16727</v>
      </c>
      <c r="C238" s="201" t="s">
        <v>16728</v>
      </c>
      <c r="D238" s="148"/>
      <c r="E238" s="35" t="s">
        <v>3577</v>
      </c>
      <c r="F238" s="232">
        <v>6.94</v>
      </c>
      <c r="G238" s="6"/>
      <c r="H238" s="5"/>
      <c r="O238" s="148"/>
    </row>
    <row r="239" spans="1:15" x14ac:dyDescent="0.2">
      <c r="A239" s="200">
        <v>44408</v>
      </c>
      <c r="B239" s="199" t="s">
        <v>16717</v>
      </c>
      <c r="C239" s="201" t="s">
        <v>16718</v>
      </c>
      <c r="D239" s="148"/>
      <c r="E239" s="35" t="s">
        <v>3577</v>
      </c>
      <c r="F239" s="232">
        <v>18.55</v>
      </c>
      <c r="G239" s="6"/>
      <c r="H239" s="5"/>
      <c r="O239" s="148"/>
    </row>
    <row r="240" spans="1:15" x14ac:dyDescent="0.2">
      <c r="A240" s="200">
        <v>44408</v>
      </c>
      <c r="B240" s="199" t="s">
        <v>16715</v>
      </c>
      <c r="C240" s="201" t="s">
        <v>16716</v>
      </c>
      <c r="D240" s="148"/>
      <c r="E240" s="35" t="s">
        <v>3577</v>
      </c>
      <c r="F240" s="232">
        <v>1.68</v>
      </c>
      <c r="G240" s="6"/>
      <c r="H240" s="5"/>
      <c r="O240" s="148"/>
    </row>
    <row r="241" spans="1:15" x14ac:dyDescent="0.2">
      <c r="A241" s="200">
        <v>44408</v>
      </c>
      <c r="B241" s="199" t="s">
        <v>16713</v>
      </c>
      <c r="C241" s="201" t="s">
        <v>16714</v>
      </c>
      <c r="D241" s="148"/>
      <c r="E241" s="35" t="s">
        <v>3577</v>
      </c>
      <c r="F241" s="232">
        <v>1.04</v>
      </c>
      <c r="G241" s="6"/>
      <c r="H241" s="5"/>
      <c r="O241" s="148"/>
    </row>
    <row r="242" spans="1:15" x14ac:dyDescent="0.2">
      <c r="A242" s="200">
        <v>44408</v>
      </c>
      <c r="B242" s="199" t="s">
        <v>16711</v>
      </c>
      <c r="C242" s="201" t="s">
        <v>16712</v>
      </c>
      <c r="D242" s="148"/>
      <c r="E242" s="35" t="s">
        <v>3577</v>
      </c>
      <c r="F242" s="232">
        <v>2.98</v>
      </c>
      <c r="G242" s="6"/>
      <c r="H242" s="5"/>
      <c r="O242" s="148"/>
    </row>
    <row r="243" spans="1:15" x14ac:dyDescent="0.2">
      <c r="A243" s="200">
        <v>44408</v>
      </c>
      <c r="B243" s="199" t="s">
        <v>16709</v>
      </c>
      <c r="C243" s="201" t="s">
        <v>16710</v>
      </c>
      <c r="D243" s="148"/>
      <c r="E243" s="35" t="s">
        <v>3577</v>
      </c>
      <c r="F243" s="232">
        <v>2.83</v>
      </c>
      <c r="G243" s="6"/>
      <c r="H243" s="5"/>
      <c r="O243" s="148"/>
    </row>
    <row r="244" spans="1:15" x14ac:dyDescent="0.2">
      <c r="A244" s="200">
        <v>44408</v>
      </c>
      <c r="B244" s="199" t="s">
        <v>16707</v>
      </c>
      <c r="C244" s="201" t="s">
        <v>16708</v>
      </c>
      <c r="D244" s="148"/>
      <c r="E244" s="35" t="s">
        <v>3577</v>
      </c>
      <c r="F244" s="232">
        <v>11.36</v>
      </c>
      <c r="G244" s="6"/>
      <c r="H244" s="5"/>
      <c r="O244" s="148"/>
    </row>
    <row r="245" spans="1:15" x14ac:dyDescent="0.2">
      <c r="A245" s="200">
        <v>44408</v>
      </c>
      <c r="B245" s="199" t="s">
        <v>16705</v>
      </c>
      <c r="C245" s="201" t="s">
        <v>16706</v>
      </c>
      <c r="D245" s="148"/>
      <c r="E245" s="35" t="s">
        <v>3577</v>
      </c>
      <c r="F245" s="232">
        <v>3.72</v>
      </c>
      <c r="G245" s="6"/>
      <c r="H245" s="5"/>
      <c r="O245" s="148"/>
    </row>
    <row r="246" spans="1:15" x14ac:dyDescent="0.2">
      <c r="A246" s="200">
        <v>44408</v>
      </c>
      <c r="B246" s="199" t="s">
        <v>16703</v>
      </c>
      <c r="C246" s="201" t="s">
        <v>16704</v>
      </c>
      <c r="D246" s="148"/>
      <c r="E246" s="35" t="s">
        <v>3577</v>
      </c>
      <c r="F246" s="232">
        <v>17.98</v>
      </c>
      <c r="G246" s="6"/>
      <c r="H246" s="5"/>
      <c r="O246" s="148"/>
    </row>
    <row r="247" spans="1:15" x14ac:dyDescent="0.2">
      <c r="A247" s="200">
        <v>44408</v>
      </c>
      <c r="B247" s="199" t="s">
        <v>16701</v>
      </c>
      <c r="C247" s="201" t="s">
        <v>16702</v>
      </c>
      <c r="D247" s="148"/>
      <c r="E247" s="35" t="s">
        <v>3577</v>
      </c>
      <c r="F247" s="232">
        <v>3.81</v>
      </c>
      <c r="G247" s="6"/>
      <c r="H247" s="5"/>
      <c r="O247" s="148"/>
    </row>
    <row r="248" spans="1:15" x14ac:dyDescent="0.2">
      <c r="A248" s="200">
        <v>44408</v>
      </c>
      <c r="B248" s="199" t="s">
        <v>16699</v>
      </c>
      <c r="C248" s="201" t="s">
        <v>16700</v>
      </c>
      <c r="D248" s="148"/>
      <c r="E248" s="35" t="s">
        <v>3577</v>
      </c>
      <c r="F248" s="232">
        <v>1.68</v>
      </c>
      <c r="G248" s="6"/>
      <c r="H248" s="5"/>
      <c r="O248" s="148"/>
    </row>
    <row r="249" spans="1:15" x14ac:dyDescent="0.2">
      <c r="A249" s="200">
        <v>44408</v>
      </c>
      <c r="B249" s="199" t="s">
        <v>16697</v>
      </c>
      <c r="C249" s="201" t="s">
        <v>16698</v>
      </c>
      <c r="D249" s="148"/>
      <c r="E249" s="35" t="s">
        <v>3577</v>
      </c>
      <c r="F249" s="232">
        <v>1.53</v>
      </c>
      <c r="G249" s="6"/>
      <c r="H249" s="5"/>
      <c r="O249" s="148"/>
    </row>
    <row r="250" spans="1:15" x14ac:dyDescent="0.2">
      <c r="A250" s="200">
        <v>44408</v>
      </c>
      <c r="B250" s="199" t="s">
        <v>16695</v>
      </c>
      <c r="C250" s="201" t="s">
        <v>16696</v>
      </c>
      <c r="D250" s="148"/>
      <c r="E250" s="35" t="s">
        <v>3577</v>
      </c>
      <c r="F250" s="232">
        <v>14.89</v>
      </c>
      <c r="G250" s="6"/>
      <c r="H250" s="5"/>
      <c r="O250" s="148"/>
    </row>
    <row r="251" spans="1:15" x14ac:dyDescent="0.2">
      <c r="A251" s="200">
        <v>44408</v>
      </c>
      <c r="B251" s="199" t="s">
        <v>16693</v>
      </c>
      <c r="C251" s="201" t="s">
        <v>16694</v>
      </c>
      <c r="D251" s="148"/>
      <c r="E251" s="35" t="s">
        <v>3577</v>
      </c>
      <c r="F251" s="232">
        <v>6.94</v>
      </c>
      <c r="G251" s="6"/>
      <c r="H251" s="5"/>
      <c r="O251" s="148"/>
    </row>
    <row r="252" spans="1:15" x14ac:dyDescent="0.2">
      <c r="A252" s="200">
        <v>44408</v>
      </c>
      <c r="B252" s="199" t="s">
        <v>16691</v>
      </c>
      <c r="C252" s="201" t="s">
        <v>16692</v>
      </c>
      <c r="D252" s="148"/>
      <c r="E252" s="35" t="s">
        <v>3577</v>
      </c>
      <c r="F252" s="232">
        <v>1.68</v>
      </c>
      <c r="G252" s="6"/>
      <c r="H252" s="5"/>
      <c r="O252" s="148"/>
    </row>
    <row r="253" spans="1:15" x14ac:dyDescent="0.2">
      <c r="A253" s="200">
        <v>44408</v>
      </c>
      <c r="B253" s="199" t="s">
        <v>16689</v>
      </c>
      <c r="C253" s="201" t="s">
        <v>16690</v>
      </c>
      <c r="D253" s="148"/>
      <c r="E253" s="35" t="s">
        <v>3577</v>
      </c>
      <c r="F253" s="232">
        <v>1.69</v>
      </c>
      <c r="G253" s="6"/>
      <c r="H253" s="5"/>
      <c r="O253" s="148"/>
    </row>
    <row r="254" spans="1:15" x14ac:dyDescent="0.2">
      <c r="A254" s="200">
        <v>44408</v>
      </c>
      <c r="B254" s="199" t="s">
        <v>16687</v>
      </c>
      <c r="C254" s="201" t="s">
        <v>16688</v>
      </c>
      <c r="D254" s="148"/>
      <c r="E254" s="35" t="s">
        <v>3577</v>
      </c>
      <c r="F254" s="232">
        <v>11.33</v>
      </c>
      <c r="G254" s="6"/>
      <c r="H254" s="5"/>
      <c r="O254" s="148"/>
    </row>
    <row r="255" spans="1:15" x14ac:dyDescent="0.2">
      <c r="A255" s="200">
        <v>44408</v>
      </c>
      <c r="B255" s="199" t="s">
        <v>16685</v>
      </c>
      <c r="C255" s="201" t="s">
        <v>16686</v>
      </c>
      <c r="D255" s="148"/>
      <c r="E255" s="35" t="s">
        <v>3577</v>
      </c>
      <c r="F255" s="232">
        <v>10.16</v>
      </c>
      <c r="G255" s="6"/>
      <c r="H255" s="5"/>
      <c r="O255" s="148"/>
    </row>
    <row r="256" spans="1:15" x14ac:dyDescent="0.2">
      <c r="A256" s="200">
        <v>44408</v>
      </c>
      <c r="B256" s="199" t="s">
        <v>16683</v>
      </c>
      <c r="C256" s="201" t="s">
        <v>16684</v>
      </c>
      <c r="D256" s="148"/>
      <c r="E256" s="35" t="s">
        <v>3577</v>
      </c>
      <c r="F256" s="232">
        <v>8.83</v>
      </c>
      <c r="G256" s="6"/>
      <c r="H256" s="5"/>
      <c r="O256" s="148"/>
    </row>
    <row r="257" spans="1:15" x14ac:dyDescent="0.2">
      <c r="A257" s="200">
        <v>44408</v>
      </c>
      <c r="B257" s="199" t="s">
        <v>16681</v>
      </c>
      <c r="C257" s="201" t="s">
        <v>16682</v>
      </c>
      <c r="D257" s="148"/>
      <c r="E257" s="35" t="s">
        <v>3577</v>
      </c>
      <c r="F257" s="232">
        <v>4.5</v>
      </c>
      <c r="G257" s="6"/>
      <c r="H257" s="5"/>
      <c r="O257" s="148"/>
    </row>
    <row r="258" spans="1:15" x14ac:dyDescent="0.2">
      <c r="A258" s="200">
        <v>44408</v>
      </c>
      <c r="B258" s="199" t="s">
        <v>16679</v>
      </c>
      <c r="C258" s="201" t="s">
        <v>16680</v>
      </c>
      <c r="D258" s="148"/>
      <c r="E258" s="35" t="s">
        <v>3577</v>
      </c>
      <c r="F258" s="232">
        <v>5.07</v>
      </c>
      <c r="G258" s="6"/>
      <c r="H258" s="5"/>
      <c r="O258" s="148"/>
    </row>
    <row r="259" spans="1:15" x14ac:dyDescent="0.2">
      <c r="A259" s="200">
        <v>44408</v>
      </c>
      <c r="B259" s="199" t="s">
        <v>16677</v>
      </c>
      <c r="C259" s="201" t="s">
        <v>16678</v>
      </c>
      <c r="D259" s="148"/>
      <c r="E259" s="35" t="s">
        <v>3577</v>
      </c>
      <c r="F259" s="232">
        <v>5.33</v>
      </c>
      <c r="G259" s="6"/>
      <c r="H259" s="5"/>
      <c r="O259" s="148"/>
    </row>
    <row r="260" spans="1:15" x14ac:dyDescent="0.2">
      <c r="A260" s="200">
        <v>44408</v>
      </c>
      <c r="B260" s="199" t="s">
        <v>16675</v>
      </c>
      <c r="C260" s="201" t="s">
        <v>16676</v>
      </c>
      <c r="D260" s="148"/>
      <c r="E260" s="35" t="s">
        <v>3577</v>
      </c>
      <c r="F260" s="232">
        <v>1.81</v>
      </c>
      <c r="G260" s="6"/>
      <c r="H260" s="5"/>
      <c r="O260" s="148"/>
    </row>
    <row r="261" spans="1:15" x14ac:dyDescent="0.2">
      <c r="A261" s="200"/>
      <c r="B261" s="199"/>
      <c r="C261" s="217"/>
      <c r="D261" s="165"/>
      <c r="E261" s="54"/>
      <c r="F261" s="202"/>
      <c r="G261" s="42"/>
      <c r="H261" s="82">
        <f>SUM(F52:F260)</f>
        <v>1475.13</v>
      </c>
      <c r="O261" s="148"/>
    </row>
    <row r="262" spans="1:15" x14ac:dyDescent="0.2">
      <c r="A262" s="42"/>
      <c r="B262" s="57"/>
      <c r="C262" s="78"/>
      <c r="D262" s="167"/>
      <c r="E262" s="42"/>
      <c r="F262" s="51"/>
      <c r="G262" s="42"/>
      <c r="H262" s="36"/>
      <c r="O262" s="148"/>
    </row>
    <row r="263" spans="1:15" ht="15.75" thickBot="1" x14ac:dyDescent="0.25">
      <c r="A263" s="64"/>
      <c r="B263" s="65" t="s">
        <v>16674</v>
      </c>
      <c r="C263" s="79"/>
      <c r="D263" s="168"/>
      <c r="E263" s="64"/>
      <c r="F263" s="71"/>
      <c r="G263" s="66" t="s">
        <v>3</v>
      </c>
      <c r="H263" s="81">
        <f>+H13-H21-H44+H48+H261</f>
        <v>98022.200000000012</v>
      </c>
      <c r="O263" s="148"/>
    </row>
    <row r="264" spans="1:15" ht="13.5" thickTop="1" x14ac:dyDescent="0.2">
      <c r="A264" s="42"/>
      <c r="B264" s="57"/>
      <c r="C264" s="78"/>
      <c r="D264" s="167"/>
      <c r="E264" s="42"/>
      <c r="F264" s="51"/>
      <c r="G264" s="42"/>
      <c r="H264" s="36"/>
      <c r="O264" s="148"/>
    </row>
    <row r="265" spans="1:15" x14ac:dyDescent="0.2">
      <c r="A265" s="42"/>
      <c r="B265" s="57"/>
      <c r="C265" s="78"/>
      <c r="D265" s="167"/>
      <c r="E265" s="42"/>
      <c r="F265" s="51"/>
      <c r="G265" s="42"/>
      <c r="H265" s="37"/>
      <c r="O265" s="148"/>
    </row>
    <row r="266" spans="1:15" x14ac:dyDescent="0.2">
      <c r="A266" s="42"/>
      <c r="B266" s="57"/>
      <c r="C266" s="78"/>
      <c r="D266" s="167"/>
      <c r="E266" s="42"/>
      <c r="F266" s="42"/>
      <c r="G266" s="42"/>
      <c r="H266" s="37"/>
      <c r="O266" s="148"/>
    </row>
    <row r="267" spans="1:15" x14ac:dyDescent="0.2">
      <c r="A267" s="42"/>
      <c r="B267" s="57"/>
      <c r="C267" s="80"/>
      <c r="D267" s="169"/>
      <c r="E267" s="42"/>
      <c r="F267" s="69"/>
      <c r="G267" s="42"/>
      <c r="H267" s="36"/>
      <c r="O267" s="148"/>
    </row>
    <row r="268" spans="1:15" x14ac:dyDescent="0.2">
      <c r="A268" s="42"/>
      <c r="B268" s="57"/>
      <c r="C268" s="293" t="s">
        <v>15</v>
      </c>
      <c r="D268" s="293"/>
      <c r="E268" s="42"/>
      <c r="F268" s="293" t="s">
        <v>16</v>
      </c>
      <c r="G268" s="293"/>
      <c r="H268" s="36"/>
      <c r="O268" s="148"/>
    </row>
    <row r="269" spans="1:15" x14ac:dyDescent="0.2">
      <c r="A269" s="42"/>
      <c r="B269" s="57"/>
      <c r="C269" s="78"/>
      <c r="D269" s="167"/>
      <c r="E269" s="42"/>
      <c r="F269" s="42"/>
      <c r="G269" s="42"/>
      <c r="H269" s="37"/>
      <c r="O269" s="148"/>
    </row>
    <row r="270" spans="1:15" x14ac:dyDescent="0.2">
      <c r="A270" s="6"/>
      <c r="B270" s="5"/>
      <c r="C270" s="73"/>
      <c r="D270" s="161"/>
      <c r="E270" s="32"/>
      <c r="F270" s="72"/>
      <c r="G270" s="33"/>
      <c r="H270" s="5"/>
      <c r="O270" s="148"/>
    </row>
    <row r="271" spans="1:15" x14ac:dyDescent="0.2">
      <c r="O271" s="148"/>
    </row>
    <row r="272" spans="1:15" x14ac:dyDescent="0.2">
      <c r="O272" s="148"/>
    </row>
    <row r="273" spans="15:15" x14ac:dyDescent="0.2">
      <c r="O273" s="148"/>
    </row>
    <row r="274" spans="15:15" x14ac:dyDescent="0.2">
      <c r="O274" s="148"/>
    </row>
    <row r="275" spans="15:15" x14ac:dyDescent="0.2">
      <c r="O275" s="148"/>
    </row>
    <row r="276" spans="15:15" x14ac:dyDescent="0.2">
      <c r="O276" s="148"/>
    </row>
    <row r="277" spans="15:15" x14ac:dyDescent="0.2">
      <c r="O277" s="148"/>
    </row>
    <row r="278" spans="15:15" x14ac:dyDescent="0.2">
      <c r="O278" s="148"/>
    </row>
    <row r="279" spans="15:15" x14ac:dyDescent="0.2">
      <c r="O279" s="148"/>
    </row>
    <row r="280" spans="15:15" x14ac:dyDescent="0.2">
      <c r="O280" s="148"/>
    </row>
    <row r="281" spans="15:15" x14ac:dyDescent="0.2">
      <c r="O281" s="148"/>
    </row>
    <row r="282" spans="15:15" x14ac:dyDescent="0.2">
      <c r="O282" s="148"/>
    </row>
    <row r="283" spans="15:15" x14ac:dyDescent="0.2">
      <c r="O283" s="148"/>
    </row>
    <row r="284" spans="15:15" x14ac:dyDescent="0.2">
      <c r="O284" s="148"/>
    </row>
    <row r="285" spans="15:15" x14ac:dyDescent="0.2">
      <c r="O285" s="148"/>
    </row>
    <row r="286" spans="15:15" x14ac:dyDescent="0.2">
      <c r="O286" s="148"/>
    </row>
    <row r="287" spans="15:15" x14ac:dyDescent="0.2">
      <c r="O287" s="148"/>
    </row>
    <row r="288" spans="15:15" x14ac:dyDescent="0.2">
      <c r="O288" s="148"/>
    </row>
    <row r="289" spans="15:15" x14ac:dyDescent="0.2">
      <c r="O289" s="148"/>
    </row>
    <row r="290" spans="15:15" x14ac:dyDescent="0.2">
      <c r="O290" s="148"/>
    </row>
    <row r="291" spans="15:15" x14ac:dyDescent="0.2">
      <c r="O291" s="148"/>
    </row>
    <row r="292" spans="15:15" x14ac:dyDescent="0.2">
      <c r="O292" s="148"/>
    </row>
    <row r="293" spans="15:15" x14ac:dyDescent="0.2">
      <c r="O293" s="148"/>
    </row>
    <row r="294" spans="15:15" x14ac:dyDescent="0.2">
      <c r="O294" s="148"/>
    </row>
    <row r="295" spans="15:15" x14ac:dyDescent="0.2">
      <c r="O295" s="148"/>
    </row>
    <row r="296" spans="15:15" x14ac:dyDescent="0.2">
      <c r="O296" s="148"/>
    </row>
    <row r="297" spans="15:15" x14ac:dyDescent="0.2">
      <c r="O297" s="148"/>
    </row>
    <row r="298" spans="15:15" x14ac:dyDescent="0.2">
      <c r="O298" s="148"/>
    </row>
    <row r="299" spans="15:15" x14ac:dyDescent="0.2">
      <c r="O299" s="148"/>
    </row>
    <row r="300" spans="15:15" x14ac:dyDescent="0.2">
      <c r="O300" s="148"/>
    </row>
    <row r="301" spans="15:15" x14ac:dyDescent="0.2">
      <c r="O301" s="148"/>
    </row>
    <row r="302" spans="15:15" x14ac:dyDescent="0.2">
      <c r="O302" s="148"/>
    </row>
    <row r="303" spans="15:15" x14ac:dyDescent="0.2">
      <c r="O303" s="148"/>
    </row>
    <row r="304" spans="15:15" x14ac:dyDescent="0.2">
      <c r="O304" s="148"/>
    </row>
  </sheetData>
  <mergeCells count="5">
    <mergeCell ref="B11:E11"/>
    <mergeCell ref="B16:E16"/>
    <mergeCell ref="B24:D24"/>
    <mergeCell ref="C268:D268"/>
    <mergeCell ref="F268:G268"/>
  </mergeCells>
  <phoneticPr fontId="27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AE4D6-161F-4DA8-BCE3-82C1F0C1925D}">
  <dimension ref="A2:K802"/>
  <sheetViews>
    <sheetView topLeftCell="A757" workbookViewId="0">
      <selection activeCell="G805" sqref="G805"/>
    </sheetView>
  </sheetViews>
  <sheetFormatPr baseColWidth="10" defaultRowHeight="12.75" x14ac:dyDescent="0.2"/>
  <cols>
    <col min="1" max="16384" width="11.42578125" style="22"/>
  </cols>
  <sheetData>
    <row r="2" spans="1:11" ht="19.5" x14ac:dyDescent="0.2">
      <c r="F2" s="95" t="s">
        <v>541</v>
      </c>
      <c r="J2" s="197" t="s">
        <v>540</v>
      </c>
      <c r="K2" s="207">
        <v>1</v>
      </c>
    </row>
    <row r="3" spans="1:11" x14ac:dyDescent="0.2">
      <c r="J3" s="197" t="s">
        <v>539</v>
      </c>
      <c r="K3" s="206">
        <v>44462</v>
      </c>
    </row>
    <row r="5" spans="1:11" x14ac:dyDescent="0.2">
      <c r="E5" s="94" t="s">
        <v>538</v>
      </c>
      <c r="F5" s="92" t="s">
        <v>20215</v>
      </c>
      <c r="G5" s="94" t="s">
        <v>537</v>
      </c>
      <c r="H5" s="92" t="s">
        <v>20215</v>
      </c>
      <c r="J5" s="289">
        <v>0.95893518518518517</v>
      </c>
    </row>
    <row r="7" spans="1:11" x14ac:dyDescent="0.2">
      <c r="J7" s="197" t="s">
        <v>536</v>
      </c>
      <c r="K7" s="201" t="s">
        <v>1579</v>
      </c>
    </row>
    <row r="8" spans="1:11" x14ac:dyDescent="0.2">
      <c r="C8" s="93" t="s">
        <v>535</v>
      </c>
      <c r="D8" s="92" t="s">
        <v>534</v>
      </c>
      <c r="F8" s="93" t="s">
        <v>533</v>
      </c>
      <c r="G8" s="92" t="s">
        <v>531</v>
      </c>
      <c r="I8" s="93" t="s">
        <v>532</v>
      </c>
      <c r="J8" s="92" t="s">
        <v>531</v>
      </c>
    </row>
    <row r="11" spans="1:11" x14ac:dyDescent="0.2">
      <c r="A11" s="205" t="s">
        <v>530</v>
      </c>
      <c r="C11" s="204" t="s">
        <v>529</v>
      </c>
      <c r="D11" s="204" t="s">
        <v>528</v>
      </c>
      <c r="F11" s="203" t="s">
        <v>527</v>
      </c>
      <c r="I11" s="197" t="s">
        <v>21</v>
      </c>
      <c r="J11" s="197" t="s">
        <v>20</v>
      </c>
      <c r="K11" s="197" t="s">
        <v>526</v>
      </c>
    </row>
    <row r="14" spans="1:11" x14ac:dyDescent="0.2">
      <c r="A14" s="205" t="s">
        <v>525</v>
      </c>
      <c r="B14" s="199" t="s">
        <v>524</v>
      </c>
    </row>
    <row r="16" spans="1:11" x14ac:dyDescent="0.2">
      <c r="A16" s="204" t="s">
        <v>523</v>
      </c>
      <c r="B16" s="201" t="s">
        <v>522</v>
      </c>
      <c r="J16" s="197" t="s">
        <v>22</v>
      </c>
      <c r="K16" s="198">
        <v>98022.2</v>
      </c>
    </row>
    <row r="18" spans="3:11" x14ac:dyDescent="0.2">
      <c r="C18" s="201" t="s">
        <v>20216</v>
      </c>
      <c r="D18" s="200">
        <v>44409</v>
      </c>
      <c r="E18" s="199" t="s">
        <v>20217</v>
      </c>
      <c r="I18" s="198">
        <v>14.24</v>
      </c>
      <c r="K18" s="198">
        <v>98036.44</v>
      </c>
    </row>
    <row r="19" spans="3:11" x14ac:dyDescent="0.2">
      <c r="C19" s="201" t="s">
        <v>20218</v>
      </c>
      <c r="D19" s="200">
        <v>44409</v>
      </c>
      <c r="E19" s="199" t="s">
        <v>20219</v>
      </c>
      <c r="I19" s="198">
        <v>1.75</v>
      </c>
      <c r="K19" s="198">
        <v>98038.19</v>
      </c>
    </row>
    <row r="20" spans="3:11" x14ac:dyDescent="0.2">
      <c r="C20" s="201" t="s">
        <v>20220</v>
      </c>
      <c r="D20" s="200">
        <v>44409</v>
      </c>
      <c r="E20" s="199" t="s">
        <v>20221</v>
      </c>
      <c r="I20" s="198">
        <v>11.67</v>
      </c>
      <c r="K20" s="198">
        <v>98049.86</v>
      </c>
    </row>
    <row r="21" spans="3:11" x14ac:dyDescent="0.2">
      <c r="C21" s="201" t="s">
        <v>20222</v>
      </c>
      <c r="D21" s="200">
        <v>44409</v>
      </c>
      <c r="E21" s="199" t="s">
        <v>20223</v>
      </c>
      <c r="I21" s="198">
        <v>1.68</v>
      </c>
      <c r="K21" s="198">
        <v>98051.54</v>
      </c>
    </row>
    <row r="22" spans="3:11" x14ac:dyDescent="0.2">
      <c r="C22" s="201" t="s">
        <v>20224</v>
      </c>
      <c r="D22" s="200">
        <v>44409</v>
      </c>
      <c r="E22" s="199" t="s">
        <v>20225</v>
      </c>
      <c r="I22" s="198">
        <v>24.21</v>
      </c>
      <c r="K22" s="198">
        <v>98075.75</v>
      </c>
    </row>
    <row r="23" spans="3:11" x14ac:dyDescent="0.2">
      <c r="C23" s="201" t="s">
        <v>20226</v>
      </c>
      <c r="D23" s="200">
        <v>44409</v>
      </c>
      <c r="E23" s="199" t="s">
        <v>20227</v>
      </c>
      <c r="I23" s="198">
        <v>2.15</v>
      </c>
      <c r="K23" s="198">
        <v>98077.9</v>
      </c>
    </row>
    <row r="24" spans="3:11" x14ac:dyDescent="0.2">
      <c r="C24" s="201" t="s">
        <v>20228</v>
      </c>
      <c r="D24" s="200">
        <v>44409</v>
      </c>
      <c r="E24" s="199" t="s">
        <v>20229</v>
      </c>
      <c r="I24" s="198">
        <v>3.61</v>
      </c>
      <c r="K24" s="198">
        <v>98081.51</v>
      </c>
    </row>
    <row r="25" spans="3:11" x14ac:dyDescent="0.2">
      <c r="C25" s="201" t="s">
        <v>20230</v>
      </c>
      <c r="D25" s="200">
        <v>44409</v>
      </c>
      <c r="E25" s="199" t="s">
        <v>20231</v>
      </c>
      <c r="I25" s="198">
        <v>7.64</v>
      </c>
      <c r="K25" s="198">
        <v>98089.15</v>
      </c>
    </row>
    <row r="26" spans="3:11" x14ac:dyDescent="0.2">
      <c r="C26" s="201" t="s">
        <v>20232</v>
      </c>
      <c r="D26" s="200">
        <v>44409</v>
      </c>
      <c r="E26" s="199" t="s">
        <v>20233</v>
      </c>
      <c r="I26" s="198">
        <v>1.27</v>
      </c>
      <c r="K26" s="198">
        <v>98090.42</v>
      </c>
    </row>
    <row r="27" spans="3:11" x14ac:dyDescent="0.2">
      <c r="C27" s="201" t="s">
        <v>20234</v>
      </c>
      <c r="D27" s="200">
        <v>44409</v>
      </c>
      <c r="E27" s="199" t="s">
        <v>20235</v>
      </c>
      <c r="I27" s="198">
        <v>3.94</v>
      </c>
      <c r="K27" s="198">
        <v>98094.36</v>
      </c>
    </row>
    <row r="28" spans="3:11" x14ac:dyDescent="0.2">
      <c r="C28" s="201" t="s">
        <v>20236</v>
      </c>
      <c r="D28" s="200">
        <v>44409</v>
      </c>
      <c r="E28" s="199" t="s">
        <v>20237</v>
      </c>
      <c r="I28" s="198">
        <v>0.19</v>
      </c>
      <c r="K28" s="198">
        <v>98094.55</v>
      </c>
    </row>
    <row r="29" spans="3:11" x14ac:dyDescent="0.2">
      <c r="C29" s="201" t="s">
        <v>20238</v>
      </c>
      <c r="D29" s="200">
        <v>44409</v>
      </c>
      <c r="E29" s="199" t="s">
        <v>20239</v>
      </c>
      <c r="I29" s="198">
        <v>4.8499999999999996</v>
      </c>
      <c r="K29" s="198">
        <v>98099.4</v>
      </c>
    </row>
    <row r="30" spans="3:11" x14ac:dyDescent="0.2">
      <c r="C30" s="201" t="s">
        <v>20240</v>
      </c>
      <c r="D30" s="200">
        <v>44409</v>
      </c>
      <c r="E30" s="199" t="s">
        <v>20241</v>
      </c>
      <c r="I30" s="198">
        <v>3.36</v>
      </c>
      <c r="K30" s="198">
        <v>98102.76</v>
      </c>
    </row>
    <row r="31" spans="3:11" x14ac:dyDescent="0.2">
      <c r="C31" s="201" t="s">
        <v>20242</v>
      </c>
      <c r="D31" s="200">
        <v>44410</v>
      </c>
      <c r="E31" s="199" t="s">
        <v>17665</v>
      </c>
      <c r="I31" s="198">
        <v>1.84</v>
      </c>
      <c r="K31" s="198">
        <v>98104.6</v>
      </c>
    </row>
    <row r="32" spans="3:11" x14ac:dyDescent="0.2">
      <c r="C32" s="201" t="s">
        <v>20243</v>
      </c>
      <c r="D32" s="200">
        <v>44410</v>
      </c>
      <c r="E32" s="199" t="s">
        <v>20244</v>
      </c>
      <c r="I32" s="198">
        <v>1.74</v>
      </c>
      <c r="K32" s="198">
        <v>98106.34</v>
      </c>
    </row>
    <row r="33" spans="3:11" x14ac:dyDescent="0.2">
      <c r="C33" s="201" t="s">
        <v>20245</v>
      </c>
      <c r="D33" s="200">
        <v>44410</v>
      </c>
      <c r="E33" s="199" t="s">
        <v>20246</v>
      </c>
      <c r="I33" s="198">
        <v>4.66</v>
      </c>
      <c r="K33" s="198">
        <v>98111</v>
      </c>
    </row>
    <row r="34" spans="3:11" x14ac:dyDescent="0.2">
      <c r="C34" s="201" t="s">
        <v>20247</v>
      </c>
      <c r="D34" s="200">
        <v>44410</v>
      </c>
      <c r="E34" s="199" t="s">
        <v>20248</v>
      </c>
      <c r="I34" s="198">
        <v>4.22</v>
      </c>
      <c r="K34" s="198">
        <v>98115.22</v>
      </c>
    </row>
    <row r="35" spans="3:11" x14ac:dyDescent="0.2">
      <c r="C35" s="201" t="s">
        <v>20249</v>
      </c>
      <c r="D35" s="200">
        <v>44410</v>
      </c>
      <c r="E35" s="199" t="s">
        <v>20250</v>
      </c>
      <c r="I35" s="198">
        <v>2.64</v>
      </c>
      <c r="K35" s="198">
        <v>98117.86</v>
      </c>
    </row>
    <row r="36" spans="3:11" x14ac:dyDescent="0.2">
      <c r="C36" s="201" t="s">
        <v>20251</v>
      </c>
      <c r="D36" s="200">
        <v>44410</v>
      </c>
      <c r="E36" s="199" t="s">
        <v>20252</v>
      </c>
      <c r="I36" s="198">
        <v>1.68</v>
      </c>
      <c r="K36" s="198">
        <v>98119.54</v>
      </c>
    </row>
    <row r="37" spans="3:11" x14ac:dyDescent="0.2">
      <c r="C37" s="201" t="s">
        <v>20253</v>
      </c>
      <c r="D37" s="200">
        <v>44410</v>
      </c>
      <c r="E37" s="199" t="s">
        <v>20254</v>
      </c>
      <c r="I37" s="198">
        <v>6.94</v>
      </c>
      <c r="K37" s="198">
        <v>98126.48</v>
      </c>
    </row>
    <row r="38" spans="3:11" x14ac:dyDescent="0.2">
      <c r="C38" s="201" t="s">
        <v>20255</v>
      </c>
      <c r="D38" s="200">
        <v>44410</v>
      </c>
      <c r="E38" s="199" t="s">
        <v>20256</v>
      </c>
      <c r="I38" s="198">
        <v>6.94</v>
      </c>
      <c r="K38" s="198">
        <v>98133.42</v>
      </c>
    </row>
    <row r="39" spans="3:11" x14ac:dyDescent="0.2">
      <c r="C39" s="201" t="s">
        <v>20257</v>
      </c>
      <c r="D39" s="200">
        <v>44410</v>
      </c>
      <c r="E39" s="199" t="s">
        <v>20258</v>
      </c>
      <c r="I39" s="198">
        <v>5.14</v>
      </c>
      <c r="K39" s="198">
        <v>98138.559999999998</v>
      </c>
    </row>
    <row r="40" spans="3:11" x14ac:dyDescent="0.2">
      <c r="C40" s="201" t="s">
        <v>20259</v>
      </c>
      <c r="D40" s="200">
        <v>44410</v>
      </c>
      <c r="E40" s="199" t="s">
        <v>20260</v>
      </c>
      <c r="I40" s="198">
        <v>7.02</v>
      </c>
      <c r="K40" s="198">
        <v>98145.58</v>
      </c>
    </row>
    <row r="41" spans="3:11" x14ac:dyDescent="0.2">
      <c r="C41" s="201" t="s">
        <v>20261</v>
      </c>
      <c r="D41" s="200">
        <v>44410</v>
      </c>
      <c r="E41" s="199" t="s">
        <v>20262</v>
      </c>
      <c r="I41" s="198">
        <v>2.52</v>
      </c>
      <c r="K41" s="198">
        <v>98148.1</v>
      </c>
    </row>
    <row r="42" spans="3:11" x14ac:dyDescent="0.2">
      <c r="C42" s="201" t="s">
        <v>20263</v>
      </c>
      <c r="D42" s="200">
        <v>44410</v>
      </c>
      <c r="E42" s="199" t="s">
        <v>20264</v>
      </c>
      <c r="I42" s="198">
        <v>1.58</v>
      </c>
      <c r="K42" s="198">
        <v>98149.68</v>
      </c>
    </row>
    <row r="43" spans="3:11" x14ac:dyDescent="0.2">
      <c r="C43" s="201" t="s">
        <v>20265</v>
      </c>
      <c r="D43" s="200">
        <v>44410</v>
      </c>
      <c r="E43" s="199" t="s">
        <v>20266</v>
      </c>
      <c r="I43" s="198">
        <v>5.04</v>
      </c>
      <c r="K43" s="198">
        <v>98154.72</v>
      </c>
    </row>
    <row r="44" spans="3:11" x14ac:dyDescent="0.2">
      <c r="C44" s="201" t="s">
        <v>20267</v>
      </c>
      <c r="D44" s="200">
        <v>44410</v>
      </c>
      <c r="E44" s="199" t="s">
        <v>20268</v>
      </c>
      <c r="I44" s="198">
        <v>3.36</v>
      </c>
      <c r="K44" s="198">
        <v>98158.080000000002</v>
      </c>
    </row>
    <row r="45" spans="3:11" x14ac:dyDescent="0.2">
      <c r="C45" s="201" t="s">
        <v>20269</v>
      </c>
      <c r="D45" s="200">
        <v>44410</v>
      </c>
      <c r="E45" s="199" t="s">
        <v>20270</v>
      </c>
      <c r="I45" s="198">
        <v>5.13</v>
      </c>
      <c r="K45" s="198">
        <v>98163.21</v>
      </c>
    </row>
    <row r="46" spans="3:11" x14ac:dyDescent="0.2">
      <c r="C46" s="201" t="s">
        <v>20271</v>
      </c>
      <c r="D46" s="200">
        <v>44410</v>
      </c>
      <c r="E46" s="199" t="s">
        <v>20272</v>
      </c>
      <c r="I46" s="198">
        <v>10.61</v>
      </c>
      <c r="K46" s="198">
        <v>98173.82</v>
      </c>
    </row>
    <row r="47" spans="3:11" x14ac:dyDescent="0.2">
      <c r="C47" s="201" t="s">
        <v>20273</v>
      </c>
      <c r="D47" s="200">
        <v>44410</v>
      </c>
      <c r="E47" s="199" t="s">
        <v>20274</v>
      </c>
      <c r="I47" s="198">
        <v>8.3800000000000008</v>
      </c>
      <c r="K47" s="198">
        <v>98182.2</v>
      </c>
    </row>
    <row r="48" spans="3:11" x14ac:dyDescent="0.2">
      <c r="C48" s="201" t="s">
        <v>20275</v>
      </c>
      <c r="D48" s="200">
        <v>44410</v>
      </c>
      <c r="E48" s="199" t="s">
        <v>20276</v>
      </c>
      <c r="I48" s="198">
        <v>1.81</v>
      </c>
      <c r="K48" s="198">
        <v>98184.01</v>
      </c>
    </row>
    <row r="49" spans="3:11" x14ac:dyDescent="0.2">
      <c r="C49" s="201" t="s">
        <v>20277</v>
      </c>
      <c r="D49" s="200">
        <v>44410</v>
      </c>
      <c r="E49" s="199" t="s">
        <v>20278</v>
      </c>
      <c r="I49" s="198">
        <v>4</v>
      </c>
      <c r="K49" s="198">
        <v>98188.01</v>
      </c>
    </row>
    <row r="50" spans="3:11" x14ac:dyDescent="0.2">
      <c r="C50" s="201" t="s">
        <v>20279</v>
      </c>
      <c r="D50" s="200">
        <v>44410</v>
      </c>
      <c r="E50" s="199" t="s">
        <v>20280</v>
      </c>
      <c r="I50" s="198">
        <v>0.23</v>
      </c>
      <c r="K50" s="198">
        <v>98188.24</v>
      </c>
    </row>
    <row r="51" spans="3:11" x14ac:dyDescent="0.2">
      <c r="C51" s="201" t="s">
        <v>20281</v>
      </c>
      <c r="D51" s="200">
        <v>44410</v>
      </c>
      <c r="E51" s="199" t="s">
        <v>20282</v>
      </c>
      <c r="I51" s="198">
        <v>3.17</v>
      </c>
      <c r="K51" s="198">
        <v>98191.41</v>
      </c>
    </row>
    <row r="52" spans="3:11" x14ac:dyDescent="0.2">
      <c r="C52" s="201" t="s">
        <v>20283</v>
      </c>
      <c r="D52" s="200">
        <v>44410</v>
      </c>
      <c r="E52" s="199" t="s">
        <v>20284</v>
      </c>
      <c r="I52" s="198">
        <v>1.76</v>
      </c>
      <c r="K52" s="198">
        <v>98193.17</v>
      </c>
    </row>
    <row r="53" spans="3:11" x14ac:dyDescent="0.2">
      <c r="C53" s="201" t="s">
        <v>20285</v>
      </c>
      <c r="D53" s="200">
        <v>44410</v>
      </c>
      <c r="E53" s="199" t="s">
        <v>20286</v>
      </c>
      <c r="I53" s="198">
        <v>6.07</v>
      </c>
      <c r="K53" s="198">
        <v>98199.24</v>
      </c>
    </row>
    <row r="54" spans="3:11" x14ac:dyDescent="0.2">
      <c r="C54" s="201" t="s">
        <v>20287</v>
      </c>
      <c r="D54" s="200">
        <v>44410</v>
      </c>
      <c r="E54" s="199" t="s">
        <v>20288</v>
      </c>
      <c r="I54" s="198">
        <v>2.16</v>
      </c>
      <c r="K54" s="198">
        <v>98201.4</v>
      </c>
    </row>
    <row r="55" spans="3:11" x14ac:dyDescent="0.2">
      <c r="C55" s="201" t="s">
        <v>20289</v>
      </c>
      <c r="D55" s="200">
        <v>44410</v>
      </c>
      <c r="E55" s="199" t="s">
        <v>20290</v>
      </c>
      <c r="I55" s="198">
        <v>3.67</v>
      </c>
      <c r="K55" s="198">
        <v>98205.07</v>
      </c>
    </row>
    <row r="56" spans="3:11" x14ac:dyDescent="0.2">
      <c r="C56" s="201" t="s">
        <v>20291</v>
      </c>
      <c r="D56" s="200">
        <v>44410</v>
      </c>
      <c r="E56" s="199" t="s">
        <v>20292</v>
      </c>
      <c r="I56" s="198">
        <v>3.36</v>
      </c>
      <c r="K56" s="198">
        <v>98208.43</v>
      </c>
    </row>
    <row r="57" spans="3:11" x14ac:dyDescent="0.2">
      <c r="C57" s="201" t="s">
        <v>20293</v>
      </c>
      <c r="D57" s="200">
        <v>44410</v>
      </c>
      <c r="E57" s="199" t="s">
        <v>20294</v>
      </c>
      <c r="I57" s="198">
        <v>9.09</v>
      </c>
      <c r="K57" s="198">
        <v>98217.52</v>
      </c>
    </row>
    <row r="58" spans="3:11" x14ac:dyDescent="0.2">
      <c r="C58" s="201" t="s">
        <v>20295</v>
      </c>
      <c r="D58" s="200">
        <v>44410</v>
      </c>
      <c r="E58" s="199" t="s">
        <v>20296</v>
      </c>
      <c r="I58" s="198">
        <v>20.45</v>
      </c>
      <c r="K58" s="198">
        <v>98237.97</v>
      </c>
    </row>
    <row r="59" spans="3:11" x14ac:dyDescent="0.2">
      <c r="C59" s="201" t="s">
        <v>20297</v>
      </c>
      <c r="D59" s="200">
        <v>44410</v>
      </c>
      <c r="E59" s="199" t="s">
        <v>20298</v>
      </c>
      <c r="I59" s="198">
        <v>6.36</v>
      </c>
      <c r="K59" s="198">
        <v>98244.33</v>
      </c>
    </row>
    <row r="60" spans="3:11" x14ac:dyDescent="0.2">
      <c r="C60" s="201" t="s">
        <v>20299</v>
      </c>
      <c r="D60" s="200">
        <v>44410</v>
      </c>
      <c r="E60" s="199" t="s">
        <v>20300</v>
      </c>
      <c r="I60" s="198">
        <v>2.36</v>
      </c>
      <c r="K60" s="198">
        <v>98246.69</v>
      </c>
    </row>
    <row r="61" spans="3:11" x14ac:dyDescent="0.2">
      <c r="C61" s="201" t="s">
        <v>20301</v>
      </c>
      <c r="D61" s="200">
        <v>44410</v>
      </c>
      <c r="E61" s="199" t="s">
        <v>20302</v>
      </c>
      <c r="I61" s="198">
        <v>10.94</v>
      </c>
      <c r="K61" s="198">
        <v>98257.63</v>
      </c>
    </row>
    <row r="62" spans="3:11" x14ac:dyDescent="0.2">
      <c r="C62" s="201" t="s">
        <v>20303</v>
      </c>
      <c r="D62" s="200">
        <v>44410</v>
      </c>
      <c r="E62" s="199" t="s">
        <v>20304</v>
      </c>
      <c r="I62" s="198">
        <v>2.37</v>
      </c>
      <c r="K62" s="198">
        <v>98260</v>
      </c>
    </row>
    <row r="63" spans="3:11" x14ac:dyDescent="0.2">
      <c r="C63" s="201" t="s">
        <v>20305</v>
      </c>
      <c r="D63" s="200">
        <v>44410</v>
      </c>
      <c r="E63" s="199" t="s">
        <v>20306</v>
      </c>
      <c r="I63" s="198">
        <v>3.11</v>
      </c>
      <c r="K63" s="198">
        <v>98263.11</v>
      </c>
    </row>
    <row r="64" spans="3:11" x14ac:dyDescent="0.2">
      <c r="C64" s="201" t="s">
        <v>20307</v>
      </c>
      <c r="D64" s="200">
        <v>44410</v>
      </c>
      <c r="E64" s="199" t="s">
        <v>20308</v>
      </c>
      <c r="I64" s="198">
        <v>5.6</v>
      </c>
      <c r="K64" s="198">
        <v>98268.71</v>
      </c>
    </row>
    <row r="65" spans="3:11" x14ac:dyDescent="0.2">
      <c r="C65" s="201" t="s">
        <v>20309</v>
      </c>
      <c r="D65" s="200">
        <v>44410</v>
      </c>
      <c r="E65" s="199" t="s">
        <v>20310</v>
      </c>
      <c r="I65" s="198">
        <v>1.68</v>
      </c>
      <c r="K65" s="198">
        <v>98270.39</v>
      </c>
    </row>
    <row r="66" spans="3:11" x14ac:dyDescent="0.2">
      <c r="C66" s="201" t="s">
        <v>20311</v>
      </c>
      <c r="D66" s="200">
        <v>44410</v>
      </c>
      <c r="E66" s="199" t="s">
        <v>20312</v>
      </c>
      <c r="I66" s="198">
        <v>4.3600000000000003</v>
      </c>
      <c r="K66" s="198">
        <v>98274.75</v>
      </c>
    </row>
    <row r="67" spans="3:11" x14ac:dyDescent="0.2">
      <c r="C67" s="201" t="s">
        <v>20313</v>
      </c>
      <c r="D67" s="200">
        <v>44410</v>
      </c>
      <c r="E67" s="199" t="s">
        <v>20314</v>
      </c>
      <c r="I67" s="198">
        <v>2.77</v>
      </c>
      <c r="K67" s="198">
        <v>98277.52</v>
      </c>
    </row>
    <row r="68" spans="3:11" x14ac:dyDescent="0.2">
      <c r="C68" s="201" t="s">
        <v>20315</v>
      </c>
      <c r="D68" s="200">
        <v>44410</v>
      </c>
      <c r="E68" s="199" t="s">
        <v>20316</v>
      </c>
      <c r="I68" s="198">
        <v>1.68</v>
      </c>
      <c r="K68" s="198">
        <v>98279.2</v>
      </c>
    </row>
    <row r="69" spans="3:11" x14ac:dyDescent="0.2">
      <c r="C69" s="201" t="s">
        <v>20317</v>
      </c>
      <c r="D69" s="200">
        <v>44410</v>
      </c>
      <c r="E69" s="199" t="s">
        <v>20318</v>
      </c>
      <c r="I69" s="198">
        <v>6.94</v>
      </c>
      <c r="K69" s="198">
        <v>98286.14</v>
      </c>
    </row>
    <row r="70" spans="3:11" x14ac:dyDescent="0.2">
      <c r="C70" s="201" t="s">
        <v>20319</v>
      </c>
      <c r="D70" s="200">
        <v>44410</v>
      </c>
      <c r="E70" s="199" t="s">
        <v>20320</v>
      </c>
      <c r="I70" s="198">
        <v>0.06</v>
      </c>
      <c r="K70" s="198">
        <v>98286.2</v>
      </c>
    </row>
    <row r="71" spans="3:11" x14ac:dyDescent="0.2">
      <c r="C71" s="201" t="s">
        <v>20321</v>
      </c>
      <c r="D71" s="200">
        <v>44410</v>
      </c>
      <c r="E71" s="199" t="s">
        <v>20322</v>
      </c>
      <c r="I71" s="198">
        <v>1.7</v>
      </c>
      <c r="K71" s="198">
        <v>98287.9</v>
      </c>
    </row>
    <row r="72" spans="3:11" x14ac:dyDescent="0.2">
      <c r="C72" s="201" t="s">
        <v>20323</v>
      </c>
      <c r="D72" s="200">
        <v>44410</v>
      </c>
      <c r="E72" s="199" t="s">
        <v>20324</v>
      </c>
      <c r="I72" s="198">
        <v>1.68</v>
      </c>
      <c r="K72" s="198">
        <v>98289.58</v>
      </c>
    </row>
    <row r="73" spans="3:11" x14ac:dyDescent="0.2">
      <c r="C73" s="201" t="s">
        <v>20325</v>
      </c>
      <c r="D73" s="200">
        <v>44410</v>
      </c>
      <c r="E73" s="199" t="s">
        <v>20326</v>
      </c>
      <c r="I73" s="198">
        <v>5.71</v>
      </c>
      <c r="K73" s="198">
        <v>98295.29</v>
      </c>
    </row>
    <row r="74" spans="3:11" x14ac:dyDescent="0.2">
      <c r="C74" s="201" t="s">
        <v>20327</v>
      </c>
      <c r="D74" s="200">
        <v>44410</v>
      </c>
      <c r="E74" s="199" t="s">
        <v>20328</v>
      </c>
      <c r="I74" s="198">
        <v>8.1199999999999992</v>
      </c>
      <c r="K74" s="198">
        <v>98303.41</v>
      </c>
    </row>
    <row r="75" spans="3:11" x14ac:dyDescent="0.2">
      <c r="C75" s="201" t="s">
        <v>20329</v>
      </c>
      <c r="D75" s="200">
        <v>44410</v>
      </c>
      <c r="E75" s="199" t="s">
        <v>20330</v>
      </c>
      <c r="I75" s="198">
        <v>1.42</v>
      </c>
      <c r="K75" s="198">
        <v>98304.83</v>
      </c>
    </row>
    <row r="76" spans="3:11" x14ac:dyDescent="0.2">
      <c r="C76" s="201" t="s">
        <v>20331</v>
      </c>
      <c r="D76" s="200">
        <v>44411</v>
      </c>
      <c r="E76" s="199" t="s">
        <v>20332</v>
      </c>
      <c r="I76" s="198">
        <v>0.03</v>
      </c>
      <c r="K76" s="198">
        <v>98304.86</v>
      </c>
    </row>
    <row r="77" spans="3:11" x14ac:dyDescent="0.2">
      <c r="C77" s="201" t="s">
        <v>20333</v>
      </c>
      <c r="D77" s="200">
        <v>44411</v>
      </c>
      <c r="E77" s="199" t="s">
        <v>20334</v>
      </c>
      <c r="I77" s="198">
        <v>6.4</v>
      </c>
      <c r="K77" s="198">
        <v>98311.26</v>
      </c>
    </row>
    <row r="78" spans="3:11" x14ac:dyDescent="0.2">
      <c r="C78" s="201" t="s">
        <v>20335</v>
      </c>
      <c r="D78" s="200">
        <v>44411</v>
      </c>
      <c r="E78" s="199" t="s">
        <v>20336</v>
      </c>
      <c r="I78" s="198">
        <v>36.78</v>
      </c>
      <c r="K78" s="198">
        <v>98348.04</v>
      </c>
    </row>
    <row r="79" spans="3:11" x14ac:dyDescent="0.2">
      <c r="C79" s="201" t="s">
        <v>20337</v>
      </c>
      <c r="D79" s="200">
        <v>44411</v>
      </c>
      <c r="E79" s="199" t="s">
        <v>20338</v>
      </c>
      <c r="I79" s="198">
        <v>12</v>
      </c>
      <c r="K79" s="198">
        <v>98360.04</v>
      </c>
    </row>
    <row r="80" spans="3:11" x14ac:dyDescent="0.2">
      <c r="C80" s="201" t="s">
        <v>20339</v>
      </c>
      <c r="D80" s="200">
        <v>44411</v>
      </c>
      <c r="E80" s="199" t="s">
        <v>20340</v>
      </c>
      <c r="I80" s="198">
        <v>2.48</v>
      </c>
      <c r="K80" s="198">
        <v>98362.52</v>
      </c>
    </row>
    <row r="81" spans="3:11" x14ac:dyDescent="0.2">
      <c r="C81" s="201" t="s">
        <v>20341</v>
      </c>
      <c r="D81" s="200">
        <v>44411</v>
      </c>
      <c r="E81" s="199" t="s">
        <v>20342</v>
      </c>
      <c r="I81" s="198">
        <v>8.11</v>
      </c>
      <c r="K81" s="198">
        <v>98370.63</v>
      </c>
    </row>
    <row r="82" spans="3:11" x14ac:dyDescent="0.2">
      <c r="C82" s="201" t="s">
        <v>20343</v>
      </c>
      <c r="D82" s="200">
        <v>44411</v>
      </c>
      <c r="E82" s="199" t="s">
        <v>20344</v>
      </c>
      <c r="I82" s="198">
        <v>2.84</v>
      </c>
      <c r="K82" s="198">
        <v>98373.47</v>
      </c>
    </row>
    <row r="83" spans="3:11" x14ac:dyDescent="0.2">
      <c r="C83" s="201" t="s">
        <v>20345</v>
      </c>
      <c r="D83" s="200">
        <v>44411</v>
      </c>
      <c r="E83" s="199" t="s">
        <v>20346</v>
      </c>
      <c r="I83" s="198">
        <v>10</v>
      </c>
      <c r="K83" s="198">
        <v>98383.47</v>
      </c>
    </row>
    <row r="84" spans="3:11" x14ac:dyDescent="0.2">
      <c r="C84" s="201" t="s">
        <v>20347</v>
      </c>
      <c r="D84" s="200">
        <v>44411</v>
      </c>
      <c r="E84" s="199" t="s">
        <v>20348</v>
      </c>
      <c r="I84" s="198">
        <v>1.68</v>
      </c>
      <c r="K84" s="198">
        <v>98385.15</v>
      </c>
    </row>
    <row r="85" spans="3:11" x14ac:dyDescent="0.2">
      <c r="C85" s="201" t="s">
        <v>20349</v>
      </c>
      <c r="D85" s="200">
        <v>44411</v>
      </c>
      <c r="E85" s="199" t="s">
        <v>20350</v>
      </c>
      <c r="I85" s="198">
        <v>9.7899999999999991</v>
      </c>
      <c r="K85" s="198">
        <v>98394.94</v>
      </c>
    </row>
    <row r="86" spans="3:11" x14ac:dyDescent="0.2">
      <c r="C86" s="201" t="s">
        <v>20351</v>
      </c>
      <c r="D86" s="200">
        <v>44411</v>
      </c>
      <c r="E86" s="199" t="s">
        <v>20352</v>
      </c>
      <c r="I86" s="198">
        <v>6.94</v>
      </c>
      <c r="K86" s="198">
        <v>98401.88</v>
      </c>
    </row>
    <row r="87" spans="3:11" x14ac:dyDescent="0.2">
      <c r="C87" s="201" t="s">
        <v>20353</v>
      </c>
      <c r="D87" s="200">
        <v>44411</v>
      </c>
      <c r="E87" s="199" t="s">
        <v>20354</v>
      </c>
      <c r="I87" s="198">
        <v>1.68</v>
      </c>
      <c r="K87" s="198">
        <v>98403.56</v>
      </c>
    </row>
    <row r="88" spans="3:11" x14ac:dyDescent="0.2">
      <c r="C88" s="201" t="s">
        <v>20355</v>
      </c>
      <c r="D88" s="200">
        <v>44411</v>
      </c>
      <c r="E88" s="199" t="s">
        <v>20356</v>
      </c>
      <c r="I88" s="198">
        <v>0.24</v>
      </c>
      <c r="K88" s="198">
        <v>98403.8</v>
      </c>
    </row>
    <row r="89" spans="3:11" x14ac:dyDescent="0.2">
      <c r="C89" s="201" t="s">
        <v>20357</v>
      </c>
      <c r="D89" s="200">
        <v>44411</v>
      </c>
      <c r="E89" s="199" t="s">
        <v>20358</v>
      </c>
      <c r="I89" s="198">
        <v>8.3800000000000008</v>
      </c>
      <c r="K89" s="198">
        <v>98412.18</v>
      </c>
    </row>
    <row r="90" spans="3:11" x14ac:dyDescent="0.2">
      <c r="C90" s="201" t="s">
        <v>20359</v>
      </c>
      <c r="D90" s="200">
        <v>44411</v>
      </c>
      <c r="E90" s="199" t="s">
        <v>20360</v>
      </c>
      <c r="I90" s="198">
        <v>8.7200000000000006</v>
      </c>
      <c r="K90" s="198">
        <v>98420.9</v>
      </c>
    </row>
    <row r="91" spans="3:11" x14ac:dyDescent="0.2">
      <c r="C91" s="201" t="s">
        <v>20361</v>
      </c>
      <c r="D91" s="200">
        <v>44411</v>
      </c>
      <c r="E91" s="199" t="s">
        <v>20362</v>
      </c>
      <c r="I91" s="198">
        <v>6.94</v>
      </c>
      <c r="K91" s="198">
        <v>98427.839999999997</v>
      </c>
    </row>
    <row r="92" spans="3:11" x14ac:dyDescent="0.2">
      <c r="C92" s="201" t="s">
        <v>20363</v>
      </c>
      <c r="D92" s="200">
        <v>44411</v>
      </c>
      <c r="E92" s="199" t="s">
        <v>20364</v>
      </c>
      <c r="I92" s="198">
        <v>4.42</v>
      </c>
      <c r="K92" s="198">
        <v>98432.26</v>
      </c>
    </row>
    <row r="93" spans="3:11" x14ac:dyDescent="0.2">
      <c r="C93" s="201" t="s">
        <v>20365</v>
      </c>
      <c r="D93" s="200">
        <v>44411</v>
      </c>
      <c r="E93" s="199" t="s">
        <v>20366</v>
      </c>
      <c r="I93" s="198">
        <v>1.98</v>
      </c>
      <c r="K93" s="198">
        <v>98434.240000000005</v>
      </c>
    </row>
    <row r="94" spans="3:11" x14ac:dyDescent="0.2">
      <c r="C94" s="201" t="s">
        <v>20367</v>
      </c>
      <c r="D94" s="200">
        <v>44411</v>
      </c>
      <c r="E94" s="199" t="s">
        <v>20368</v>
      </c>
      <c r="I94" s="198">
        <v>0.84</v>
      </c>
      <c r="K94" s="198">
        <v>98435.08</v>
      </c>
    </row>
    <row r="95" spans="3:11" x14ac:dyDescent="0.2">
      <c r="C95" s="201" t="s">
        <v>20369</v>
      </c>
      <c r="D95" s="200">
        <v>44411</v>
      </c>
      <c r="E95" s="199" t="s">
        <v>20370</v>
      </c>
      <c r="I95" s="198">
        <v>1.68</v>
      </c>
      <c r="K95" s="198">
        <v>98436.76</v>
      </c>
    </row>
    <row r="96" spans="3:11" x14ac:dyDescent="0.2">
      <c r="C96" s="201" t="s">
        <v>20371</v>
      </c>
      <c r="D96" s="200">
        <v>44411</v>
      </c>
      <c r="E96" s="199" t="s">
        <v>20372</v>
      </c>
      <c r="I96" s="198">
        <v>8.3800000000000008</v>
      </c>
      <c r="K96" s="198">
        <v>98445.14</v>
      </c>
    </row>
    <row r="97" spans="3:11" x14ac:dyDescent="0.2">
      <c r="C97" s="201" t="s">
        <v>20373</v>
      </c>
      <c r="D97" s="200">
        <v>44411</v>
      </c>
      <c r="E97" s="199" t="s">
        <v>20374</v>
      </c>
      <c r="I97" s="198">
        <v>1.68</v>
      </c>
      <c r="K97" s="198">
        <v>98446.82</v>
      </c>
    </row>
    <row r="98" spans="3:11" x14ac:dyDescent="0.2">
      <c r="C98" s="201" t="s">
        <v>20375</v>
      </c>
      <c r="D98" s="200">
        <v>44411</v>
      </c>
      <c r="E98" s="199" t="s">
        <v>20376</v>
      </c>
      <c r="I98" s="198">
        <v>3.71</v>
      </c>
      <c r="K98" s="198">
        <v>98450.53</v>
      </c>
    </row>
    <row r="99" spans="3:11" x14ac:dyDescent="0.2">
      <c r="C99" s="201" t="s">
        <v>20377</v>
      </c>
      <c r="D99" s="200">
        <v>44411</v>
      </c>
      <c r="E99" s="199" t="s">
        <v>20378</v>
      </c>
      <c r="I99" s="198">
        <v>11.74</v>
      </c>
      <c r="K99" s="198">
        <v>98462.27</v>
      </c>
    </row>
    <row r="100" spans="3:11" x14ac:dyDescent="0.2">
      <c r="C100" s="201" t="s">
        <v>20379</v>
      </c>
      <c r="D100" s="200">
        <v>44411</v>
      </c>
      <c r="E100" s="199" t="s">
        <v>20380</v>
      </c>
      <c r="I100" s="198">
        <v>8.3800000000000008</v>
      </c>
      <c r="K100" s="198">
        <v>98470.65</v>
      </c>
    </row>
    <row r="101" spans="3:11" x14ac:dyDescent="0.2">
      <c r="C101" s="201" t="s">
        <v>20381</v>
      </c>
      <c r="D101" s="200">
        <v>44411</v>
      </c>
      <c r="E101" s="199" t="s">
        <v>20382</v>
      </c>
      <c r="I101" s="198">
        <v>7.82</v>
      </c>
      <c r="K101" s="198">
        <v>98478.47</v>
      </c>
    </row>
    <row r="102" spans="3:11" x14ac:dyDescent="0.2">
      <c r="C102" s="201" t="s">
        <v>20383</v>
      </c>
      <c r="D102" s="200">
        <v>44411</v>
      </c>
      <c r="E102" s="199" t="s">
        <v>20384</v>
      </c>
      <c r="I102" s="198">
        <v>4.1900000000000004</v>
      </c>
      <c r="K102" s="198">
        <v>98482.66</v>
      </c>
    </row>
    <row r="103" spans="3:11" x14ac:dyDescent="0.2">
      <c r="C103" s="201" t="s">
        <v>20385</v>
      </c>
      <c r="D103" s="200">
        <v>44411</v>
      </c>
      <c r="E103" s="199" t="s">
        <v>20386</v>
      </c>
      <c r="I103" s="198">
        <v>8.3800000000000008</v>
      </c>
      <c r="K103" s="198">
        <v>98491.04</v>
      </c>
    </row>
    <row r="104" spans="3:11" x14ac:dyDescent="0.2">
      <c r="C104" s="201" t="s">
        <v>20387</v>
      </c>
      <c r="D104" s="200">
        <v>44411</v>
      </c>
      <c r="E104" s="199" t="s">
        <v>20388</v>
      </c>
      <c r="I104" s="198">
        <v>7.41</v>
      </c>
      <c r="K104" s="198">
        <v>98498.45</v>
      </c>
    </row>
    <row r="105" spans="3:11" x14ac:dyDescent="0.2">
      <c r="C105" s="201" t="s">
        <v>20389</v>
      </c>
      <c r="D105" s="200">
        <v>44411</v>
      </c>
      <c r="E105" s="199" t="s">
        <v>20390</v>
      </c>
      <c r="I105" s="198">
        <v>3.16</v>
      </c>
      <c r="K105" s="198">
        <v>98501.61</v>
      </c>
    </row>
    <row r="106" spans="3:11" x14ac:dyDescent="0.2">
      <c r="C106" s="201" t="s">
        <v>20391</v>
      </c>
      <c r="D106" s="200">
        <v>44411</v>
      </c>
      <c r="E106" s="199" t="s">
        <v>20392</v>
      </c>
      <c r="I106" s="198">
        <v>2.21</v>
      </c>
      <c r="K106" s="198">
        <v>98503.82</v>
      </c>
    </row>
    <row r="107" spans="3:11" x14ac:dyDescent="0.2">
      <c r="C107" s="201" t="s">
        <v>20393</v>
      </c>
      <c r="D107" s="200">
        <v>44411</v>
      </c>
      <c r="E107" s="199" t="s">
        <v>20394</v>
      </c>
      <c r="I107" s="198">
        <v>1.68</v>
      </c>
      <c r="K107" s="198">
        <v>98505.5</v>
      </c>
    </row>
    <row r="108" spans="3:11" x14ac:dyDescent="0.2">
      <c r="C108" s="201" t="s">
        <v>20395</v>
      </c>
      <c r="D108" s="200">
        <v>44411</v>
      </c>
      <c r="E108" s="199" t="s">
        <v>20396</v>
      </c>
      <c r="I108" s="198">
        <v>3.47</v>
      </c>
      <c r="K108" s="198">
        <v>98508.97</v>
      </c>
    </row>
    <row r="109" spans="3:11" x14ac:dyDescent="0.2">
      <c r="C109" s="201" t="s">
        <v>20397</v>
      </c>
      <c r="D109" s="200">
        <v>44411</v>
      </c>
      <c r="E109" s="199" t="s">
        <v>20398</v>
      </c>
      <c r="I109" s="198">
        <v>2.58</v>
      </c>
      <c r="K109" s="198">
        <v>98511.55</v>
      </c>
    </row>
    <row r="110" spans="3:11" x14ac:dyDescent="0.2">
      <c r="C110" s="201" t="s">
        <v>20399</v>
      </c>
      <c r="D110" s="200">
        <v>44411</v>
      </c>
      <c r="E110" s="199" t="s">
        <v>20400</v>
      </c>
      <c r="I110" s="198">
        <v>1.86</v>
      </c>
      <c r="K110" s="198">
        <v>98513.41</v>
      </c>
    </row>
    <row r="111" spans="3:11" x14ac:dyDescent="0.2">
      <c r="C111" s="201" t="s">
        <v>20401</v>
      </c>
      <c r="D111" s="200">
        <v>44411</v>
      </c>
      <c r="E111" s="199" t="s">
        <v>20402</v>
      </c>
      <c r="I111" s="198">
        <v>7.82</v>
      </c>
      <c r="K111" s="198">
        <v>98521.23</v>
      </c>
    </row>
    <row r="112" spans="3:11" x14ac:dyDescent="0.2">
      <c r="C112" s="201" t="s">
        <v>20403</v>
      </c>
      <c r="D112" s="200">
        <v>44411</v>
      </c>
      <c r="E112" s="199" t="s">
        <v>20404</v>
      </c>
      <c r="I112" s="198">
        <v>12.3</v>
      </c>
      <c r="K112" s="198">
        <v>98533.53</v>
      </c>
    </row>
    <row r="113" spans="3:11" x14ac:dyDescent="0.2">
      <c r="C113" s="201" t="s">
        <v>20405</v>
      </c>
      <c r="D113" s="200">
        <v>44411</v>
      </c>
      <c r="E113" s="199" t="s">
        <v>20406</v>
      </c>
      <c r="I113" s="198">
        <v>4.1900000000000004</v>
      </c>
      <c r="K113" s="198">
        <v>98537.72</v>
      </c>
    </row>
    <row r="114" spans="3:11" x14ac:dyDescent="0.2">
      <c r="C114" s="201" t="s">
        <v>20407</v>
      </c>
      <c r="D114" s="200">
        <v>44411</v>
      </c>
      <c r="E114" s="199" t="s">
        <v>20408</v>
      </c>
      <c r="I114" s="198">
        <v>7.82</v>
      </c>
      <c r="K114" s="198">
        <v>98545.54</v>
      </c>
    </row>
    <row r="115" spans="3:11" x14ac:dyDescent="0.2">
      <c r="C115" s="201" t="s">
        <v>20409</v>
      </c>
      <c r="D115" s="200">
        <v>44411</v>
      </c>
      <c r="E115" s="199" t="s">
        <v>20410</v>
      </c>
      <c r="I115" s="198">
        <v>4.1900000000000004</v>
      </c>
      <c r="K115" s="198">
        <v>98549.73</v>
      </c>
    </row>
    <row r="116" spans="3:11" x14ac:dyDescent="0.2">
      <c r="C116" s="201" t="s">
        <v>20411</v>
      </c>
      <c r="D116" s="200">
        <v>44411</v>
      </c>
      <c r="E116" s="199" t="s">
        <v>20412</v>
      </c>
      <c r="I116" s="198">
        <v>1.68</v>
      </c>
      <c r="K116" s="198">
        <v>98551.41</v>
      </c>
    </row>
    <row r="117" spans="3:11" x14ac:dyDescent="0.2">
      <c r="C117" s="201" t="s">
        <v>20413</v>
      </c>
      <c r="D117" s="200">
        <v>44411</v>
      </c>
      <c r="E117" s="199" t="s">
        <v>20414</v>
      </c>
      <c r="I117" s="198">
        <v>8.3800000000000008</v>
      </c>
      <c r="K117" s="198">
        <v>98559.79</v>
      </c>
    </row>
    <row r="118" spans="3:11" x14ac:dyDescent="0.2">
      <c r="C118" s="201" t="s">
        <v>20415</v>
      </c>
      <c r="D118" s="200">
        <v>44411</v>
      </c>
      <c r="E118" s="199" t="s">
        <v>20416</v>
      </c>
      <c r="I118" s="198">
        <v>1.68</v>
      </c>
      <c r="K118" s="198">
        <v>98561.47</v>
      </c>
    </row>
    <row r="119" spans="3:11" x14ac:dyDescent="0.2">
      <c r="C119" s="201" t="s">
        <v>20417</v>
      </c>
      <c r="D119" s="200">
        <v>44411</v>
      </c>
      <c r="E119" s="199" t="s">
        <v>20418</v>
      </c>
      <c r="I119" s="198">
        <v>17.899999999999999</v>
      </c>
      <c r="K119" s="198">
        <v>98579.37</v>
      </c>
    </row>
    <row r="120" spans="3:11" x14ac:dyDescent="0.2">
      <c r="C120" s="201" t="s">
        <v>20419</v>
      </c>
      <c r="D120" s="200">
        <v>44411</v>
      </c>
      <c r="E120" s="199" t="s">
        <v>20420</v>
      </c>
      <c r="I120" s="198">
        <v>1.68</v>
      </c>
      <c r="K120" s="198">
        <v>98581.05</v>
      </c>
    </row>
    <row r="121" spans="3:11" x14ac:dyDescent="0.2">
      <c r="C121" s="201" t="s">
        <v>20421</v>
      </c>
      <c r="D121" s="200">
        <v>44411</v>
      </c>
      <c r="E121" s="199" t="s">
        <v>20422</v>
      </c>
      <c r="I121" s="198">
        <v>1.94</v>
      </c>
      <c r="K121" s="198">
        <v>98582.99</v>
      </c>
    </row>
    <row r="122" spans="3:11" x14ac:dyDescent="0.2">
      <c r="C122" s="201" t="s">
        <v>20423</v>
      </c>
      <c r="D122" s="200">
        <v>44411</v>
      </c>
      <c r="E122" s="199" t="s">
        <v>20424</v>
      </c>
      <c r="I122" s="198">
        <v>1.95</v>
      </c>
      <c r="K122" s="198">
        <v>98584.94</v>
      </c>
    </row>
    <row r="123" spans="3:11" x14ac:dyDescent="0.2">
      <c r="C123" s="201" t="s">
        <v>20425</v>
      </c>
      <c r="D123" s="200">
        <v>44411</v>
      </c>
      <c r="E123" s="199" t="s">
        <v>20426</v>
      </c>
      <c r="I123" s="198">
        <v>1.94</v>
      </c>
      <c r="K123" s="198">
        <v>98586.880000000005</v>
      </c>
    </row>
    <row r="124" spans="3:11" x14ac:dyDescent="0.2">
      <c r="C124" s="201" t="s">
        <v>20427</v>
      </c>
      <c r="D124" s="200">
        <v>44411</v>
      </c>
      <c r="E124" s="199" t="s">
        <v>20428</v>
      </c>
      <c r="I124" s="198">
        <v>3.71</v>
      </c>
      <c r="K124" s="198">
        <v>98590.59</v>
      </c>
    </row>
    <row r="125" spans="3:11" x14ac:dyDescent="0.2">
      <c r="C125" s="201" t="s">
        <v>20429</v>
      </c>
      <c r="D125" s="200">
        <v>44411</v>
      </c>
      <c r="E125" s="199" t="s">
        <v>20430</v>
      </c>
      <c r="I125" s="198">
        <v>35.99</v>
      </c>
      <c r="K125" s="198">
        <v>98626.58</v>
      </c>
    </row>
    <row r="126" spans="3:11" x14ac:dyDescent="0.2">
      <c r="C126" s="201" t="s">
        <v>20431</v>
      </c>
      <c r="D126" s="200">
        <v>44411</v>
      </c>
      <c r="E126" s="199" t="s">
        <v>20432</v>
      </c>
      <c r="I126" s="198">
        <v>15.3</v>
      </c>
      <c r="K126" s="198">
        <v>98641.88</v>
      </c>
    </row>
    <row r="127" spans="3:11" x14ac:dyDescent="0.2">
      <c r="C127" s="201" t="s">
        <v>20433</v>
      </c>
      <c r="D127" s="200">
        <v>44411</v>
      </c>
      <c r="E127" s="199" t="s">
        <v>20434</v>
      </c>
      <c r="I127" s="198">
        <v>15.3</v>
      </c>
      <c r="K127" s="198">
        <v>98657.18</v>
      </c>
    </row>
    <row r="128" spans="3:11" x14ac:dyDescent="0.2">
      <c r="C128" s="201" t="s">
        <v>20435</v>
      </c>
      <c r="D128" s="200">
        <v>44411</v>
      </c>
      <c r="E128" s="199" t="s">
        <v>20436</v>
      </c>
      <c r="I128" s="198">
        <v>15.3</v>
      </c>
      <c r="K128" s="198">
        <v>98672.48</v>
      </c>
    </row>
    <row r="129" spans="3:11" x14ac:dyDescent="0.2">
      <c r="C129" s="201" t="s">
        <v>20437</v>
      </c>
      <c r="D129" s="200">
        <v>44411</v>
      </c>
      <c r="E129" s="199" t="s">
        <v>20438</v>
      </c>
      <c r="I129" s="198">
        <v>1.94</v>
      </c>
      <c r="K129" s="198">
        <v>98674.42</v>
      </c>
    </row>
    <row r="130" spans="3:11" x14ac:dyDescent="0.2">
      <c r="C130" s="201" t="s">
        <v>20439</v>
      </c>
      <c r="D130" s="200">
        <v>44411</v>
      </c>
      <c r="E130" s="199" t="s">
        <v>20440</v>
      </c>
      <c r="I130" s="198">
        <v>1.94</v>
      </c>
      <c r="K130" s="198">
        <v>98676.36</v>
      </c>
    </row>
    <row r="131" spans="3:11" x14ac:dyDescent="0.2">
      <c r="C131" s="201" t="s">
        <v>20441</v>
      </c>
      <c r="D131" s="200">
        <v>44411</v>
      </c>
      <c r="E131" s="199" t="s">
        <v>20442</v>
      </c>
      <c r="I131" s="198">
        <v>15.3</v>
      </c>
      <c r="K131" s="198">
        <v>98691.66</v>
      </c>
    </row>
    <row r="132" spans="3:11" x14ac:dyDescent="0.2">
      <c r="C132" s="201" t="s">
        <v>20443</v>
      </c>
      <c r="D132" s="200">
        <v>44411</v>
      </c>
      <c r="E132" s="199" t="s">
        <v>20444</v>
      </c>
      <c r="I132" s="198">
        <v>10.29</v>
      </c>
      <c r="K132" s="198">
        <v>98701.95</v>
      </c>
    </row>
    <row r="133" spans="3:11" x14ac:dyDescent="0.2">
      <c r="C133" s="201" t="s">
        <v>20445</v>
      </c>
      <c r="D133" s="200">
        <v>44411</v>
      </c>
      <c r="E133" s="199" t="s">
        <v>20446</v>
      </c>
      <c r="I133" s="198">
        <v>3.62</v>
      </c>
      <c r="K133" s="198">
        <v>98705.57</v>
      </c>
    </row>
    <row r="134" spans="3:11" x14ac:dyDescent="0.2">
      <c r="C134" s="201" t="s">
        <v>20447</v>
      </c>
      <c r="D134" s="200">
        <v>44411</v>
      </c>
      <c r="E134" s="199" t="s">
        <v>20448</v>
      </c>
      <c r="I134" s="198">
        <v>8.51</v>
      </c>
      <c r="K134" s="198">
        <v>98714.08</v>
      </c>
    </row>
    <row r="135" spans="3:11" x14ac:dyDescent="0.2">
      <c r="C135" s="201" t="s">
        <v>20449</v>
      </c>
      <c r="D135" s="200">
        <v>44411</v>
      </c>
      <c r="E135" s="199" t="s">
        <v>20450</v>
      </c>
      <c r="I135" s="198">
        <v>6.45</v>
      </c>
      <c r="K135" s="198">
        <v>98720.53</v>
      </c>
    </row>
    <row r="136" spans="3:11" x14ac:dyDescent="0.2">
      <c r="C136" s="201" t="s">
        <v>20451</v>
      </c>
      <c r="D136" s="200">
        <v>44411</v>
      </c>
      <c r="E136" s="199" t="s">
        <v>20452</v>
      </c>
      <c r="I136" s="198">
        <v>2.13</v>
      </c>
      <c r="K136" s="198">
        <v>98722.66</v>
      </c>
    </row>
    <row r="137" spans="3:11" x14ac:dyDescent="0.2">
      <c r="C137" s="201" t="s">
        <v>20453</v>
      </c>
      <c r="D137" s="200">
        <v>44411</v>
      </c>
      <c r="E137" s="199" t="s">
        <v>20454</v>
      </c>
      <c r="I137" s="198">
        <v>1.02</v>
      </c>
      <c r="K137" s="198">
        <v>98723.68</v>
      </c>
    </row>
    <row r="138" spans="3:11" x14ac:dyDescent="0.2">
      <c r="C138" s="201" t="s">
        <v>20455</v>
      </c>
      <c r="D138" s="200">
        <v>44411</v>
      </c>
      <c r="E138" s="199" t="s">
        <v>20456</v>
      </c>
      <c r="I138" s="198">
        <v>8.3800000000000008</v>
      </c>
      <c r="K138" s="198">
        <v>98732.06</v>
      </c>
    </row>
    <row r="139" spans="3:11" x14ac:dyDescent="0.2">
      <c r="C139" s="201" t="s">
        <v>20457</v>
      </c>
      <c r="D139" s="200">
        <v>44411</v>
      </c>
      <c r="E139" s="199" t="s">
        <v>20458</v>
      </c>
      <c r="I139" s="198">
        <v>0.24</v>
      </c>
      <c r="K139" s="198">
        <v>98732.3</v>
      </c>
    </row>
    <row r="140" spans="3:11" x14ac:dyDescent="0.2">
      <c r="C140" s="201" t="s">
        <v>20459</v>
      </c>
      <c r="D140" s="200">
        <v>44411</v>
      </c>
      <c r="E140" s="199" t="s">
        <v>20460</v>
      </c>
      <c r="I140" s="198">
        <v>1.8</v>
      </c>
      <c r="K140" s="198">
        <v>98734.1</v>
      </c>
    </row>
    <row r="141" spans="3:11" x14ac:dyDescent="0.2">
      <c r="C141" s="201" t="s">
        <v>20461</v>
      </c>
      <c r="D141" s="200">
        <v>44411</v>
      </c>
      <c r="E141" s="199" t="s">
        <v>20462</v>
      </c>
      <c r="I141" s="198">
        <v>4.79</v>
      </c>
      <c r="K141" s="198">
        <v>98738.89</v>
      </c>
    </row>
    <row r="142" spans="3:11" x14ac:dyDescent="0.2">
      <c r="C142" s="201" t="s">
        <v>20463</v>
      </c>
      <c r="D142" s="200">
        <v>44411</v>
      </c>
      <c r="E142" s="199" t="s">
        <v>20464</v>
      </c>
      <c r="I142" s="198">
        <v>10.43</v>
      </c>
      <c r="K142" s="198">
        <v>98749.32</v>
      </c>
    </row>
    <row r="143" spans="3:11" x14ac:dyDescent="0.2">
      <c r="C143" s="201" t="s">
        <v>20465</v>
      </c>
      <c r="D143" s="200">
        <v>44411</v>
      </c>
      <c r="E143" s="199" t="s">
        <v>20466</v>
      </c>
      <c r="I143" s="198">
        <v>3.36</v>
      </c>
      <c r="K143" s="198">
        <v>98752.68</v>
      </c>
    </row>
    <row r="144" spans="3:11" x14ac:dyDescent="0.2">
      <c r="C144" s="201" t="s">
        <v>20467</v>
      </c>
      <c r="D144" s="200">
        <v>44411</v>
      </c>
      <c r="E144" s="199" t="s">
        <v>20468</v>
      </c>
      <c r="I144" s="198">
        <v>5.75</v>
      </c>
      <c r="K144" s="198">
        <v>98758.43</v>
      </c>
    </row>
    <row r="145" spans="3:11" x14ac:dyDescent="0.2">
      <c r="C145" s="201" t="s">
        <v>20469</v>
      </c>
      <c r="D145" s="200">
        <v>44411</v>
      </c>
      <c r="E145" s="199" t="s">
        <v>20470</v>
      </c>
      <c r="I145" s="198">
        <v>2.27</v>
      </c>
      <c r="K145" s="198">
        <v>98760.7</v>
      </c>
    </row>
    <row r="146" spans="3:11" x14ac:dyDescent="0.2">
      <c r="C146" s="201" t="s">
        <v>20471</v>
      </c>
      <c r="D146" s="200">
        <v>44411</v>
      </c>
      <c r="E146" s="199" t="s">
        <v>20472</v>
      </c>
      <c r="I146" s="198">
        <v>19.07</v>
      </c>
      <c r="K146" s="198">
        <v>98779.77</v>
      </c>
    </row>
    <row r="147" spans="3:11" x14ac:dyDescent="0.2">
      <c r="C147" s="201" t="s">
        <v>20473</v>
      </c>
      <c r="D147" s="200">
        <v>44411</v>
      </c>
      <c r="E147" s="199" t="s">
        <v>20474</v>
      </c>
      <c r="I147" s="198">
        <v>2.41</v>
      </c>
      <c r="K147" s="198">
        <v>98782.18</v>
      </c>
    </row>
    <row r="148" spans="3:11" x14ac:dyDescent="0.2">
      <c r="C148" s="201" t="s">
        <v>20475</v>
      </c>
      <c r="D148" s="200">
        <v>44411</v>
      </c>
      <c r="E148" s="199" t="s">
        <v>20476</v>
      </c>
      <c r="I148" s="198">
        <v>1.69</v>
      </c>
      <c r="K148" s="198">
        <v>98783.87</v>
      </c>
    </row>
    <row r="149" spans="3:11" x14ac:dyDescent="0.2">
      <c r="C149" s="201" t="s">
        <v>20477</v>
      </c>
      <c r="D149" s="200">
        <v>44411</v>
      </c>
      <c r="E149" s="199" t="s">
        <v>20478</v>
      </c>
      <c r="I149" s="198">
        <v>11.58</v>
      </c>
      <c r="K149" s="198">
        <v>98795.45</v>
      </c>
    </row>
    <row r="150" spans="3:11" x14ac:dyDescent="0.2">
      <c r="C150" s="201" t="s">
        <v>20479</v>
      </c>
      <c r="D150" s="200">
        <v>44411</v>
      </c>
      <c r="E150" s="199" t="s">
        <v>20480</v>
      </c>
      <c r="I150" s="198">
        <v>3.47</v>
      </c>
      <c r="K150" s="198">
        <v>98798.92</v>
      </c>
    </row>
    <row r="151" spans="3:11" x14ac:dyDescent="0.2">
      <c r="C151" s="201" t="s">
        <v>20481</v>
      </c>
      <c r="D151" s="200">
        <v>44411</v>
      </c>
      <c r="E151" s="199" t="s">
        <v>20482</v>
      </c>
      <c r="I151" s="198">
        <v>8.85</v>
      </c>
      <c r="K151" s="198">
        <v>98807.77</v>
      </c>
    </row>
    <row r="152" spans="3:11" x14ac:dyDescent="0.2">
      <c r="C152" s="201" t="s">
        <v>20483</v>
      </c>
      <c r="D152" s="200">
        <v>44411</v>
      </c>
      <c r="E152" s="199" t="s">
        <v>20484</v>
      </c>
      <c r="I152" s="198">
        <v>3.56</v>
      </c>
      <c r="K152" s="198">
        <v>98811.33</v>
      </c>
    </row>
    <row r="153" spans="3:11" x14ac:dyDescent="0.2">
      <c r="C153" s="201" t="s">
        <v>20485</v>
      </c>
      <c r="D153" s="200">
        <v>44411</v>
      </c>
      <c r="E153" s="199" t="s">
        <v>20486</v>
      </c>
      <c r="I153" s="198">
        <v>0.57999999999999996</v>
      </c>
      <c r="K153" s="198">
        <v>98811.91</v>
      </c>
    </row>
    <row r="154" spans="3:11" x14ac:dyDescent="0.2">
      <c r="C154" s="201" t="s">
        <v>20487</v>
      </c>
      <c r="D154" s="200">
        <v>44411</v>
      </c>
      <c r="E154" s="199" t="s">
        <v>20488</v>
      </c>
      <c r="I154" s="198">
        <v>1.9</v>
      </c>
      <c r="K154" s="198">
        <v>98813.81</v>
      </c>
    </row>
    <row r="155" spans="3:11" x14ac:dyDescent="0.2">
      <c r="C155" s="201" t="s">
        <v>20489</v>
      </c>
      <c r="D155" s="200">
        <v>44411</v>
      </c>
      <c r="E155" s="199" t="s">
        <v>20490</v>
      </c>
      <c r="I155" s="198">
        <v>10.51</v>
      </c>
      <c r="K155" s="198">
        <v>98824.320000000007</v>
      </c>
    </row>
    <row r="156" spans="3:11" x14ac:dyDescent="0.2">
      <c r="C156" s="201" t="s">
        <v>20491</v>
      </c>
      <c r="D156" s="200">
        <v>44411</v>
      </c>
      <c r="E156" s="199" t="s">
        <v>20492</v>
      </c>
      <c r="I156" s="198">
        <v>2.39</v>
      </c>
      <c r="K156" s="198">
        <v>98826.71</v>
      </c>
    </row>
    <row r="157" spans="3:11" x14ac:dyDescent="0.2">
      <c r="C157" s="201" t="s">
        <v>20493</v>
      </c>
      <c r="D157" s="200">
        <v>44411</v>
      </c>
      <c r="E157" s="199" t="s">
        <v>20494</v>
      </c>
      <c r="I157" s="198">
        <v>0.84</v>
      </c>
      <c r="K157" s="198">
        <v>98827.55</v>
      </c>
    </row>
    <row r="158" spans="3:11" x14ac:dyDescent="0.2">
      <c r="C158" s="201" t="s">
        <v>20495</v>
      </c>
      <c r="D158" s="200">
        <v>44411</v>
      </c>
      <c r="E158" s="199" t="s">
        <v>20496</v>
      </c>
      <c r="I158" s="198">
        <v>8.61</v>
      </c>
      <c r="K158" s="198">
        <v>98836.160000000003</v>
      </c>
    </row>
    <row r="159" spans="3:11" x14ac:dyDescent="0.2">
      <c r="C159" s="201" t="s">
        <v>20497</v>
      </c>
      <c r="D159" s="200">
        <v>44411</v>
      </c>
      <c r="E159" s="199" t="s">
        <v>20498</v>
      </c>
      <c r="I159" s="198">
        <v>1.06</v>
      </c>
      <c r="K159" s="198">
        <v>98837.22</v>
      </c>
    </row>
    <row r="160" spans="3:11" x14ac:dyDescent="0.2">
      <c r="C160" s="201" t="s">
        <v>20499</v>
      </c>
      <c r="D160" s="200">
        <v>44411</v>
      </c>
      <c r="E160" s="199" t="s">
        <v>20500</v>
      </c>
      <c r="I160" s="198">
        <v>43.42</v>
      </c>
      <c r="K160" s="198">
        <v>98880.639999999999</v>
      </c>
    </row>
    <row r="161" spans="3:11" x14ac:dyDescent="0.2">
      <c r="C161" s="201" t="s">
        <v>20501</v>
      </c>
      <c r="D161" s="200">
        <v>44411</v>
      </c>
      <c r="E161" s="199" t="s">
        <v>20502</v>
      </c>
      <c r="I161" s="198">
        <v>2.06</v>
      </c>
      <c r="K161" s="198">
        <v>98882.7</v>
      </c>
    </row>
    <row r="162" spans="3:11" x14ac:dyDescent="0.2">
      <c r="C162" s="201" t="s">
        <v>20503</v>
      </c>
      <c r="D162" s="200">
        <v>44411</v>
      </c>
      <c r="E162" s="199" t="s">
        <v>20504</v>
      </c>
      <c r="I162" s="198">
        <v>7.59</v>
      </c>
      <c r="K162" s="198">
        <v>98890.29</v>
      </c>
    </row>
    <row r="163" spans="3:11" x14ac:dyDescent="0.2">
      <c r="C163" s="201" t="s">
        <v>20505</v>
      </c>
      <c r="D163" s="200">
        <v>44411</v>
      </c>
      <c r="E163" s="199" t="s">
        <v>20506</v>
      </c>
      <c r="I163" s="198">
        <v>1.68</v>
      </c>
      <c r="K163" s="198">
        <v>98891.97</v>
      </c>
    </row>
    <row r="164" spans="3:11" x14ac:dyDescent="0.2">
      <c r="C164" s="201" t="s">
        <v>20507</v>
      </c>
      <c r="D164" s="200">
        <v>44411</v>
      </c>
      <c r="E164" s="199" t="s">
        <v>20508</v>
      </c>
      <c r="I164" s="198">
        <v>5.08</v>
      </c>
      <c r="K164" s="198">
        <v>98897.05</v>
      </c>
    </row>
    <row r="165" spans="3:11" x14ac:dyDescent="0.2">
      <c r="C165" s="201" t="s">
        <v>20509</v>
      </c>
      <c r="D165" s="200">
        <v>44411</v>
      </c>
      <c r="E165" s="199" t="s">
        <v>20510</v>
      </c>
      <c r="I165" s="198">
        <v>3.66</v>
      </c>
      <c r="K165" s="198">
        <v>98900.71</v>
      </c>
    </row>
    <row r="166" spans="3:11" x14ac:dyDescent="0.2">
      <c r="C166" s="201" t="s">
        <v>20511</v>
      </c>
      <c r="D166" s="200">
        <v>44411</v>
      </c>
      <c r="E166" s="199" t="s">
        <v>20512</v>
      </c>
      <c r="I166" s="198">
        <v>3996.28</v>
      </c>
      <c r="K166" s="198">
        <v>102896.99</v>
      </c>
    </row>
    <row r="167" spans="3:11" x14ac:dyDescent="0.2">
      <c r="C167" s="201" t="s">
        <v>20513</v>
      </c>
      <c r="D167" s="200">
        <v>44411</v>
      </c>
      <c r="E167" s="199" t="s">
        <v>20514</v>
      </c>
      <c r="I167" s="198">
        <v>580.44000000000005</v>
      </c>
      <c r="K167" s="198">
        <v>103477.43</v>
      </c>
    </row>
    <row r="168" spans="3:11" x14ac:dyDescent="0.2">
      <c r="C168" s="201" t="s">
        <v>1532</v>
      </c>
      <c r="D168" s="200">
        <v>44411</v>
      </c>
      <c r="E168" s="199" t="s">
        <v>20515</v>
      </c>
      <c r="I168" s="198">
        <v>503.45</v>
      </c>
      <c r="K168" s="198">
        <v>103980.88</v>
      </c>
    </row>
    <row r="169" spans="3:11" x14ac:dyDescent="0.2">
      <c r="C169" s="201" t="s">
        <v>7217</v>
      </c>
      <c r="D169" s="200">
        <v>44411</v>
      </c>
      <c r="E169" s="199" t="s">
        <v>20516</v>
      </c>
      <c r="I169" s="198">
        <v>1.36</v>
      </c>
      <c r="K169" s="198">
        <v>103982.24</v>
      </c>
    </row>
    <row r="170" spans="3:11" x14ac:dyDescent="0.2">
      <c r="C170" s="201" t="s">
        <v>10042</v>
      </c>
      <c r="D170" s="200">
        <v>44411</v>
      </c>
      <c r="E170" s="199" t="s">
        <v>20517</v>
      </c>
      <c r="I170" s="198">
        <v>91.87</v>
      </c>
      <c r="K170" s="198">
        <v>104074.11</v>
      </c>
    </row>
    <row r="171" spans="3:11" x14ac:dyDescent="0.2">
      <c r="C171" s="201" t="s">
        <v>20518</v>
      </c>
      <c r="D171" s="200">
        <v>44412</v>
      </c>
      <c r="E171" s="199" t="s">
        <v>20519</v>
      </c>
      <c r="I171" s="198">
        <v>6.21</v>
      </c>
      <c r="K171" s="198">
        <v>104080.32000000001</v>
      </c>
    </row>
    <row r="172" spans="3:11" x14ac:dyDescent="0.2">
      <c r="C172" s="201" t="s">
        <v>20520</v>
      </c>
      <c r="D172" s="200">
        <v>44412</v>
      </c>
      <c r="E172" s="199" t="s">
        <v>20521</v>
      </c>
      <c r="I172" s="198">
        <v>12.01</v>
      </c>
      <c r="K172" s="198">
        <v>104092.33</v>
      </c>
    </row>
    <row r="173" spans="3:11" x14ac:dyDescent="0.2">
      <c r="C173" s="201" t="s">
        <v>20522</v>
      </c>
      <c r="D173" s="200">
        <v>44412</v>
      </c>
      <c r="E173" s="199" t="s">
        <v>20523</v>
      </c>
      <c r="I173" s="198">
        <v>9.59</v>
      </c>
      <c r="K173" s="198">
        <v>104101.92</v>
      </c>
    </row>
    <row r="174" spans="3:11" x14ac:dyDescent="0.2">
      <c r="C174" s="201" t="s">
        <v>20524</v>
      </c>
      <c r="D174" s="200">
        <v>44412</v>
      </c>
      <c r="E174" s="199" t="s">
        <v>20525</v>
      </c>
      <c r="I174" s="198">
        <v>4.01</v>
      </c>
      <c r="K174" s="198">
        <v>104105.93</v>
      </c>
    </row>
    <row r="175" spans="3:11" x14ac:dyDescent="0.2">
      <c r="C175" s="201" t="s">
        <v>20526</v>
      </c>
      <c r="D175" s="200">
        <v>44412</v>
      </c>
      <c r="E175" s="199" t="s">
        <v>20527</v>
      </c>
      <c r="I175" s="198">
        <v>1.79</v>
      </c>
      <c r="K175" s="198">
        <v>104107.72</v>
      </c>
    </row>
    <row r="176" spans="3:11" x14ac:dyDescent="0.2">
      <c r="C176" s="201" t="s">
        <v>20528</v>
      </c>
      <c r="D176" s="200">
        <v>44412</v>
      </c>
      <c r="E176" s="199" t="s">
        <v>20529</v>
      </c>
      <c r="I176" s="198">
        <v>25.36</v>
      </c>
      <c r="K176" s="198">
        <v>104133.08</v>
      </c>
    </row>
    <row r="177" spans="3:11" x14ac:dyDescent="0.2">
      <c r="C177" s="201" t="s">
        <v>20530</v>
      </c>
      <c r="D177" s="200">
        <v>44412</v>
      </c>
      <c r="E177" s="199" t="s">
        <v>20531</v>
      </c>
      <c r="I177" s="198">
        <v>2.59</v>
      </c>
      <c r="K177" s="198">
        <v>104135.67</v>
      </c>
    </row>
    <row r="178" spans="3:11" x14ac:dyDescent="0.2">
      <c r="C178" s="201" t="s">
        <v>20532</v>
      </c>
      <c r="D178" s="200">
        <v>44412</v>
      </c>
      <c r="E178" s="199" t="s">
        <v>20533</v>
      </c>
      <c r="I178" s="198">
        <v>2.4700000000000002</v>
      </c>
      <c r="K178" s="198">
        <v>104138.14</v>
      </c>
    </row>
    <row r="179" spans="3:11" x14ac:dyDescent="0.2">
      <c r="C179" s="201" t="s">
        <v>20534</v>
      </c>
      <c r="D179" s="200">
        <v>44412</v>
      </c>
      <c r="E179" s="199" t="s">
        <v>20535</v>
      </c>
      <c r="I179" s="198">
        <v>15</v>
      </c>
      <c r="K179" s="198">
        <v>104153.14</v>
      </c>
    </row>
    <row r="180" spans="3:11" x14ac:dyDescent="0.2">
      <c r="C180" s="201" t="s">
        <v>20536</v>
      </c>
      <c r="D180" s="200">
        <v>44412</v>
      </c>
      <c r="E180" s="199" t="s">
        <v>20537</v>
      </c>
      <c r="I180" s="198">
        <v>1.68</v>
      </c>
      <c r="K180" s="198">
        <v>104154.82</v>
      </c>
    </row>
    <row r="181" spans="3:11" x14ac:dyDescent="0.2">
      <c r="C181" s="201" t="s">
        <v>20538</v>
      </c>
      <c r="D181" s="200">
        <v>44412</v>
      </c>
      <c r="E181" s="199" t="s">
        <v>20539</v>
      </c>
      <c r="I181" s="198">
        <v>5.18</v>
      </c>
      <c r="K181" s="198">
        <v>104160</v>
      </c>
    </row>
    <row r="182" spans="3:11" x14ac:dyDescent="0.2">
      <c r="C182" s="201" t="s">
        <v>20540</v>
      </c>
      <c r="D182" s="200">
        <v>44412</v>
      </c>
      <c r="E182" s="199" t="s">
        <v>20541</v>
      </c>
      <c r="I182" s="198">
        <v>6.21</v>
      </c>
      <c r="K182" s="198">
        <v>104166.21</v>
      </c>
    </row>
    <row r="183" spans="3:11" x14ac:dyDescent="0.2">
      <c r="C183" s="201" t="s">
        <v>20542</v>
      </c>
      <c r="D183" s="200">
        <v>44412</v>
      </c>
      <c r="E183" s="199" t="s">
        <v>20543</v>
      </c>
      <c r="I183" s="198">
        <v>5.81</v>
      </c>
      <c r="K183" s="198">
        <v>104172.02</v>
      </c>
    </row>
    <row r="184" spans="3:11" x14ac:dyDescent="0.2">
      <c r="C184" s="201" t="s">
        <v>20544</v>
      </c>
      <c r="D184" s="200">
        <v>44412</v>
      </c>
      <c r="E184" s="199" t="s">
        <v>20545</v>
      </c>
      <c r="I184" s="198">
        <v>5.92</v>
      </c>
      <c r="K184" s="198">
        <v>104177.94</v>
      </c>
    </row>
    <row r="185" spans="3:11" x14ac:dyDescent="0.2">
      <c r="C185" s="201" t="s">
        <v>20546</v>
      </c>
      <c r="D185" s="200">
        <v>44412</v>
      </c>
      <c r="E185" s="199" t="s">
        <v>20547</v>
      </c>
      <c r="I185" s="198">
        <v>12.88</v>
      </c>
      <c r="K185" s="198">
        <v>104190.82</v>
      </c>
    </row>
    <row r="186" spans="3:11" x14ac:dyDescent="0.2">
      <c r="C186" s="201" t="s">
        <v>20548</v>
      </c>
      <c r="D186" s="200">
        <v>44412</v>
      </c>
      <c r="E186" s="199" t="s">
        <v>20549</v>
      </c>
      <c r="I186" s="198">
        <v>1.68</v>
      </c>
      <c r="K186" s="198">
        <v>104192.5</v>
      </c>
    </row>
    <row r="187" spans="3:11" x14ac:dyDescent="0.2">
      <c r="C187" s="201" t="s">
        <v>20550</v>
      </c>
      <c r="D187" s="200">
        <v>44412</v>
      </c>
      <c r="E187" s="199" t="s">
        <v>20551</v>
      </c>
      <c r="I187" s="198">
        <v>4.1900000000000004</v>
      </c>
      <c r="K187" s="198">
        <v>104196.69</v>
      </c>
    </row>
    <row r="188" spans="3:11" x14ac:dyDescent="0.2">
      <c r="C188" s="201" t="s">
        <v>20552</v>
      </c>
      <c r="D188" s="200">
        <v>44412</v>
      </c>
      <c r="E188" s="199" t="s">
        <v>20553</v>
      </c>
      <c r="I188" s="198">
        <v>11.7</v>
      </c>
      <c r="K188" s="198">
        <v>104208.39</v>
      </c>
    </row>
    <row r="189" spans="3:11" x14ac:dyDescent="0.2">
      <c r="C189" s="201" t="s">
        <v>20554</v>
      </c>
      <c r="D189" s="200">
        <v>44412</v>
      </c>
      <c r="E189" s="199" t="s">
        <v>20555</v>
      </c>
      <c r="I189" s="198">
        <v>4.76</v>
      </c>
      <c r="K189" s="198">
        <v>104213.15</v>
      </c>
    </row>
    <row r="190" spans="3:11" x14ac:dyDescent="0.2">
      <c r="C190" s="201" t="s">
        <v>20556</v>
      </c>
      <c r="D190" s="200">
        <v>44412</v>
      </c>
      <c r="E190" s="199" t="s">
        <v>20557</v>
      </c>
      <c r="I190" s="198">
        <v>4.78</v>
      </c>
      <c r="K190" s="198">
        <v>104217.93</v>
      </c>
    </row>
    <row r="191" spans="3:11" x14ac:dyDescent="0.2">
      <c r="C191" s="201" t="s">
        <v>20558</v>
      </c>
      <c r="D191" s="200">
        <v>44412</v>
      </c>
      <c r="E191" s="199" t="s">
        <v>20559</v>
      </c>
      <c r="I191" s="198">
        <v>1.68</v>
      </c>
      <c r="K191" s="198">
        <v>104219.61</v>
      </c>
    </row>
    <row r="192" spans="3:11" x14ac:dyDescent="0.2">
      <c r="C192" s="201" t="s">
        <v>20560</v>
      </c>
      <c r="D192" s="200">
        <v>44412</v>
      </c>
      <c r="E192" s="199" t="s">
        <v>20561</v>
      </c>
      <c r="I192" s="198">
        <v>3.91</v>
      </c>
      <c r="K192" s="198">
        <v>104223.52</v>
      </c>
    </row>
    <row r="193" spans="3:11" x14ac:dyDescent="0.2">
      <c r="C193" s="201" t="s">
        <v>20562</v>
      </c>
      <c r="D193" s="200">
        <v>44412</v>
      </c>
      <c r="E193" s="199" t="s">
        <v>20563</v>
      </c>
      <c r="I193" s="198">
        <v>8.56</v>
      </c>
      <c r="K193" s="198">
        <v>104232.08</v>
      </c>
    </row>
    <row r="194" spans="3:11" x14ac:dyDescent="0.2">
      <c r="C194" s="201" t="s">
        <v>20564</v>
      </c>
      <c r="D194" s="200">
        <v>44412</v>
      </c>
      <c r="E194" s="199" t="s">
        <v>20565</v>
      </c>
      <c r="I194" s="198">
        <v>5.56</v>
      </c>
      <c r="K194" s="198">
        <v>104237.64</v>
      </c>
    </row>
    <row r="195" spans="3:11" x14ac:dyDescent="0.2">
      <c r="C195" s="201" t="s">
        <v>20566</v>
      </c>
      <c r="D195" s="200">
        <v>44412</v>
      </c>
      <c r="E195" s="199" t="s">
        <v>20567</v>
      </c>
      <c r="I195" s="198">
        <v>5.15</v>
      </c>
      <c r="K195" s="198">
        <v>104242.79</v>
      </c>
    </row>
    <row r="196" spans="3:11" x14ac:dyDescent="0.2">
      <c r="C196" s="201" t="s">
        <v>20568</v>
      </c>
      <c r="D196" s="200">
        <v>44412</v>
      </c>
      <c r="E196" s="199" t="s">
        <v>20569</v>
      </c>
      <c r="I196" s="198">
        <v>0.43</v>
      </c>
      <c r="K196" s="198">
        <v>104243.22</v>
      </c>
    </row>
    <row r="197" spans="3:11" x14ac:dyDescent="0.2">
      <c r="C197" s="201" t="s">
        <v>20570</v>
      </c>
      <c r="D197" s="200">
        <v>44412</v>
      </c>
      <c r="E197" s="199" t="s">
        <v>20571</v>
      </c>
      <c r="I197" s="198">
        <v>1.68</v>
      </c>
      <c r="K197" s="198">
        <v>104244.9</v>
      </c>
    </row>
    <row r="198" spans="3:11" x14ac:dyDescent="0.2">
      <c r="C198" s="201" t="s">
        <v>20572</v>
      </c>
      <c r="D198" s="200">
        <v>44412</v>
      </c>
      <c r="E198" s="199" t="s">
        <v>20573</v>
      </c>
      <c r="I198" s="198">
        <v>3.75</v>
      </c>
      <c r="K198" s="198">
        <v>104248.65</v>
      </c>
    </row>
    <row r="199" spans="3:11" x14ac:dyDescent="0.2">
      <c r="C199" s="201" t="s">
        <v>20574</v>
      </c>
      <c r="D199" s="200">
        <v>44412</v>
      </c>
      <c r="E199" s="199" t="s">
        <v>20575</v>
      </c>
      <c r="I199" s="198">
        <v>5.96</v>
      </c>
      <c r="K199" s="198">
        <v>104254.61</v>
      </c>
    </row>
    <row r="200" spans="3:11" x14ac:dyDescent="0.2">
      <c r="C200" s="201" t="s">
        <v>20576</v>
      </c>
      <c r="D200" s="200">
        <v>44412</v>
      </c>
      <c r="E200" s="199" t="s">
        <v>20577</v>
      </c>
      <c r="I200" s="198">
        <v>19.28</v>
      </c>
      <c r="K200" s="198">
        <v>104273.89</v>
      </c>
    </row>
    <row r="201" spans="3:11" x14ac:dyDescent="0.2">
      <c r="C201" s="201" t="s">
        <v>20578</v>
      </c>
      <c r="D201" s="200">
        <v>44412</v>
      </c>
      <c r="E201" s="199" t="s">
        <v>20579</v>
      </c>
      <c r="I201" s="198">
        <v>8.98</v>
      </c>
      <c r="K201" s="198">
        <v>104282.87</v>
      </c>
    </row>
    <row r="202" spans="3:11" x14ac:dyDescent="0.2">
      <c r="C202" s="201" t="s">
        <v>20580</v>
      </c>
      <c r="D202" s="200">
        <v>44412</v>
      </c>
      <c r="E202" s="199" t="s">
        <v>20581</v>
      </c>
      <c r="I202" s="198">
        <v>3.36</v>
      </c>
      <c r="K202" s="198">
        <v>104286.23</v>
      </c>
    </row>
    <row r="203" spans="3:11" x14ac:dyDescent="0.2">
      <c r="C203" s="201" t="s">
        <v>20582</v>
      </c>
      <c r="D203" s="200">
        <v>44412</v>
      </c>
      <c r="E203" s="199" t="s">
        <v>20583</v>
      </c>
      <c r="I203" s="198">
        <v>1.69</v>
      </c>
      <c r="K203" s="198">
        <v>104287.92</v>
      </c>
    </row>
    <row r="204" spans="3:11" x14ac:dyDescent="0.2">
      <c r="C204" s="201" t="s">
        <v>20584</v>
      </c>
      <c r="D204" s="200">
        <v>44412</v>
      </c>
      <c r="E204" s="199" t="s">
        <v>20585</v>
      </c>
      <c r="I204" s="198">
        <v>6.87</v>
      </c>
      <c r="K204" s="198">
        <v>104294.79</v>
      </c>
    </row>
    <row r="205" spans="3:11" x14ac:dyDescent="0.2">
      <c r="C205" s="201" t="s">
        <v>20586</v>
      </c>
      <c r="D205" s="200">
        <v>44412</v>
      </c>
      <c r="E205" s="199" t="s">
        <v>20587</v>
      </c>
      <c r="I205" s="198">
        <v>12.3</v>
      </c>
      <c r="K205" s="198">
        <v>104307.09</v>
      </c>
    </row>
    <row r="206" spans="3:11" x14ac:dyDescent="0.2">
      <c r="C206" s="201" t="s">
        <v>20588</v>
      </c>
      <c r="D206" s="200">
        <v>44412</v>
      </c>
      <c r="E206" s="199" t="s">
        <v>20589</v>
      </c>
      <c r="I206" s="198">
        <v>6.94</v>
      </c>
      <c r="K206" s="198">
        <v>104314.03</v>
      </c>
    </row>
    <row r="207" spans="3:11" x14ac:dyDescent="0.2">
      <c r="C207" s="201" t="s">
        <v>20590</v>
      </c>
      <c r="D207" s="200">
        <v>44412</v>
      </c>
      <c r="E207" s="199" t="s">
        <v>20591</v>
      </c>
      <c r="I207" s="198">
        <v>4.5199999999999996</v>
      </c>
      <c r="K207" s="198">
        <v>104318.55</v>
      </c>
    </row>
    <row r="208" spans="3:11" x14ac:dyDescent="0.2">
      <c r="C208" s="201" t="s">
        <v>20592</v>
      </c>
      <c r="D208" s="200">
        <v>44412</v>
      </c>
      <c r="E208" s="199" t="s">
        <v>20593</v>
      </c>
      <c r="I208" s="198">
        <v>3.64</v>
      </c>
      <c r="K208" s="198">
        <v>104322.19</v>
      </c>
    </row>
    <row r="209" spans="3:11" x14ac:dyDescent="0.2">
      <c r="C209" s="201" t="s">
        <v>20594</v>
      </c>
      <c r="D209" s="200">
        <v>44412</v>
      </c>
      <c r="E209" s="199" t="s">
        <v>20595</v>
      </c>
      <c r="I209" s="198">
        <v>1.71</v>
      </c>
      <c r="K209" s="198">
        <v>104323.9</v>
      </c>
    </row>
    <row r="210" spans="3:11" x14ac:dyDescent="0.2">
      <c r="C210" s="201" t="s">
        <v>20596</v>
      </c>
      <c r="D210" s="200">
        <v>44412</v>
      </c>
      <c r="E210" s="199" t="s">
        <v>20597</v>
      </c>
      <c r="I210" s="198">
        <v>2</v>
      </c>
      <c r="K210" s="198">
        <v>104325.9</v>
      </c>
    </row>
    <row r="211" spans="3:11" x14ac:dyDescent="0.2">
      <c r="C211" s="201" t="s">
        <v>20598</v>
      </c>
      <c r="D211" s="200">
        <v>44412</v>
      </c>
      <c r="E211" s="199" t="s">
        <v>20599</v>
      </c>
      <c r="I211" s="198">
        <v>5.34</v>
      </c>
      <c r="K211" s="198">
        <v>104331.24</v>
      </c>
    </row>
    <row r="212" spans="3:11" x14ac:dyDescent="0.2">
      <c r="C212" s="201" t="s">
        <v>20600</v>
      </c>
      <c r="D212" s="200">
        <v>44412</v>
      </c>
      <c r="E212" s="199" t="s">
        <v>20601</v>
      </c>
      <c r="I212" s="198">
        <v>3.43</v>
      </c>
      <c r="K212" s="198">
        <v>104334.67</v>
      </c>
    </row>
    <row r="213" spans="3:11" x14ac:dyDescent="0.2">
      <c r="C213" s="201" t="s">
        <v>20602</v>
      </c>
      <c r="D213" s="200">
        <v>44412</v>
      </c>
      <c r="E213" s="199" t="s">
        <v>20603</v>
      </c>
      <c r="I213" s="198">
        <v>13.17</v>
      </c>
      <c r="K213" s="198">
        <v>104347.84</v>
      </c>
    </row>
    <row r="214" spans="3:11" x14ac:dyDescent="0.2">
      <c r="C214" s="201" t="s">
        <v>20604</v>
      </c>
      <c r="D214" s="200">
        <v>44412</v>
      </c>
      <c r="E214" s="199" t="s">
        <v>20605</v>
      </c>
      <c r="I214" s="198">
        <v>5.46</v>
      </c>
      <c r="K214" s="198">
        <v>104353.3</v>
      </c>
    </row>
    <row r="215" spans="3:11" x14ac:dyDescent="0.2">
      <c r="C215" s="201" t="s">
        <v>20606</v>
      </c>
      <c r="D215" s="200">
        <v>44413</v>
      </c>
      <c r="E215" s="199" t="s">
        <v>20607</v>
      </c>
      <c r="I215" s="198">
        <v>1.68</v>
      </c>
      <c r="K215" s="198">
        <v>104354.98</v>
      </c>
    </row>
    <row r="216" spans="3:11" x14ac:dyDescent="0.2">
      <c r="C216" s="201" t="s">
        <v>20608</v>
      </c>
      <c r="D216" s="200">
        <v>44413</v>
      </c>
      <c r="E216" s="199" t="s">
        <v>20609</v>
      </c>
      <c r="I216" s="198">
        <v>1.72</v>
      </c>
      <c r="K216" s="198">
        <v>104356.7</v>
      </c>
    </row>
    <row r="217" spans="3:11" x14ac:dyDescent="0.2">
      <c r="C217" s="201" t="s">
        <v>20610</v>
      </c>
      <c r="D217" s="200">
        <v>44413</v>
      </c>
      <c r="E217" s="199" t="s">
        <v>20611</v>
      </c>
      <c r="I217" s="198">
        <v>3.54</v>
      </c>
      <c r="K217" s="198">
        <v>104360.24</v>
      </c>
    </row>
    <row r="218" spans="3:11" x14ac:dyDescent="0.2">
      <c r="C218" s="201" t="s">
        <v>20612</v>
      </c>
      <c r="D218" s="200">
        <v>44413</v>
      </c>
      <c r="E218" s="199" t="s">
        <v>20613</v>
      </c>
      <c r="I218" s="198">
        <v>3.36</v>
      </c>
      <c r="K218" s="198">
        <v>104363.6</v>
      </c>
    </row>
    <row r="219" spans="3:11" x14ac:dyDescent="0.2">
      <c r="C219" s="201" t="s">
        <v>20614</v>
      </c>
      <c r="D219" s="200">
        <v>44413</v>
      </c>
      <c r="E219" s="199" t="s">
        <v>20615</v>
      </c>
      <c r="I219" s="198">
        <v>6.14</v>
      </c>
      <c r="K219" s="198">
        <v>104369.74</v>
      </c>
    </row>
    <row r="220" spans="3:11" x14ac:dyDescent="0.2">
      <c r="C220" s="201" t="s">
        <v>20616</v>
      </c>
      <c r="D220" s="200">
        <v>44413</v>
      </c>
      <c r="E220" s="199" t="s">
        <v>20617</v>
      </c>
      <c r="I220" s="198">
        <v>2.12</v>
      </c>
      <c r="K220" s="198">
        <v>104371.86</v>
      </c>
    </row>
    <row r="221" spans="3:11" x14ac:dyDescent="0.2">
      <c r="C221" s="201" t="s">
        <v>20618</v>
      </c>
      <c r="D221" s="200">
        <v>44413</v>
      </c>
      <c r="E221" s="199" t="s">
        <v>20619</v>
      </c>
      <c r="I221" s="198">
        <v>9.0299999999999994</v>
      </c>
      <c r="K221" s="198">
        <v>104380.89</v>
      </c>
    </row>
    <row r="222" spans="3:11" x14ac:dyDescent="0.2">
      <c r="C222" s="201" t="s">
        <v>20620</v>
      </c>
      <c r="D222" s="200">
        <v>44413</v>
      </c>
      <c r="E222" s="199" t="s">
        <v>20621</v>
      </c>
      <c r="I222" s="198">
        <v>1.68</v>
      </c>
      <c r="K222" s="198">
        <v>104382.57</v>
      </c>
    </row>
    <row r="223" spans="3:11" x14ac:dyDescent="0.2">
      <c r="C223" s="201" t="s">
        <v>20622</v>
      </c>
      <c r="D223" s="200">
        <v>44413</v>
      </c>
      <c r="E223" s="199" t="s">
        <v>20623</v>
      </c>
      <c r="I223" s="198">
        <v>2.92</v>
      </c>
      <c r="K223" s="198">
        <v>104385.49</v>
      </c>
    </row>
    <row r="224" spans="3:11" x14ac:dyDescent="0.2">
      <c r="C224" s="201" t="s">
        <v>20624</v>
      </c>
      <c r="D224" s="200">
        <v>44413</v>
      </c>
      <c r="E224" s="199" t="s">
        <v>20625</v>
      </c>
      <c r="I224" s="198">
        <v>3.81</v>
      </c>
      <c r="K224" s="198">
        <v>104389.3</v>
      </c>
    </row>
    <row r="225" spans="3:11" x14ac:dyDescent="0.2">
      <c r="C225" s="201" t="s">
        <v>20626</v>
      </c>
      <c r="D225" s="200">
        <v>44413</v>
      </c>
      <c r="E225" s="199" t="s">
        <v>20627</v>
      </c>
      <c r="I225" s="198">
        <v>25.14</v>
      </c>
      <c r="K225" s="198">
        <v>104414.44</v>
      </c>
    </row>
    <row r="226" spans="3:11" x14ac:dyDescent="0.2">
      <c r="C226" s="201" t="s">
        <v>20628</v>
      </c>
      <c r="D226" s="200">
        <v>44413</v>
      </c>
      <c r="E226" s="199" t="s">
        <v>20629</v>
      </c>
      <c r="I226" s="198">
        <v>1.7</v>
      </c>
      <c r="K226" s="198">
        <v>104416.14</v>
      </c>
    </row>
    <row r="227" spans="3:11" x14ac:dyDescent="0.2">
      <c r="C227" s="201" t="s">
        <v>20630</v>
      </c>
      <c r="D227" s="200">
        <v>44413</v>
      </c>
      <c r="E227" s="199" t="s">
        <v>20631</v>
      </c>
      <c r="I227" s="198">
        <v>18.09</v>
      </c>
      <c r="K227" s="198">
        <v>104434.23</v>
      </c>
    </row>
    <row r="228" spans="3:11" x14ac:dyDescent="0.2">
      <c r="C228" s="201" t="s">
        <v>20632</v>
      </c>
      <c r="D228" s="200">
        <v>44413</v>
      </c>
      <c r="E228" s="199" t="s">
        <v>20633</v>
      </c>
      <c r="I228" s="198">
        <v>5.47</v>
      </c>
      <c r="K228" s="198">
        <v>104439.7</v>
      </c>
    </row>
    <row r="229" spans="3:11" x14ac:dyDescent="0.2">
      <c r="C229" s="201" t="s">
        <v>20634</v>
      </c>
      <c r="D229" s="200">
        <v>44413</v>
      </c>
      <c r="E229" s="199" t="s">
        <v>20635</v>
      </c>
      <c r="I229" s="198">
        <v>1.68</v>
      </c>
      <c r="K229" s="198">
        <v>104441.38</v>
      </c>
    </row>
    <row r="230" spans="3:11" x14ac:dyDescent="0.2">
      <c r="C230" s="201" t="s">
        <v>20636</v>
      </c>
      <c r="D230" s="200">
        <v>44413</v>
      </c>
      <c r="E230" s="199" t="s">
        <v>20637</v>
      </c>
      <c r="I230" s="198">
        <v>1.68</v>
      </c>
      <c r="K230" s="198">
        <v>104443.06</v>
      </c>
    </row>
    <row r="231" spans="3:11" x14ac:dyDescent="0.2">
      <c r="C231" s="201" t="s">
        <v>20638</v>
      </c>
      <c r="D231" s="200">
        <v>44413</v>
      </c>
      <c r="E231" s="199" t="s">
        <v>20639</v>
      </c>
      <c r="I231" s="198">
        <v>10.45</v>
      </c>
      <c r="K231" s="198">
        <v>104453.51</v>
      </c>
    </row>
    <row r="232" spans="3:11" x14ac:dyDescent="0.2">
      <c r="C232" s="201" t="s">
        <v>20640</v>
      </c>
      <c r="D232" s="200">
        <v>44413</v>
      </c>
      <c r="E232" s="199" t="s">
        <v>20641</v>
      </c>
      <c r="I232" s="198">
        <v>15.52</v>
      </c>
      <c r="K232" s="198">
        <v>104469.03</v>
      </c>
    </row>
    <row r="233" spans="3:11" x14ac:dyDescent="0.2">
      <c r="C233" s="201" t="s">
        <v>20642</v>
      </c>
      <c r="D233" s="200">
        <v>44413</v>
      </c>
      <c r="E233" s="199" t="s">
        <v>20643</v>
      </c>
      <c r="I233" s="198">
        <v>3.1</v>
      </c>
      <c r="K233" s="198">
        <v>104472.13</v>
      </c>
    </row>
    <row r="234" spans="3:11" x14ac:dyDescent="0.2">
      <c r="C234" s="201" t="s">
        <v>20644</v>
      </c>
      <c r="D234" s="200">
        <v>44413</v>
      </c>
      <c r="E234" s="199" t="s">
        <v>20645</v>
      </c>
      <c r="I234" s="198">
        <v>4.93</v>
      </c>
      <c r="K234" s="198">
        <v>104477.06</v>
      </c>
    </row>
    <row r="235" spans="3:11" x14ac:dyDescent="0.2">
      <c r="C235" s="201" t="s">
        <v>20646</v>
      </c>
      <c r="D235" s="200">
        <v>44413</v>
      </c>
      <c r="E235" s="199" t="s">
        <v>20647</v>
      </c>
      <c r="I235" s="198">
        <v>3.27</v>
      </c>
      <c r="K235" s="198">
        <v>104480.33</v>
      </c>
    </row>
    <row r="236" spans="3:11" x14ac:dyDescent="0.2">
      <c r="C236" s="201" t="s">
        <v>20648</v>
      </c>
      <c r="D236" s="200">
        <v>44413</v>
      </c>
      <c r="E236" s="199" t="s">
        <v>20649</v>
      </c>
      <c r="I236" s="198">
        <v>5.73</v>
      </c>
      <c r="K236" s="198">
        <v>104486.06</v>
      </c>
    </row>
    <row r="237" spans="3:11" x14ac:dyDescent="0.2">
      <c r="C237" s="201" t="s">
        <v>20650</v>
      </c>
      <c r="D237" s="200">
        <v>44413</v>
      </c>
      <c r="E237" s="199" t="s">
        <v>20651</v>
      </c>
      <c r="I237" s="198">
        <v>7.79</v>
      </c>
      <c r="K237" s="198">
        <v>104493.85</v>
      </c>
    </row>
    <row r="238" spans="3:11" x14ac:dyDescent="0.2">
      <c r="C238" s="201" t="s">
        <v>20652</v>
      </c>
      <c r="D238" s="200">
        <v>44413</v>
      </c>
      <c r="E238" s="199" t="s">
        <v>20653</v>
      </c>
      <c r="I238" s="198">
        <v>14.74</v>
      </c>
      <c r="K238" s="198">
        <v>104508.59</v>
      </c>
    </row>
    <row r="239" spans="3:11" x14ac:dyDescent="0.2">
      <c r="C239" s="201" t="s">
        <v>20654</v>
      </c>
      <c r="D239" s="200">
        <v>44413</v>
      </c>
      <c r="E239" s="199" t="s">
        <v>20655</v>
      </c>
      <c r="I239" s="198">
        <v>54.8</v>
      </c>
      <c r="K239" s="198">
        <v>104563.39</v>
      </c>
    </row>
    <row r="240" spans="3:11" x14ac:dyDescent="0.2">
      <c r="C240" s="201" t="s">
        <v>20656</v>
      </c>
      <c r="D240" s="200">
        <v>44413</v>
      </c>
      <c r="E240" s="199" t="s">
        <v>20657</v>
      </c>
      <c r="I240" s="198">
        <v>8.9600000000000009</v>
      </c>
      <c r="K240" s="198">
        <v>104572.35</v>
      </c>
    </row>
    <row r="241" spans="3:11" x14ac:dyDescent="0.2">
      <c r="C241" s="201" t="s">
        <v>20658</v>
      </c>
      <c r="D241" s="200">
        <v>44413</v>
      </c>
      <c r="E241" s="199" t="s">
        <v>20659</v>
      </c>
      <c r="I241" s="198">
        <v>8.34</v>
      </c>
      <c r="K241" s="198">
        <v>104580.69</v>
      </c>
    </row>
    <row r="242" spans="3:11" x14ac:dyDescent="0.2">
      <c r="C242" s="201" t="s">
        <v>20660</v>
      </c>
      <c r="D242" s="200">
        <v>44413</v>
      </c>
      <c r="E242" s="199" t="s">
        <v>20661</v>
      </c>
      <c r="I242" s="198">
        <v>2.31</v>
      </c>
      <c r="K242" s="198">
        <v>104583</v>
      </c>
    </row>
    <row r="243" spans="3:11" x14ac:dyDescent="0.2">
      <c r="C243" s="201" t="s">
        <v>20662</v>
      </c>
      <c r="D243" s="200">
        <v>44413</v>
      </c>
      <c r="E243" s="199" t="s">
        <v>20663</v>
      </c>
      <c r="I243" s="198">
        <v>3</v>
      </c>
      <c r="K243" s="198">
        <v>104586</v>
      </c>
    </row>
    <row r="244" spans="3:11" x14ac:dyDescent="0.2">
      <c r="C244" s="201" t="s">
        <v>20664</v>
      </c>
      <c r="D244" s="200">
        <v>44413</v>
      </c>
      <c r="E244" s="199" t="s">
        <v>20665</v>
      </c>
      <c r="I244" s="198">
        <v>2.96</v>
      </c>
      <c r="K244" s="198">
        <v>104588.96</v>
      </c>
    </row>
    <row r="245" spans="3:11" x14ac:dyDescent="0.2">
      <c r="C245" s="201" t="s">
        <v>20666</v>
      </c>
      <c r="D245" s="200">
        <v>44413</v>
      </c>
      <c r="E245" s="199" t="s">
        <v>20667</v>
      </c>
      <c r="I245" s="198">
        <v>2.11</v>
      </c>
      <c r="K245" s="198">
        <v>104591.07</v>
      </c>
    </row>
    <row r="246" spans="3:11" x14ac:dyDescent="0.2">
      <c r="C246" s="201" t="s">
        <v>20668</v>
      </c>
      <c r="D246" s="200">
        <v>44413</v>
      </c>
      <c r="E246" s="199" t="s">
        <v>20669</v>
      </c>
      <c r="I246" s="198">
        <v>35.07</v>
      </c>
      <c r="K246" s="198">
        <v>104626.14</v>
      </c>
    </row>
    <row r="247" spans="3:11" x14ac:dyDescent="0.2">
      <c r="C247" s="201" t="s">
        <v>20670</v>
      </c>
      <c r="D247" s="200">
        <v>44413</v>
      </c>
      <c r="E247" s="199" t="s">
        <v>20671</v>
      </c>
      <c r="I247" s="198">
        <v>22.93</v>
      </c>
      <c r="K247" s="198">
        <v>104649.07</v>
      </c>
    </row>
    <row r="248" spans="3:11" x14ac:dyDescent="0.2">
      <c r="C248" s="201" t="s">
        <v>20672</v>
      </c>
      <c r="D248" s="200">
        <v>44413</v>
      </c>
      <c r="E248" s="199" t="s">
        <v>20673</v>
      </c>
      <c r="I248" s="198">
        <v>3.53</v>
      </c>
      <c r="K248" s="198">
        <v>104652.6</v>
      </c>
    </row>
    <row r="249" spans="3:11" x14ac:dyDescent="0.2">
      <c r="C249" s="201" t="s">
        <v>20674</v>
      </c>
      <c r="D249" s="200">
        <v>44413</v>
      </c>
      <c r="E249" s="199" t="s">
        <v>20675</v>
      </c>
      <c r="I249" s="198">
        <v>1.68</v>
      </c>
      <c r="K249" s="198">
        <v>104654.28</v>
      </c>
    </row>
    <row r="250" spans="3:11" x14ac:dyDescent="0.2">
      <c r="C250" s="201" t="s">
        <v>20676</v>
      </c>
      <c r="D250" s="200">
        <v>44413</v>
      </c>
      <c r="E250" s="199" t="s">
        <v>20677</v>
      </c>
      <c r="I250" s="198">
        <v>1.68</v>
      </c>
      <c r="K250" s="198">
        <v>104655.96</v>
      </c>
    </row>
    <row r="251" spans="3:11" x14ac:dyDescent="0.2">
      <c r="C251" s="201" t="s">
        <v>20678</v>
      </c>
      <c r="D251" s="200">
        <v>44413</v>
      </c>
      <c r="E251" s="199" t="s">
        <v>20679</v>
      </c>
      <c r="I251" s="198">
        <v>6.08</v>
      </c>
      <c r="K251" s="198">
        <v>104662.04</v>
      </c>
    </row>
    <row r="252" spans="3:11" x14ac:dyDescent="0.2">
      <c r="C252" s="201" t="s">
        <v>20680</v>
      </c>
      <c r="D252" s="200">
        <v>44413</v>
      </c>
      <c r="E252" s="199" t="s">
        <v>20681</v>
      </c>
      <c r="I252" s="198">
        <v>48.18</v>
      </c>
      <c r="K252" s="198">
        <v>104710.22</v>
      </c>
    </row>
    <row r="253" spans="3:11" x14ac:dyDescent="0.2">
      <c r="C253" s="201" t="s">
        <v>20682</v>
      </c>
      <c r="D253" s="200">
        <v>44413</v>
      </c>
      <c r="E253" s="199" t="s">
        <v>20683</v>
      </c>
      <c r="I253" s="198">
        <v>5</v>
      </c>
      <c r="K253" s="198">
        <v>104715.22</v>
      </c>
    </row>
    <row r="254" spans="3:11" x14ac:dyDescent="0.2">
      <c r="C254" s="201" t="s">
        <v>20684</v>
      </c>
      <c r="D254" s="200">
        <v>44413</v>
      </c>
      <c r="E254" s="199" t="s">
        <v>20685</v>
      </c>
      <c r="I254" s="198">
        <v>8.99</v>
      </c>
      <c r="K254" s="198">
        <v>104724.21</v>
      </c>
    </row>
    <row r="255" spans="3:11" x14ac:dyDescent="0.2">
      <c r="C255" s="201" t="s">
        <v>20686</v>
      </c>
      <c r="D255" s="200">
        <v>44413</v>
      </c>
      <c r="E255" s="199" t="s">
        <v>20687</v>
      </c>
      <c r="I255" s="198">
        <v>10</v>
      </c>
      <c r="K255" s="198">
        <v>104734.21</v>
      </c>
    </row>
    <row r="256" spans="3:11" x14ac:dyDescent="0.2">
      <c r="C256" s="201" t="s">
        <v>12308</v>
      </c>
      <c r="D256" s="200">
        <v>44413</v>
      </c>
      <c r="E256" s="199" t="s">
        <v>20688</v>
      </c>
      <c r="J256" s="222">
        <v>5.32</v>
      </c>
      <c r="K256" s="198">
        <v>104728.89</v>
      </c>
    </row>
    <row r="257" spans="3:11" x14ac:dyDescent="0.2">
      <c r="C257" s="201" t="s">
        <v>20689</v>
      </c>
      <c r="D257" s="200">
        <v>44414</v>
      </c>
      <c r="E257" s="199" t="s">
        <v>20690</v>
      </c>
      <c r="I257" s="198">
        <v>5</v>
      </c>
      <c r="K257" s="198">
        <v>104733.89</v>
      </c>
    </row>
    <row r="258" spans="3:11" x14ac:dyDescent="0.2">
      <c r="C258" s="201" t="s">
        <v>20691</v>
      </c>
      <c r="D258" s="200">
        <v>44414</v>
      </c>
      <c r="E258" s="199" t="s">
        <v>20692</v>
      </c>
      <c r="I258" s="198">
        <v>2.83</v>
      </c>
      <c r="K258" s="198">
        <v>104736.72</v>
      </c>
    </row>
    <row r="259" spans="3:11" x14ac:dyDescent="0.2">
      <c r="C259" s="201" t="s">
        <v>20693</v>
      </c>
      <c r="D259" s="200">
        <v>44414</v>
      </c>
      <c r="E259" s="199" t="s">
        <v>20694</v>
      </c>
      <c r="I259" s="198">
        <v>2.84</v>
      </c>
      <c r="K259" s="198">
        <v>104739.56</v>
      </c>
    </row>
    <row r="260" spans="3:11" x14ac:dyDescent="0.2">
      <c r="C260" s="201" t="s">
        <v>20695</v>
      </c>
      <c r="D260" s="200">
        <v>44414</v>
      </c>
      <c r="E260" s="199" t="s">
        <v>20696</v>
      </c>
      <c r="I260" s="198">
        <v>1.86</v>
      </c>
      <c r="K260" s="198">
        <v>104741.42</v>
      </c>
    </row>
    <row r="261" spans="3:11" x14ac:dyDescent="0.2">
      <c r="C261" s="201" t="s">
        <v>20697</v>
      </c>
      <c r="D261" s="200">
        <v>44414</v>
      </c>
      <c r="E261" s="199" t="s">
        <v>20698</v>
      </c>
      <c r="I261" s="198">
        <v>6.46</v>
      </c>
      <c r="K261" s="198">
        <v>104747.88</v>
      </c>
    </row>
    <row r="262" spans="3:11" x14ac:dyDescent="0.2">
      <c r="C262" s="201" t="s">
        <v>20699</v>
      </c>
      <c r="D262" s="200">
        <v>44414</v>
      </c>
      <c r="E262" s="199" t="s">
        <v>20700</v>
      </c>
      <c r="I262" s="198">
        <v>2.08</v>
      </c>
      <c r="K262" s="198">
        <v>104749.96</v>
      </c>
    </row>
    <row r="263" spans="3:11" x14ac:dyDescent="0.2">
      <c r="C263" s="201" t="s">
        <v>20701</v>
      </c>
      <c r="D263" s="200">
        <v>44414</v>
      </c>
      <c r="E263" s="199" t="s">
        <v>20702</v>
      </c>
      <c r="I263" s="198">
        <v>1.71</v>
      </c>
      <c r="K263" s="198">
        <v>104751.67</v>
      </c>
    </row>
    <row r="264" spans="3:11" x14ac:dyDescent="0.2">
      <c r="C264" s="201" t="s">
        <v>20703</v>
      </c>
      <c r="D264" s="200">
        <v>44414</v>
      </c>
      <c r="E264" s="199" t="s">
        <v>20704</v>
      </c>
      <c r="I264" s="198">
        <v>5.04</v>
      </c>
      <c r="K264" s="198">
        <v>104756.71</v>
      </c>
    </row>
    <row r="265" spans="3:11" x14ac:dyDescent="0.2">
      <c r="C265" s="201" t="s">
        <v>20705</v>
      </c>
      <c r="D265" s="200">
        <v>44414</v>
      </c>
      <c r="E265" s="199" t="s">
        <v>20706</v>
      </c>
      <c r="I265" s="198">
        <v>31.3</v>
      </c>
      <c r="K265" s="198">
        <v>104788.01</v>
      </c>
    </row>
    <row r="266" spans="3:11" x14ac:dyDescent="0.2">
      <c r="C266" s="201" t="s">
        <v>20707</v>
      </c>
      <c r="D266" s="200">
        <v>44414</v>
      </c>
      <c r="E266" s="199" t="s">
        <v>20708</v>
      </c>
      <c r="I266" s="198">
        <v>1.9</v>
      </c>
      <c r="K266" s="198">
        <v>104789.91</v>
      </c>
    </row>
    <row r="267" spans="3:11" x14ac:dyDescent="0.2">
      <c r="C267" s="201" t="s">
        <v>20709</v>
      </c>
      <c r="D267" s="200">
        <v>44414</v>
      </c>
      <c r="E267" s="199" t="s">
        <v>20710</v>
      </c>
      <c r="I267" s="198">
        <v>3.58</v>
      </c>
      <c r="K267" s="198">
        <v>104793.49</v>
      </c>
    </row>
    <row r="268" spans="3:11" x14ac:dyDescent="0.2">
      <c r="C268" s="201" t="s">
        <v>20711</v>
      </c>
      <c r="D268" s="200">
        <v>44414</v>
      </c>
      <c r="E268" s="199" t="s">
        <v>20712</v>
      </c>
      <c r="I268" s="198">
        <v>8.44</v>
      </c>
      <c r="K268" s="198">
        <v>104801.93</v>
      </c>
    </row>
    <row r="269" spans="3:11" x14ac:dyDescent="0.2">
      <c r="C269" s="201" t="s">
        <v>20713</v>
      </c>
      <c r="D269" s="200">
        <v>44414</v>
      </c>
      <c r="E269" s="199" t="s">
        <v>20714</v>
      </c>
      <c r="I269" s="198">
        <v>7.34</v>
      </c>
      <c r="K269" s="198">
        <v>104809.27</v>
      </c>
    </row>
    <row r="270" spans="3:11" x14ac:dyDescent="0.2">
      <c r="C270" s="201" t="s">
        <v>20715</v>
      </c>
      <c r="D270" s="200">
        <v>44414</v>
      </c>
      <c r="E270" s="199" t="s">
        <v>20716</v>
      </c>
      <c r="I270" s="198">
        <v>2.0299999999999998</v>
      </c>
      <c r="K270" s="198">
        <v>104811.3</v>
      </c>
    </row>
    <row r="271" spans="3:11" x14ac:dyDescent="0.2">
      <c r="C271" s="201" t="s">
        <v>20717</v>
      </c>
      <c r="D271" s="200">
        <v>44414</v>
      </c>
      <c r="E271" s="199" t="s">
        <v>20718</v>
      </c>
      <c r="I271" s="198">
        <v>1.88</v>
      </c>
      <c r="K271" s="198">
        <v>104813.18</v>
      </c>
    </row>
    <row r="272" spans="3:11" x14ac:dyDescent="0.2">
      <c r="C272" s="201" t="s">
        <v>20719</v>
      </c>
      <c r="D272" s="200">
        <v>44414</v>
      </c>
      <c r="E272" s="199" t="s">
        <v>20720</v>
      </c>
      <c r="I272" s="198">
        <v>3.32</v>
      </c>
      <c r="K272" s="198">
        <v>104816.5</v>
      </c>
    </row>
    <row r="273" spans="3:11" x14ac:dyDescent="0.2">
      <c r="C273" s="201" t="s">
        <v>20721</v>
      </c>
      <c r="D273" s="200">
        <v>44414</v>
      </c>
      <c r="E273" s="199" t="s">
        <v>20722</v>
      </c>
      <c r="I273" s="198">
        <v>1.68</v>
      </c>
      <c r="K273" s="198">
        <v>104818.18</v>
      </c>
    </row>
    <row r="274" spans="3:11" x14ac:dyDescent="0.2">
      <c r="C274" s="201" t="s">
        <v>20723</v>
      </c>
      <c r="D274" s="200">
        <v>44414</v>
      </c>
      <c r="E274" s="199" t="s">
        <v>20724</v>
      </c>
      <c r="I274" s="198">
        <v>5.95</v>
      </c>
      <c r="K274" s="198">
        <v>104824.13</v>
      </c>
    </row>
    <row r="275" spans="3:11" x14ac:dyDescent="0.2">
      <c r="C275" s="201" t="s">
        <v>20725</v>
      </c>
      <c r="D275" s="200">
        <v>44414</v>
      </c>
      <c r="E275" s="199" t="s">
        <v>20726</v>
      </c>
      <c r="I275" s="198">
        <v>3.45</v>
      </c>
      <c r="K275" s="198">
        <v>104827.58</v>
      </c>
    </row>
    <row r="276" spans="3:11" x14ac:dyDescent="0.2">
      <c r="C276" s="201" t="s">
        <v>20727</v>
      </c>
      <c r="D276" s="200">
        <v>44414</v>
      </c>
      <c r="E276" s="199" t="s">
        <v>20728</v>
      </c>
      <c r="I276" s="198">
        <v>4.8600000000000003</v>
      </c>
      <c r="K276" s="198">
        <v>104832.44</v>
      </c>
    </row>
    <row r="277" spans="3:11" x14ac:dyDescent="0.2">
      <c r="C277" s="201" t="s">
        <v>20729</v>
      </c>
      <c r="D277" s="200">
        <v>44414</v>
      </c>
      <c r="E277" s="199" t="s">
        <v>20730</v>
      </c>
      <c r="I277" s="198">
        <v>5.25</v>
      </c>
      <c r="K277" s="198">
        <v>104837.69</v>
      </c>
    </row>
    <row r="278" spans="3:11" x14ac:dyDescent="0.2">
      <c r="C278" s="201" t="s">
        <v>20731</v>
      </c>
      <c r="D278" s="200">
        <v>44414</v>
      </c>
      <c r="E278" s="199" t="s">
        <v>20732</v>
      </c>
      <c r="I278" s="198">
        <v>11.66</v>
      </c>
      <c r="K278" s="198">
        <v>104849.35</v>
      </c>
    </row>
    <row r="279" spans="3:11" x14ac:dyDescent="0.2">
      <c r="C279" s="201" t="s">
        <v>20733</v>
      </c>
      <c r="D279" s="200">
        <v>44414</v>
      </c>
      <c r="E279" s="199" t="s">
        <v>20734</v>
      </c>
      <c r="I279" s="198">
        <v>11.73</v>
      </c>
      <c r="K279" s="198">
        <v>104861.08</v>
      </c>
    </row>
    <row r="280" spans="3:11" x14ac:dyDescent="0.2">
      <c r="C280" s="201" t="s">
        <v>20735</v>
      </c>
      <c r="D280" s="200">
        <v>44414</v>
      </c>
      <c r="E280" s="199" t="s">
        <v>20736</v>
      </c>
      <c r="I280" s="198">
        <v>5.08</v>
      </c>
      <c r="K280" s="198">
        <v>104866.16</v>
      </c>
    </row>
    <row r="281" spans="3:11" x14ac:dyDescent="0.2">
      <c r="C281" s="201" t="s">
        <v>20737</v>
      </c>
      <c r="D281" s="200">
        <v>44414</v>
      </c>
      <c r="E281" s="199" t="s">
        <v>20738</v>
      </c>
      <c r="I281" s="198">
        <v>25.08</v>
      </c>
      <c r="K281" s="198">
        <v>104891.24</v>
      </c>
    </row>
    <row r="282" spans="3:11" x14ac:dyDescent="0.2">
      <c r="C282" s="201" t="s">
        <v>20739</v>
      </c>
      <c r="D282" s="200">
        <v>44414</v>
      </c>
      <c r="E282" s="199" t="s">
        <v>20740</v>
      </c>
      <c r="I282" s="198">
        <v>2.64</v>
      </c>
      <c r="K282" s="198">
        <v>104893.88</v>
      </c>
    </row>
    <row r="283" spans="3:11" x14ac:dyDescent="0.2">
      <c r="C283" s="201" t="s">
        <v>20741</v>
      </c>
      <c r="D283" s="200">
        <v>44414</v>
      </c>
      <c r="E283" s="199" t="s">
        <v>20742</v>
      </c>
      <c r="I283" s="198">
        <v>3.73</v>
      </c>
      <c r="K283" s="198">
        <v>104897.61</v>
      </c>
    </row>
    <row r="284" spans="3:11" x14ac:dyDescent="0.2">
      <c r="C284" s="201" t="s">
        <v>20743</v>
      </c>
      <c r="D284" s="200">
        <v>44414</v>
      </c>
      <c r="E284" s="199" t="s">
        <v>20744</v>
      </c>
      <c r="I284" s="198">
        <v>25.36</v>
      </c>
      <c r="K284" s="198">
        <v>104922.97</v>
      </c>
    </row>
    <row r="285" spans="3:11" x14ac:dyDescent="0.2">
      <c r="C285" s="201" t="s">
        <v>20745</v>
      </c>
      <c r="D285" s="200">
        <v>44414</v>
      </c>
      <c r="E285" s="199" t="s">
        <v>20746</v>
      </c>
      <c r="I285" s="198">
        <v>5.04</v>
      </c>
      <c r="K285" s="198">
        <v>104928.01</v>
      </c>
    </row>
    <row r="286" spans="3:11" x14ac:dyDescent="0.2">
      <c r="C286" s="201" t="s">
        <v>20747</v>
      </c>
      <c r="D286" s="200">
        <v>44414</v>
      </c>
      <c r="E286" s="199" t="s">
        <v>20748</v>
      </c>
      <c r="I286" s="198">
        <v>15.3</v>
      </c>
      <c r="K286" s="198">
        <v>104943.31</v>
      </c>
    </row>
    <row r="287" spans="3:11" x14ac:dyDescent="0.2">
      <c r="C287" s="201" t="s">
        <v>20749</v>
      </c>
      <c r="D287" s="200">
        <v>44414</v>
      </c>
      <c r="E287" s="199" t="s">
        <v>20750</v>
      </c>
      <c r="I287" s="198">
        <v>15.3</v>
      </c>
      <c r="K287" s="198">
        <v>104958.61</v>
      </c>
    </row>
    <row r="288" spans="3:11" x14ac:dyDescent="0.2">
      <c r="C288" s="201" t="s">
        <v>20751</v>
      </c>
      <c r="D288" s="200">
        <v>44414</v>
      </c>
      <c r="E288" s="199" t="s">
        <v>20752</v>
      </c>
      <c r="I288" s="198">
        <v>2.89</v>
      </c>
      <c r="K288" s="198">
        <v>104961.5</v>
      </c>
    </row>
    <row r="289" spans="3:11" x14ac:dyDescent="0.2">
      <c r="C289" s="201" t="s">
        <v>20753</v>
      </c>
      <c r="D289" s="200">
        <v>44414</v>
      </c>
      <c r="E289" s="199" t="s">
        <v>20754</v>
      </c>
      <c r="I289" s="198">
        <v>3708.93</v>
      </c>
      <c r="K289" s="198">
        <v>108670.43</v>
      </c>
    </row>
    <row r="290" spans="3:11" x14ac:dyDescent="0.2">
      <c r="C290" s="201" t="s">
        <v>20755</v>
      </c>
      <c r="D290" s="200">
        <v>44414</v>
      </c>
      <c r="E290" s="199" t="s">
        <v>20756</v>
      </c>
      <c r="I290" s="198">
        <v>1.76</v>
      </c>
      <c r="K290" s="198">
        <v>108672.19</v>
      </c>
    </row>
    <row r="291" spans="3:11" x14ac:dyDescent="0.2">
      <c r="C291" s="201" t="s">
        <v>300</v>
      </c>
      <c r="D291" s="200">
        <v>44414</v>
      </c>
      <c r="E291" s="199" t="s">
        <v>20757</v>
      </c>
      <c r="J291" s="222">
        <v>92.3</v>
      </c>
      <c r="K291" s="198">
        <v>108579.89</v>
      </c>
    </row>
    <row r="292" spans="3:11" x14ac:dyDescent="0.2">
      <c r="C292" s="201" t="s">
        <v>20758</v>
      </c>
      <c r="D292" s="200">
        <v>44415</v>
      </c>
      <c r="E292" s="199" t="s">
        <v>20759</v>
      </c>
      <c r="I292" s="198">
        <v>6.96</v>
      </c>
      <c r="K292" s="198">
        <v>108586.85</v>
      </c>
    </row>
    <row r="293" spans="3:11" x14ac:dyDescent="0.2">
      <c r="C293" s="201" t="s">
        <v>20760</v>
      </c>
      <c r="D293" s="200">
        <v>44415</v>
      </c>
      <c r="E293" s="199" t="s">
        <v>20761</v>
      </c>
      <c r="I293" s="198">
        <v>4.75</v>
      </c>
      <c r="K293" s="198">
        <v>108591.6</v>
      </c>
    </row>
    <row r="294" spans="3:11" x14ac:dyDescent="0.2">
      <c r="C294" s="201" t="s">
        <v>20762</v>
      </c>
      <c r="D294" s="200">
        <v>44415</v>
      </c>
      <c r="E294" s="199" t="s">
        <v>20763</v>
      </c>
      <c r="I294" s="198">
        <v>4.1399999999999997</v>
      </c>
      <c r="K294" s="198">
        <v>108595.74</v>
      </c>
    </row>
    <row r="295" spans="3:11" x14ac:dyDescent="0.2">
      <c r="C295" s="201" t="s">
        <v>20764</v>
      </c>
      <c r="D295" s="200">
        <v>44415</v>
      </c>
      <c r="E295" s="199" t="s">
        <v>20765</v>
      </c>
      <c r="I295" s="198">
        <v>3.36</v>
      </c>
      <c r="K295" s="198">
        <v>108599.1</v>
      </c>
    </row>
    <row r="296" spans="3:11" x14ac:dyDescent="0.2">
      <c r="C296" s="201" t="s">
        <v>20766</v>
      </c>
      <c r="D296" s="200">
        <v>44415</v>
      </c>
      <c r="E296" s="199" t="s">
        <v>20767</v>
      </c>
      <c r="I296" s="198">
        <v>2.85</v>
      </c>
      <c r="K296" s="198">
        <v>108601.95</v>
      </c>
    </row>
    <row r="297" spans="3:11" x14ac:dyDescent="0.2">
      <c r="C297" s="201" t="s">
        <v>20768</v>
      </c>
      <c r="D297" s="200">
        <v>44415</v>
      </c>
      <c r="E297" s="199" t="s">
        <v>20769</v>
      </c>
      <c r="I297" s="198">
        <v>3.97</v>
      </c>
      <c r="K297" s="198">
        <v>108605.92</v>
      </c>
    </row>
    <row r="298" spans="3:11" x14ac:dyDescent="0.2">
      <c r="C298" s="201" t="s">
        <v>20770</v>
      </c>
      <c r="D298" s="200">
        <v>44415</v>
      </c>
      <c r="E298" s="199" t="s">
        <v>20771</v>
      </c>
      <c r="I298" s="198">
        <v>6.99</v>
      </c>
      <c r="K298" s="198">
        <v>108612.91</v>
      </c>
    </row>
    <row r="299" spans="3:11" x14ac:dyDescent="0.2">
      <c r="C299" s="201" t="s">
        <v>20772</v>
      </c>
      <c r="D299" s="200">
        <v>44415</v>
      </c>
      <c r="E299" s="199" t="s">
        <v>20773</v>
      </c>
      <c r="I299" s="198">
        <v>7.44</v>
      </c>
      <c r="K299" s="198">
        <v>108620.35</v>
      </c>
    </row>
    <row r="300" spans="3:11" x14ac:dyDescent="0.2">
      <c r="C300" s="201" t="s">
        <v>20774</v>
      </c>
      <c r="D300" s="200">
        <v>44415</v>
      </c>
      <c r="E300" s="199" t="s">
        <v>20775</v>
      </c>
      <c r="I300" s="198">
        <v>35.380000000000003</v>
      </c>
      <c r="K300" s="198">
        <v>108655.73</v>
      </c>
    </row>
    <row r="301" spans="3:11" x14ac:dyDescent="0.2">
      <c r="C301" s="201" t="s">
        <v>20776</v>
      </c>
      <c r="D301" s="200">
        <v>44415</v>
      </c>
      <c r="E301" s="199" t="s">
        <v>20777</v>
      </c>
      <c r="I301" s="198">
        <v>4.55</v>
      </c>
      <c r="K301" s="198">
        <v>108660.28</v>
      </c>
    </row>
    <row r="302" spans="3:11" x14ac:dyDescent="0.2">
      <c r="C302" s="201" t="s">
        <v>20778</v>
      </c>
      <c r="D302" s="200">
        <v>44415</v>
      </c>
      <c r="E302" s="199" t="s">
        <v>20779</v>
      </c>
      <c r="I302" s="198">
        <v>1.68</v>
      </c>
      <c r="K302" s="198">
        <v>108661.96</v>
      </c>
    </row>
    <row r="303" spans="3:11" x14ac:dyDescent="0.2">
      <c r="C303" s="201" t="s">
        <v>20780</v>
      </c>
      <c r="D303" s="200">
        <v>44416</v>
      </c>
      <c r="E303" s="199" t="s">
        <v>20781</v>
      </c>
      <c r="I303" s="198">
        <v>1.68</v>
      </c>
      <c r="K303" s="198">
        <v>108663.64</v>
      </c>
    </row>
    <row r="304" spans="3:11" x14ac:dyDescent="0.2">
      <c r="C304" s="201" t="s">
        <v>20782</v>
      </c>
      <c r="D304" s="200">
        <v>44416</v>
      </c>
      <c r="E304" s="199" t="s">
        <v>20783</v>
      </c>
      <c r="I304" s="198">
        <v>2.58</v>
      </c>
      <c r="K304" s="198">
        <v>108666.22</v>
      </c>
    </row>
    <row r="305" spans="3:11" x14ac:dyDescent="0.2">
      <c r="C305" s="201" t="s">
        <v>20784</v>
      </c>
      <c r="D305" s="200">
        <v>44417</v>
      </c>
      <c r="E305" s="199" t="s">
        <v>20785</v>
      </c>
      <c r="I305" s="198">
        <v>3.8</v>
      </c>
      <c r="K305" s="198">
        <v>108670.02</v>
      </c>
    </row>
    <row r="306" spans="3:11" x14ac:dyDescent="0.2">
      <c r="C306" s="201" t="s">
        <v>20786</v>
      </c>
      <c r="D306" s="200">
        <v>44417</v>
      </c>
      <c r="E306" s="199" t="s">
        <v>20787</v>
      </c>
      <c r="I306" s="198">
        <v>5.78</v>
      </c>
      <c r="K306" s="198">
        <v>108675.8</v>
      </c>
    </row>
    <row r="307" spans="3:11" x14ac:dyDescent="0.2">
      <c r="C307" s="201" t="s">
        <v>20788</v>
      </c>
      <c r="D307" s="200">
        <v>44417</v>
      </c>
      <c r="E307" s="199" t="s">
        <v>20789</v>
      </c>
      <c r="I307" s="198">
        <v>1.77</v>
      </c>
      <c r="K307" s="198">
        <v>108677.57</v>
      </c>
    </row>
    <row r="308" spans="3:11" x14ac:dyDescent="0.2">
      <c r="C308" s="201" t="s">
        <v>20790</v>
      </c>
      <c r="D308" s="200">
        <v>44418</v>
      </c>
      <c r="E308" s="199" t="s">
        <v>20791</v>
      </c>
      <c r="I308" s="198">
        <v>1.94</v>
      </c>
      <c r="K308" s="198">
        <v>108679.51</v>
      </c>
    </row>
    <row r="309" spans="3:11" x14ac:dyDescent="0.2">
      <c r="C309" s="201" t="s">
        <v>20792</v>
      </c>
      <c r="D309" s="200">
        <v>44418</v>
      </c>
      <c r="E309" s="199" t="s">
        <v>20793</v>
      </c>
      <c r="I309" s="198">
        <v>4.63</v>
      </c>
      <c r="K309" s="198">
        <v>108684.14</v>
      </c>
    </row>
    <row r="310" spans="3:11" x14ac:dyDescent="0.2">
      <c r="C310" s="201" t="s">
        <v>20794</v>
      </c>
      <c r="D310" s="200">
        <v>44418</v>
      </c>
      <c r="E310" s="199" t="s">
        <v>20795</v>
      </c>
      <c r="I310" s="198">
        <v>10.73</v>
      </c>
      <c r="K310" s="198">
        <v>108694.87</v>
      </c>
    </row>
    <row r="311" spans="3:11" x14ac:dyDescent="0.2">
      <c r="C311" s="201" t="s">
        <v>20796</v>
      </c>
      <c r="D311" s="200">
        <v>44418</v>
      </c>
      <c r="E311" s="199" t="s">
        <v>20797</v>
      </c>
      <c r="I311" s="198">
        <v>4.46</v>
      </c>
      <c r="K311" s="198">
        <v>108699.33</v>
      </c>
    </row>
    <row r="312" spans="3:11" x14ac:dyDescent="0.2">
      <c r="C312" s="201" t="s">
        <v>20798</v>
      </c>
      <c r="D312" s="200">
        <v>44418</v>
      </c>
      <c r="E312" s="199" t="s">
        <v>20799</v>
      </c>
      <c r="I312" s="198">
        <v>3.21</v>
      </c>
      <c r="K312" s="198">
        <v>108702.54</v>
      </c>
    </row>
    <row r="313" spans="3:11" x14ac:dyDescent="0.2">
      <c r="C313" s="201" t="s">
        <v>20800</v>
      </c>
      <c r="D313" s="200">
        <v>44418</v>
      </c>
      <c r="E313" s="199" t="s">
        <v>20801</v>
      </c>
      <c r="I313" s="198">
        <v>1.95</v>
      </c>
      <c r="K313" s="198">
        <v>108704.49</v>
      </c>
    </row>
    <row r="314" spans="3:11" x14ac:dyDescent="0.2">
      <c r="C314" s="201" t="s">
        <v>20802</v>
      </c>
      <c r="D314" s="200">
        <v>44418</v>
      </c>
      <c r="E314" s="199" t="s">
        <v>20803</v>
      </c>
      <c r="I314" s="198">
        <v>5.42</v>
      </c>
      <c r="K314" s="198">
        <v>108709.91</v>
      </c>
    </row>
    <row r="315" spans="3:11" x14ac:dyDescent="0.2">
      <c r="C315" s="201" t="s">
        <v>20804</v>
      </c>
      <c r="D315" s="200">
        <v>44418</v>
      </c>
      <c r="E315" s="199" t="s">
        <v>20805</v>
      </c>
      <c r="I315" s="198">
        <v>4.71</v>
      </c>
      <c r="K315" s="198">
        <v>108714.62</v>
      </c>
    </row>
    <row r="316" spans="3:11" x14ac:dyDescent="0.2">
      <c r="C316" s="201" t="s">
        <v>20806</v>
      </c>
      <c r="D316" s="200">
        <v>44418</v>
      </c>
      <c r="E316" s="199" t="s">
        <v>20807</v>
      </c>
      <c r="I316" s="198">
        <v>3.36</v>
      </c>
      <c r="K316" s="198">
        <v>108717.98</v>
      </c>
    </row>
    <row r="317" spans="3:11" x14ac:dyDescent="0.2">
      <c r="C317" s="201" t="s">
        <v>20808</v>
      </c>
      <c r="D317" s="200">
        <v>44418</v>
      </c>
      <c r="E317" s="199" t="s">
        <v>20809</v>
      </c>
      <c r="I317" s="198">
        <v>5.92</v>
      </c>
      <c r="K317" s="198">
        <v>108723.9</v>
      </c>
    </row>
    <row r="318" spans="3:11" x14ac:dyDescent="0.2">
      <c r="C318" s="201" t="s">
        <v>20810</v>
      </c>
      <c r="D318" s="200">
        <v>44418</v>
      </c>
      <c r="E318" s="199" t="s">
        <v>20811</v>
      </c>
      <c r="I318" s="198">
        <v>12.95</v>
      </c>
      <c r="K318" s="198">
        <v>108736.85</v>
      </c>
    </row>
    <row r="319" spans="3:11" x14ac:dyDescent="0.2">
      <c r="C319" s="201" t="s">
        <v>20812</v>
      </c>
      <c r="D319" s="200">
        <v>44418</v>
      </c>
      <c r="E319" s="199" t="s">
        <v>20813</v>
      </c>
      <c r="I319" s="198">
        <v>3.36</v>
      </c>
      <c r="K319" s="198">
        <v>108740.21</v>
      </c>
    </row>
    <row r="320" spans="3:11" x14ac:dyDescent="0.2">
      <c r="C320" s="201" t="s">
        <v>20814</v>
      </c>
      <c r="D320" s="200">
        <v>44418</v>
      </c>
      <c r="E320" s="199" t="s">
        <v>20815</v>
      </c>
      <c r="I320" s="198">
        <v>19.079999999999998</v>
      </c>
      <c r="K320" s="198">
        <v>108759.29</v>
      </c>
    </row>
    <row r="321" spans="3:11" x14ac:dyDescent="0.2">
      <c r="C321" s="201" t="s">
        <v>20816</v>
      </c>
      <c r="D321" s="200">
        <v>44418</v>
      </c>
      <c r="E321" s="199" t="s">
        <v>20817</v>
      </c>
      <c r="I321" s="198">
        <v>11.71</v>
      </c>
      <c r="K321" s="198">
        <v>108771</v>
      </c>
    </row>
    <row r="322" spans="3:11" x14ac:dyDescent="0.2">
      <c r="C322" s="201" t="s">
        <v>20818</v>
      </c>
      <c r="D322" s="200">
        <v>44418</v>
      </c>
      <c r="E322" s="199" t="s">
        <v>20819</v>
      </c>
      <c r="I322" s="198">
        <v>1.68</v>
      </c>
      <c r="K322" s="198">
        <v>108772.68</v>
      </c>
    </row>
    <row r="323" spans="3:11" x14ac:dyDescent="0.2">
      <c r="C323" s="201" t="s">
        <v>20820</v>
      </c>
      <c r="D323" s="200">
        <v>44418</v>
      </c>
      <c r="E323" s="199" t="s">
        <v>20821</v>
      </c>
      <c r="I323" s="198">
        <v>2.06</v>
      </c>
      <c r="K323" s="198">
        <v>108774.74</v>
      </c>
    </row>
    <row r="324" spans="3:11" x14ac:dyDescent="0.2">
      <c r="C324" s="201" t="s">
        <v>20822</v>
      </c>
      <c r="D324" s="200">
        <v>44418</v>
      </c>
      <c r="E324" s="199" t="s">
        <v>20823</v>
      </c>
      <c r="I324" s="198">
        <v>2.04</v>
      </c>
      <c r="K324" s="198">
        <v>108776.78</v>
      </c>
    </row>
    <row r="325" spans="3:11" x14ac:dyDescent="0.2">
      <c r="C325" s="201" t="s">
        <v>20824</v>
      </c>
      <c r="D325" s="200">
        <v>44418</v>
      </c>
      <c r="E325" s="199" t="s">
        <v>20825</v>
      </c>
      <c r="I325" s="198">
        <v>5.04</v>
      </c>
      <c r="K325" s="198">
        <v>108781.82</v>
      </c>
    </row>
    <row r="326" spans="3:11" x14ac:dyDescent="0.2">
      <c r="C326" s="201" t="s">
        <v>20826</v>
      </c>
      <c r="D326" s="200">
        <v>44418</v>
      </c>
      <c r="E326" s="199" t="s">
        <v>20827</v>
      </c>
      <c r="I326" s="198">
        <v>5.0599999999999996</v>
      </c>
      <c r="K326" s="198">
        <v>108786.88</v>
      </c>
    </row>
    <row r="327" spans="3:11" x14ac:dyDescent="0.2">
      <c r="C327" s="201" t="s">
        <v>20828</v>
      </c>
      <c r="D327" s="200">
        <v>44418</v>
      </c>
      <c r="E327" s="199" t="s">
        <v>20829</v>
      </c>
      <c r="I327" s="198">
        <v>5.5</v>
      </c>
      <c r="K327" s="198">
        <v>108792.38</v>
      </c>
    </row>
    <row r="328" spans="3:11" x14ac:dyDescent="0.2">
      <c r="C328" s="201" t="s">
        <v>20830</v>
      </c>
      <c r="D328" s="200">
        <v>44418</v>
      </c>
      <c r="E328" s="199" t="s">
        <v>20831</v>
      </c>
      <c r="I328" s="198">
        <v>8.3800000000000008</v>
      </c>
      <c r="K328" s="198">
        <v>108800.76</v>
      </c>
    </row>
    <row r="329" spans="3:11" x14ac:dyDescent="0.2">
      <c r="C329" s="201" t="s">
        <v>20832</v>
      </c>
      <c r="D329" s="200">
        <v>44418</v>
      </c>
      <c r="E329" s="199" t="s">
        <v>20833</v>
      </c>
      <c r="I329" s="198">
        <v>3.92</v>
      </c>
      <c r="K329" s="198">
        <v>108804.68</v>
      </c>
    </row>
    <row r="330" spans="3:11" x14ac:dyDescent="0.2">
      <c r="C330" s="201" t="s">
        <v>20834</v>
      </c>
      <c r="D330" s="200">
        <v>44418</v>
      </c>
      <c r="E330" s="199" t="s">
        <v>20835</v>
      </c>
      <c r="I330" s="198">
        <v>23.46</v>
      </c>
      <c r="K330" s="198">
        <v>108828.14</v>
      </c>
    </row>
    <row r="331" spans="3:11" x14ac:dyDescent="0.2">
      <c r="C331" s="201" t="s">
        <v>20836</v>
      </c>
      <c r="D331" s="200">
        <v>44418</v>
      </c>
      <c r="E331" s="199" t="s">
        <v>20837</v>
      </c>
      <c r="I331" s="198">
        <v>6.18</v>
      </c>
      <c r="K331" s="198">
        <v>108834.32</v>
      </c>
    </row>
    <row r="332" spans="3:11" x14ac:dyDescent="0.2">
      <c r="C332" s="201" t="s">
        <v>20838</v>
      </c>
      <c r="D332" s="200">
        <v>44418</v>
      </c>
      <c r="E332" s="199" t="s">
        <v>20839</v>
      </c>
      <c r="I332" s="198">
        <v>5.59</v>
      </c>
      <c r="K332" s="198">
        <v>108839.91</v>
      </c>
    </row>
    <row r="333" spans="3:11" x14ac:dyDescent="0.2">
      <c r="C333" s="201" t="s">
        <v>20840</v>
      </c>
      <c r="D333" s="200">
        <v>44418</v>
      </c>
      <c r="E333" s="199" t="s">
        <v>20841</v>
      </c>
      <c r="I333" s="198">
        <v>16.600000000000001</v>
      </c>
      <c r="K333" s="198">
        <v>108856.51</v>
      </c>
    </row>
    <row r="334" spans="3:11" x14ac:dyDescent="0.2">
      <c r="C334" s="201" t="s">
        <v>20842</v>
      </c>
      <c r="D334" s="200">
        <v>44418</v>
      </c>
      <c r="E334" s="199" t="s">
        <v>20843</v>
      </c>
      <c r="I334" s="198">
        <v>4.6100000000000003</v>
      </c>
      <c r="K334" s="198">
        <v>108861.12</v>
      </c>
    </row>
    <row r="335" spans="3:11" x14ac:dyDescent="0.2">
      <c r="C335" s="201" t="s">
        <v>20844</v>
      </c>
      <c r="D335" s="200">
        <v>44418</v>
      </c>
      <c r="E335" s="199" t="s">
        <v>20845</v>
      </c>
      <c r="I335" s="198">
        <v>15.2</v>
      </c>
      <c r="K335" s="198">
        <v>108876.32</v>
      </c>
    </row>
    <row r="336" spans="3:11" x14ac:dyDescent="0.2">
      <c r="C336" s="201" t="s">
        <v>20846</v>
      </c>
      <c r="D336" s="200">
        <v>44418</v>
      </c>
      <c r="E336" s="199" t="s">
        <v>20847</v>
      </c>
      <c r="I336" s="198">
        <v>5</v>
      </c>
      <c r="K336" s="198">
        <v>108881.32</v>
      </c>
    </row>
    <row r="337" spans="3:11" x14ac:dyDescent="0.2">
      <c r="C337" s="201" t="s">
        <v>20848</v>
      </c>
      <c r="D337" s="200">
        <v>44418</v>
      </c>
      <c r="E337" s="199" t="s">
        <v>20849</v>
      </c>
      <c r="I337" s="198">
        <v>31.4</v>
      </c>
      <c r="K337" s="198">
        <v>108912.72</v>
      </c>
    </row>
    <row r="338" spans="3:11" x14ac:dyDescent="0.2">
      <c r="C338" s="201" t="s">
        <v>20850</v>
      </c>
      <c r="D338" s="200">
        <v>44418</v>
      </c>
      <c r="E338" s="199" t="s">
        <v>20851</v>
      </c>
      <c r="I338" s="198">
        <v>1.69</v>
      </c>
      <c r="K338" s="198">
        <v>108914.41</v>
      </c>
    </row>
    <row r="339" spans="3:11" x14ac:dyDescent="0.2">
      <c r="C339" s="201" t="s">
        <v>20852</v>
      </c>
      <c r="D339" s="200">
        <v>44418</v>
      </c>
      <c r="E339" s="199" t="s">
        <v>20853</v>
      </c>
      <c r="I339" s="198">
        <v>2.4500000000000002</v>
      </c>
      <c r="K339" s="198">
        <v>108916.86</v>
      </c>
    </row>
    <row r="340" spans="3:11" x14ac:dyDescent="0.2">
      <c r="C340" s="201" t="s">
        <v>6746</v>
      </c>
      <c r="D340" s="200">
        <v>44418</v>
      </c>
      <c r="E340" s="199" t="s">
        <v>20854</v>
      </c>
      <c r="J340" s="222">
        <v>1665.83</v>
      </c>
      <c r="K340" s="198">
        <v>107251.03</v>
      </c>
    </row>
    <row r="341" spans="3:11" x14ac:dyDescent="0.2">
      <c r="C341" s="201" t="s">
        <v>6744</v>
      </c>
      <c r="D341" s="200">
        <v>44418</v>
      </c>
      <c r="E341" s="199" t="s">
        <v>20855</v>
      </c>
      <c r="J341" s="222">
        <v>116.99</v>
      </c>
      <c r="K341" s="198">
        <v>107134.04</v>
      </c>
    </row>
    <row r="342" spans="3:11" x14ac:dyDescent="0.2">
      <c r="C342" s="201" t="s">
        <v>12330</v>
      </c>
      <c r="D342" s="200">
        <v>44418</v>
      </c>
      <c r="E342" s="199" t="s">
        <v>20856</v>
      </c>
      <c r="J342" s="222">
        <v>305.73</v>
      </c>
      <c r="K342" s="198">
        <v>106828.31</v>
      </c>
    </row>
    <row r="343" spans="3:11" x14ac:dyDescent="0.2">
      <c r="C343" s="201" t="s">
        <v>8127</v>
      </c>
      <c r="D343" s="200">
        <v>44418</v>
      </c>
      <c r="E343" s="199" t="s">
        <v>20857</v>
      </c>
      <c r="J343" s="222">
        <v>571.01</v>
      </c>
      <c r="K343" s="198">
        <v>106257.3</v>
      </c>
    </row>
    <row r="344" spans="3:11" x14ac:dyDescent="0.2">
      <c r="C344" s="201" t="s">
        <v>6742</v>
      </c>
      <c r="D344" s="200">
        <v>44418</v>
      </c>
      <c r="E344" s="199" t="s">
        <v>20858</v>
      </c>
      <c r="J344" s="222">
        <v>88</v>
      </c>
      <c r="K344" s="198">
        <v>106169.3</v>
      </c>
    </row>
    <row r="345" spans="3:11" x14ac:dyDescent="0.2">
      <c r="C345" s="201" t="s">
        <v>6819</v>
      </c>
      <c r="D345" s="200">
        <v>44418</v>
      </c>
      <c r="E345" s="199" t="s">
        <v>20859</v>
      </c>
      <c r="J345" s="222">
        <v>15.49</v>
      </c>
      <c r="K345" s="198">
        <v>106153.81</v>
      </c>
    </row>
    <row r="346" spans="3:11" x14ac:dyDescent="0.2">
      <c r="C346" s="201" t="s">
        <v>14343</v>
      </c>
      <c r="D346" s="200">
        <v>44418</v>
      </c>
      <c r="E346" s="199" t="s">
        <v>20860</v>
      </c>
      <c r="J346" s="222">
        <v>19.510000000000002</v>
      </c>
      <c r="K346" s="198">
        <v>106134.3</v>
      </c>
    </row>
    <row r="347" spans="3:11" x14ac:dyDescent="0.2">
      <c r="C347" s="201" t="s">
        <v>9623</v>
      </c>
      <c r="D347" s="200">
        <v>44418</v>
      </c>
      <c r="E347" s="199" t="s">
        <v>20861</v>
      </c>
      <c r="J347" s="222">
        <v>29</v>
      </c>
      <c r="K347" s="198">
        <v>106105.3</v>
      </c>
    </row>
    <row r="348" spans="3:11" x14ac:dyDescent="0.2">
      <c r="C348" s="201" t="s">
        <v>9621</v>
      </c>
      <c r="D348" s="200">
        <v>44418</v>
      </c>
      <c r="E348" s="199" t="s">
        <v>20862</v>
      </c>
      <c r="J348" s="222">
        <v>13.52</v>
      </c>
      <c r="K348" s="198">
        <v>106091.78</v>
      </c>
    </row>
    <row r="349" spans="3:11" x14ac:dyDescent="0.2">
      <c r="C349" s="201" t="s">
        <v>20863</v>
      </c>
      <c r="D349" s="200">
        <v>44419</v>
      </c>
      <c r="E349" s="199" t="s">
        <v>20864</v>
      </c>
      <c r="I349" s="198">
        <v>6.99</v>
      </c>
      <c r="K349" s="198">
        <v>106098.77</v>
      </c>
    </row>
    <row r="350" spans="3:11" x14ac:dyDescent="0.2">
      <c r="C350" s="201" t="s">
        <v>20865</v>
      </c>
      <c r="D350" s="200">
        <v>44419</v>
      </c>
      <c r="E350" s="199" t="s">
        <v>20866</v>
      </c>
      <c r="I350" s="198">
        <v>30.6</v>
      </c>
      <c r="K350" s="198">
        <v>106129.37</v>
      </c>
    </row>
    <row r="351" spans="3:11" x14ac:dyDescent="0.2">
      <c r="C351" s="201" t="s">
        <v>20867</v>
      </c>
      <c r="D351" s="200">
        <v>44419</v>
      </c>
      <c r="E351" s="199" t="s">
        <v>20868</v>
      </c>
      <c r="I351" s="198">
        <v>3</v>
      </c>
      <c r="K351" s="198">
        <v>106132.37</v>
      </c>
    </row>
    <row r="352" spans="3:11" x14ac:dyDescent="0.2">
      <c r="C352" s="201" t="s">
        <v>19281</v>
      </c>
      <c r="D352" s="200">
        <v>44419</v>
      </c>
      <c r="E352" s="199" t="s">
        <v>19280</v>
      </c>
      <c r="I352" s="198">
        <v>8.3800000000000008</v>
      </c>
      <c r="K352" s="198">
        <v>106140.75</v>
      </c>
    </row>
    <row r="353" spans="3:11" x14ac:dyDescent="0.2">
      <c r="C353" s="201" t="s">
        <v>20869</v>
      </c>
      <c r="D353" s="200">
        <v>44419</v>
      </c>
      <c r="E353" s="199" t="s">
        <v>19280</v>
      </c>
      <c r="I353" s="198">
        <v>8.3800000000000008</v>
      </c>
      <c r="K353" s="198">
        <v>106149.13</v>
      </c>
    </row>
    <row r="354" spans="3:11" x14ac:dyDescent="0.2">
      <c r="C354" s="201" t="s">
        <v>20870</v>
      </c>
      <c r="D354" s="200">
        <v>44419</v>
      </c>
      <c r="E354" s="199" t="s">
        <v>20871</v>
      </c>
      <c r="I354" s="198">
        <v>15.3</v>
      </c>
      <c r="K354" s="198">
        <v>106164.43</v>
      </c>
    </row>
    <row r="355" spans="3:11" x14ac:dyDescent="0.2">
      <c r="C355" s="201" t="s">
        <v>20872</v>
      </c>
      <c r="D355" s="200">
        <v>44419</v>
      </c>
      <c r="E355" s="199" t="s">
        <v>20873</v>
      </c>
      <c r="I355" s="198">
        <v>3.36</v>
      </c>
      <c r="K355" s="198">
        <v>106167.79</v>
      </c>
    </row>
    <row r="356" spans="3:11" x14ac:dyDescent="0.2">
      <c r="C356" s="201" t="s">
        <v>20874</v>
      </c>
      <c r="D356" s="200">
        <v>44419</v>
      </c>
      <c r="E356" s="199" t="s">
        <v>20875</v>
      </c>
      <c r="I356" s="198">
        <v>8.3800000000000008</v>
      </c>
      <c r="K356" s="198">
        <v>106176.17</v>
      </c>
    </row>
    <row r="357" spans="3:11" x14ac:dyDescent="0.2">
      <c r="C357" s="201" t="s">
        <v>20876</v>
      </c>
      <c r="D357" s="200">
        <v>44419</v>
      </c>
      <c r="E357" s="199" t="s">
        <v>20877</v>
      </c>
      <c r="I357" s="198">
        <v>3.36</v>
      </c>
      <c r="K357" s="198">
        <v>106179.53</v>
      </c>
    </row>
    <row r="358" spans="3:11" x14ac:dyDescent="0.2">
      <c r="C358" s="201" t="s">
        <v>20878</v>
      </c>
      <c r="D358" s="200">
        <v>44419</v>
      </c>
      <c r="E358" s="199" t="s">
        <v>20879</v>
      </c>
      <c r="I358" s="198">
        <v>5.3</v>
      </c>
      <c r="K358" s="198">
        <v>106184.83</v>
      </c>
    </row>
    <row r="359" spans="3:11" x14ac:dyDescent="0.2">
      <c r="C359" s="201" t="s">
        <v>20880</v>
      </c>
      <c r="D359" s="200">
        <v>44419</v>
      </c>
      <c r="E359" s="199" t="s">
        <v>20881</v>
      </c>
      <c r="I359" s="198">
        <v>3.09</v>
      </c>
      <c r="K359" s="198">
        <v>106187.92</v>
      </c>
    </row>
    <row r="360" spans="3:11" x14ac:dyDescent="0.2">
      <c r="C360" s="201" t="s">
        <v>20882</v>
      </c>
      <c r="D360" s="200">
        <v>44419</v>
      </c>
      <c r="E360" s="199" t="s">
        <v>20883</v>
      </c>
      <c r="I360" s="198">
        <v>1.94</v>
      </c>
      <c r="K360" s="198">
        <v>106189.86</v>
      </c>
    </row>
    <row r="361" spans="3:11" x14ac:dyDescent="0.2">
      <c r="C361" s="201" t="s">
        <v>20884</v>
      </c>
      <c r="D361" s="200">
        <v>44419</v>
      </c>
      <c r="E361" s="199" t="s">
        <v>20885</v>
      </c>
      <c r="I361" s="198">
        <v>13.69</v>
      </c>
      <c r="K361" s="198">
        <v>106203.55</v>
      </c>
    </row>
    <row r="362" spans="3:11" x14ac:dyDescent="0.2">
      <c r="C362" s="201" t="s">
        <v>20886</v>
      </c>
      <c r="D362" s="200">
        <v>44419</v>
      </c>
      <c r="E362" s="199" t="s">
        <v>20887</v>
      </c>
      <c r="I362" s="198">
        <v>2.0699999999999998</v>
      </c>
      <c r="K362" s="198">
        <v>106205.62</v>
      </c>
    </row>
    <row r="363" spans="3:11" x14ac:dyDescent="0.2">
      <c r="C363" s="201" t="s">
        <v>20888</v>
      </c>
      <c r="D363" s="200">
        <v>44419</v>
      </c>
      <c r="E363" s="199" t="s">
        <v>20889</v>
      </c>
      <c r="I363" s="198">
        <v>1.68</v>
      </c>
      <c r="K363" s="198">
        <v>106207.3</v>
      </c>
    </row>
    <row r="364" spans="3:11" x14ac:dyDescent="0.2">
      <c r="C364" s="201" t="s">
        <v>20890</v>
      </c>
      <c r="D364" s="200">
        <v>44419</v>
      </c>
      <c r="E364" s="199" t="s">
        <v>20891</v>
      </c>
      <c r="I364" s="198">
        <v>3.64</v>
      </c>
      <c r="K364" s="198">
        <v>106210.94</v>
      </c>
    </row>
    <row r="365" spans="3:11" x14ac:dyDescent="0.2">
      <c r="C365" s="201" t="s">
        <v>20892</v>
      </c>
      <c r="D365" s="200">
        <v>44419</v>
      </c>
      <c r="E365" s="199" t="s">
        <v>20893</v>
      </c>
      <c r="I365" s="198">
        <v>1.8</v>
      </c>
      <c r="K365" s="198">
        <v>106212.74</v>
      </c>
    </row>
    <row r="366" spans="3:11" x14ac:dyDescent="0.2">
      <c r="C366" s="201" t="s">
        <v>20894</v>
      </c>
      <c r="D366" s="200">
        <v>44419</v>
      </c>
      <c r="E366" s="199" t="s">
        <v>20895</v>
      </c>
      <c r="I366" s="198">
        <v>2.04</v>
      </c>
      <c r="K366" s="198">
        <v>106214.78</v>
      </c>
    </row>
    <row r="367" spans="3:11" x14ac:dyDescent="0.2">
      <c r="C367" s="201" t="s">
        <v>20896</v>
      </c>
      <c r="D367" s="200">
        <v>44419</v>
      </c>
      <c r="E367" s="199" t="s">
        <v>20897</v>
      </c>
      <c r="I367" s="198">
        <v>0.91</v>
      </c>
      <c r="K367" s="198">
        <v>106215.69</v>
      </c>
    </row>
    <row r="368" spans="3:11" x14ac:dyDescent="0.2">
      <c r="C368" s="201" t="s">
        <v>20898</v>
      </c>
      <c r="D368" s="200">
        <v>44419</v>
      </c>
      <c r="E368" s="199" t="s">
        <v>20899</v>
      </c>
      <c r="I368" s="198">
        <v>4.1900000000000004</v>
      </c>
      <c r="K368" s="198">
        <v>106219.88</v>
      </c>
    </row>
    <row r="369" spans="3:11" x14ac:dyDescent="0.2">
      <c r="C369" s="201" t="s">
        <v>20900</v>
      </c>
      <c r="D369" s="200">
        <v>44419</v>
      </c>
      <c r="E369" s="199" t="s">
        <v>20901</v>
      </c>
      <c r="I369" s="198">
        <v>3.77</v>
      </c>
      <c r="K369" s="198">
        <v>106223.65</v>
      </c>
    </row>
    <row r="370" spans="3:11" x14ac:dyDescent="0.2">
      <c r="C370" s="201" t="s">
        <v>20902</v>
      </c>
      <c r="D370" s="200">
        <v>44419</v>
      </c>
      <c r="E370" s="199" t="s">
        <v>20903</v>
      </c>
      <c r="I370" s="198">
        <v>0.56999999999999995</v>
      </c>
      <c r="K370" s="198">
        <v>106224.22</v>
      </c>
    </row>
    <row r="371" spans="3:11" x14ac:dyDescent="0.2">
      <c r="C371" s="201" t="s">
        <v>20904</v>
      </c>
      <c r="D371" s="200">
        <v>44419</v>
      </c>
      <c r="E371" s="199" t="s">
        <v>20905</v>
      </c>
      <c r="I371" s="198">
        <v>1.46</v>
      </c>
      <c r="K371" s="198">
        <v>106225.68</v>
      </c>
    </row>
    <row r="372" spans="3:11" x14ac:dyDescent="0.2">
      <c r="C372" s="201" t="s">
        <v>20906</v>
      </c>
      <c r="D372" s="200">
        <v>44419</v>
      </c>
      <c r="E372" s="199" t="s">
        <v>20907</v>
      </c>
      <c r="I372" s="198">
        <v>2.77</v>
      </c>
      <c r="K372" s="198">
        <v>106228.45</v>
      </c>
    </row>
    <row r="373" spans="3:11" x14ac:dyDescent="0.2">
      <c r="C373" s="201" t="s">
        <v>20908</v>
      </c>
      <c r="D373" s="200">
        <v>44419</v>
      </c>
      <c r="E373" s="199" t="s">
        <v>20909</v>
      </c>
      <c r="I373" s="198">
        <v>2.82</v>
      </c>
      <c r="K373" s="198">
        <v>106231.27</v>
      </c>
    </row>
    <row r="374" spans="3:11" x14ac:dyDescent="0.2">
      <c r="C374" s="201" t="s">
        <v>20910</v>
      </c>
      <c r="D374" s="200">
        <v>44419</v>
      </c>
      <c r="E374" s="199" t="s">
        <v>20911</v>
      </c>
      <c r="I374" s="198">
        <v>2.68</v>
      </c>
      <c r="K374" s="198">
        <v>106233.95</v>
      </c>
    </row>
    <row r="375" spans="3:11" x14ac:dyDescent="0.2">
      <c r="C375" s="201" t="s">
        <v>20912</v>
      </c>
      <c r="D375" s="200">
        <v>44419</v>
      </c>
      <c r="E375" s="199" t="s">
        <v>20913</v>
      </c>
      <c r="I375" s="198">
        <v>1.68</v>
      </c>
      <c r="K375" s="198">
        <v>106235.63</v>
      </c>
    </row>
    <row r="376" spans="3:11" x14ac:dyDescent="0.2">
      <c r="C376" s="201" t="s">
        <v>20914</v>
      </c>
      <c r="D376" s="200">
        <v>44419</v>
      </c>
      <c r="E376" s="199" t="s">
        <v>20915</v>
      </c>
      <c r="I376" s="198">
        <v>12.15</v>
      </c>
      <c r="K376" s="198">
        <v>106247.78</v>
      </c>
    </row>
    <row r="377" spans="3:11" x14ac:dyDescent="0.2">
      <c r="C377" s="201" t="s">
        <v>20916</v>
      </c>
      <c r="D377" s="200">
        <v>44419</v>
      </c>
      <c r="E377" s="199" t="s">
        <v>20917</v>
      </c>
      <c r="I377" s="198">
        <v>12.61</v>
      </c>
      <c r="K377" s="198">
        <v>106260.39</v>
      </c>
    </row>
    <row r="378" spans="3:11" x14ac:dyDescent="0.2">
      <c r="C378" s="201" t="s">
        <v>20918</v>
      </c>
      <c r="D378" s="200">
        <v>44420</v>
      </c>
      <c r="E378" s="199" t="s">
        <v>20919</v>
      </c>
      <c r="I378" s="198">
        <v>6.3</v>
      </c>
      <c r="K378" s="198">
        <v>106266.69</v>
      </c>
    </row>
    <row r="379" spans="3:11" x14ac:dyDescent="0.2">
      <c r="C379" s="201" t="s">
        <v>20920</v>
      </c>
      <c r="D379" s="200">
        <v>44420</v>
      </c>
      <c r="E379" s="199" t="s">
        <v>20921</v>
      </c>
      <c r="I379" s="198">
        <v>1.68</v>
      </c>
      <c r="K379" s="198">
        <v>106268.37</v>
      </c>
    </row>
    <row r="380" spans="3:11" x14ac:dyDescent="0.2">
      <c r="C380" s="201" t="s">
        <v>20922</v>
      </c>
      <c r="D380" s="200">
        <v>44420</v>
      </c>
      <c r="E380" s="199" t="s">
        <v>20923</v>
      </c>
      <c r="I380" s="198">
        <v>1.68</v>
      </c>
      <c r="K380" s="198">
        <v>106270.05</v>
      </c>
    </row>
    <row r="381" spans="3:11" x14ac:dyDescent="0.2">
      <c r="C381" s="201" t="s">
        <v>20924</v>
      </c>
      <c r="D381" s="200">
        <v>44420</v>
      </c>
      <c r="E381" s="199" t="s">
        <v>20925</v>
      </c>
      <c r="I381" s="198">
        <v>60.57</v>
      </c>
      <c r="K381" s="198">
        <v>106330.62</v>
      </c>
    </row>
    <row r="382" spans="3:11" x14ac:dyDescent="0.2">
      <c r="C382" s="201" t="s">
        <v>20926</v>
      </c>
      <c r="D382" s="200">
        <v>44420</v>
      </c>
      <c r="E382" s="199" t="s">
        <v>20927</v>
      </c>
      <c r="I382" s="198">
        <v>14.2</v>
      </c>
      <c r="K382" s="198">
        <v>106344.82</v>
      </c>
    </row>
    <row r="383" spans="3:11" x14ac:dyDescent="0.2">
      <c r="C383" s="201" t="s">
        <v>20928</v>
      </c>
      <c r="D383" s="200">
        <v>44420</v>
      </c>
      <c r="E383" s="199" t="s">
        <v>20929</v>
      </c>
      <c r="I383" s="198">
        <v>1</v>
      </c>
      <c r="K383" s="198">
        <v>106345.82</v>
      </c>
    </row>
    <row r="384" spans="3:11" x14ac:dyDescent="0.2">
      <c r="C384" s="201" t="s">
        <v>20930</v>
      </c>
      <c r="D384" s="200">
        <v>44420</v>
      </c>
      <c r="E384" s="199" t="s">
        <v>20931</v>
      </c>
      <c r="I384" s="198">
        <v>4.87</v>
      </c>
      <c r="K384" s="198">
        <v>106350.69</v>
      </c>
    </row>
    <row r="385" spans="3:11" x14ac:dyDescent="0.2">
      <c r="C385" s="201" t="s">
        <v>20932</v>
      </c>
      <c r="D385" s="200">
        <v>44420</v>
      </c>
      <c r="E385" s="199" t="s">
        <v>20933</v>
      </c>
      <c r="I385" s="198">
        <v>48</v>
      </c>
      <c r="K385" s="198">
        <v>106398.69</v>
      </c>
    </row>
    <row r="386" spans="3:11" x14ac:dyDescent="0.2">
      <c r="C386" s="201" t="s">
        <v>20934</v>
      </c>
      <c r="D386" s="200">
        <v>44420</v>
      </c>
      <c r="E386" s="199" t="s">
        <v>20935</v>
      </c>
      <c r="I386" s="198">
        <v>4.76</v>
      </c>
      <c r="K386" s="198">
        <v>106403.45</v>
      </c>
    </row>
    <row r="387" spans="3:11" x14ac:dyDescent="0.2">
      <c r="C387" s="201" t="s">
        <v>20936</v>
      </c>
      <c r="D387" s="200">
        <v>44420</v>
      </c>
      <c r="E387" s="199" t="s">
        <v>20937</v>
      </c>
      <c r="I387" s="198">
        <v>4.04</v>
      </c>
      <c r="K387" s="198">
        <v>106407.49</v>
      </c>
    </row>
    <row r="388" spans="3:11" x14ac:dyDescent="0.2">
      <c r="C388" s="201" t="s">
        <v>20938</v>
      </c>
      <c r="D388" s="200">
        <v>44420</v>
      </c>
      <c r="E388" s="199" t="s">
        <v>20939</v>
      </c>
      <c r="I388" s="198">
        <v>5.49</v>
      </c>
      <c r="K388" s="198">
        <v>106412.98</v>
      </c>
    </row>
    <row r="389" spans="3:11" x14ac:dyDescent="0.2">
      <c r="C389" s="201" t="s">
        <v>20940</v>
      </c>
      <c r="D389" s="200">
        <v>44420</v>
      </c>
      <c r="E389" s="199" t="s">
        <v>20941</v>
      </c>
      <c r="I389" s="198">
        <v>5.1100000000000003</v>
      </c>
      <c r="K389" s="198">
        <v>106418.09</v>
      </c>
    </row>
    <row r="390" spans="3:11" x14ac:dyDescent="0.2">
      <c r="C390" s="201" t="s">
        <v>20942</v>
      </c>
      <c r="D390" s="200">
        <v>44420</v>
      </c>
      <c r="E390" s="199" t="s">
        <v>20943</v>
      </c>
      <c r="I390" s="198">
        <v>2.02</v>
      </c>
      <c r="K390" s="198">
        <v>106420.11</v>
      </c>
    </row>
    <row r="391" spans="3:11" x14ac:dyDescent="0.2">
      <c r="C391" s="201" t="s">
        <v>20944</v>
      </c>
      <c r="D391" s="200">
        <v>44420</v>
      </c>
      <c r="E391" s="199" t="s">
        <v>20945</v>
      </c>
      <c r="I391" s="198">
        <v>8.3800000000000008</v>
      </c>
      <c r="K391" s="198">
        <v>106428.49</v>
      </c>
    </row>
    <row r="392" spans="3:11" x14ac:dyDescent="0.2">
      <c r="C392" s="201" t="s">
        <v>20946</v>
      </c>
      <c r="D392" s="200">
        <v>44420</v>
      </c>
      <c r="E392" s="199" t="s">
        <v>20947</v>
      </c>
      <c r="I392" s="198">
        <v>2.8</v>
      </c>
      <c r="K392" s="198">
        <v>106431.29</v>
      </c>
    </row>
    <row r="393" spans="3:11" x14ac:dyDescent="0.2">
      <c r="C393" s="201" t="s">
        <v>20948</v>
      </c>
      <c r="D393" s="200">
        <v>44420</v>
      </c>
      <c r="E393" s="199" t="s">
        <v>20949</v>
      </c>
      <c r="I393" s="198">
        <v>8.98</v>
      </c>
      <c r="K393" s="198">
        <v>106440.27</v>
      </c>
    </row>
    <row r="394" spans="3:11" x14ac:dyDescent="0.2">
      <c r="C394" s="201" t="s">
        <v>20950</v>
      </c>
      <c r="D394" s="200">
        <v>44420</v>
      </c>
      <c r="E394" s="199" t="s">
        <v>20951</v>
      </c>
      <c r="I394" s="198">
        <v>21.88</v>
      </c>
      <c r="K394" s="198">
        <v>106462.15</v>
      </c>
    </row>
    <row r="395" spans="3:11" x14ac:dyDescent="0.2">
      <c r="C395" s="201" t="s">
        <v>20952</v>
      </c>
      <c r="D395" s="200">
        <v>44420</v>
      </c>
      <c r="E395" s="199" t="s">
        <v>20953</v>
      </c>
      <c r="I395" s="198">
        <v>5</v>
      </c>
      <c r="K395" s="198">
        <v>106467.15</v>
      </c>
    </row>
    <row r="396" spans="3:11" x14ac:dyDescent="0.2">
      <c r="C396" s="201" t="s">
        <v>20954</v>
      </c>
      <c r="D396" s="200">
        <v>44420</v>
      </c>
      <c r="E396" s="199" t="s">
        <v>20955</v>
      </c>
      <c r="I396" s="198">
        <v>1.8</v>
      </c>
      <c r="K396" s="198">
        <v>106468.95</v>
      </c>
    </row>
    <row r="397" spans="3:11" x14ac:dyDescent="0.2">
      <c r="C397" s="201" t="s">
        <v>20956</v>
      </c>
      <c r="D397" s="200">
        <v>44420</v>
      </c>
      <c r="E397" s="199" t="s">
        <v>20957</v>
      </c>
      <c r="I397" s="198">
        <v>1.68</v>
      </c>
      <c r="K397" s="198">
        <v>106470.63</v>
      </c>
    </row>
    <row r="398" spans="3:11" x14ac:dyDescent="0.2">
      <c r="C398" s="201" t="s">
        <v>20958</v>
      </c>
      <c r="D398" s="200">
        <v>44420</v>
      </c>
      <c r="E398" s="199" t="s">
        <v>20959</v>
      </c>
      <c r="I398" s="198">
        <v>30.6</v>
      </c>
      <c r="K398" s="198">
        <v>106501.23</v>
      </c>
    </row>
    <row r="399" spans="3:11" x14ac:dyDescent="0.2">
      <c r="C399" s="201" t="s">
        <v>20960</v>
      </c>
      <c r="D399" s="200">
        <v>44420</v>
      </c>
      <c r="E399" s="199" t="s">
        <v>20961</v>
      </c>
      <c r="I399" s="198">
        <v>7.82</v>
      </c>
      <c r="K399" s="198">
        <v>106509.05</v>
      </c>
    </row>
    <row r="400" spans="3:11" x14ac:dyDescent="0.2">
      <c r="C400" s="201" t="s">
        <v>20962</v>
      </c>
      <c r="D400" s="200">
        <v>44421</v>
      </c>
      <c r="E400" s="199" t="s">
        <v>20963</v>
      </c>
      <c r="I400" s="198">
        <v>2.5099999999999998</v>
      </c>
      <c r="K400" s="198">
        <v>106511.56</v>
      </c>
    </row>
    <row r="401" spans="3:11" x14ac:dyDescent="0.2">
      <c r="C401" s="201" t="s">
        <v>20964</v>
      </c>
      <c r="D401" s="200">
        <v>44421</v>
      </c>
      <c r="E401" s="199" t="s">
        <v>20965</v>
      </c>
      <c r="I401" s="198">
        <v>5.21</v>
      </c>
      <c r="K401" s="198">
        <v>106516.77</v>
      </c>
    </row>
    <row r="402" spans="3:11" x14ac:dyDescent="0.2">
      <c r="C402" s="201" t="s">
        <v>20966</v>
      </c>
      <c r="D402" s="200">
        <v>44421</v>
      </c>
      <c r="E402" s="199" t="s">
        <v>20967</v>
      </c>
      <c r="I402" s="198">
        <v>5.22</v>
      </c>
      <c r="K402" s="198">
        <v>106521.99</v>
      </c>
    </row>
    <row r="403" spans="3:11" x14ac:dyDescent="0.2">
      <c r="C403" s="201" t="s">
        <v>20968</v>
      </c>
      <c r="D403" s="200">
        <v>44421</v>
      </c>
      <c r="E403" s="199" t="s">
        <v>20969</v>
      </c>
      <c r="I403" s="198">
        <v>7</v>
      </c>
      <c r="K403" s="198">
        <v>106528.99</v>
      </c>
    </row>
    <row r="404" spans="3:11" x14ac:dyDescent="0.2">
      <c r="C404" s="201" t="s">
        <v>20970</v>
      </c>
      <c r="D404" s="200">
        <v>44421</v>
      </c>
      <c r="E404" s="199" t="s">
        <v>20971</v>
      </c>
      <c r="I404" s="198">
        <v>5.04</v>
      </c>
      <c r="K404" s="198">
        <v>106534.03</v>
      </c>
    </row>
    <row r="405" spans="3:11" x14ac:dyDescent="0.2">
      <c r="C405" s="201" t="s">
        <v>20972</v>
      </c>
      <c r="D405" s="200">
        <v>44421</v>
      </c>
      <c r="E405" s="199" t="s">
        <v>20973</v>
      </c>
      <c r="I405" s="198">
        <v>45.18</v>
      </c>
      <c r="K405" s="198">
        <v>106579.21</v>
      </c>
    </row>
    <row r="406" spans="3:11" x14ac:dyDescent="0.2">
      <c r="C406" s="201" t="s">
        <v>20974</v>
      </c>
      <c r="D406" s="200">
        <v>44421</v>
      </c>
      <c r="E406" s="199" t="s">
        <v>20975</v>
      </c>
      <c r="I406" s="198">
        <v>9.56</v>
      </c>
      <c r="K406" s="198">
        <v>106588.77</v>
      </c>
    </row>
    <row r="407" spans="3:11" x14ac:dyDescent="0.2">
      <c r="C407" s="201" t="s">
        <v>20976</v>
      </c>
      <c r="D407" s="200">
        <v>44421</v>
      </c>
      <c r="E407" s="199" t="s">
        <v>20977</v>
      </c>
      <c r="I407" s="198">
        <v>0.4</v>
      </c>
      <c r="K407" s="198">
        <v>106589.17</v>
      </c>
    </row>
    <row r="408" spans="3:11" x14ac:dyDescent="0.2">
      <c r="C408" s="201" t="s">
        <v>20978</v>
      </c>
      <c r="D408" s="200">
        <v>44421</v>
      </c>
      <c r="E408" s="199" t="s">
        <v>20979</v>
      </c>
      <c r="I408" s="198">
        <v>5.79</v>
      </c>
      <c r="K408" s="198">
        <v>106594.96</v>
      </c>
    </row>
    <row r="409" spans="3:11" x14ac:dyDescent="0.2">
      <c r="C409" s="201" t="s">
        <v>20980</v>
      </c>
      <c r="D409" s="200">
        <v>44421</v>
      </c>
      <c r="E409" s="199" t="s">
        <v>20981</v>
      </c>
      <c r="I409" s="198">
        <v>7.77</v>
      </c>
      <c r="K409" s="198">
        <v>106602.73</v>
      </c>
    </row>
    <row r="410" spans="3:11" x14ac:dyDescent="0.2">
      <c r="C410" s="201" t="s">
        <v>20982</v>
      </c>
      <c r="D410" s="200">
        <v>44421</v>
      </c>
      <c r="E410" s="199" t="s">
        <v>20983</v>
      </c>
      <c r="I410" s="198">
        <v>1.68</v>
      </c>
      <c r="K410" s="198">
        <v>106604.41</v>
      </c>
    </row>
    <row r="411" spans="3:11" x14ac:dyDescent="0.2">
      <c r="C411" s="201" t="s">
        <v>20984</v>
      </c>
      <c r="D411" s="200">
        <v>44421</v>
      </c>
      <c r="E411" s="199" t="s">
        <v>20985</v>
      </c>
      <c r="I411" s="198">
        <v>1.72</v>
      </c>
      <c r="K411" s="198">
        <v>106606.13</v>
      </c>
    </row>
    <row r="412" spans="3:11" x14ac:dyDescent="0.2">
      <c r="C412" s="201" t="s">
        <v>20986</v>
      </c>
      <c r="D412" s="200">
        <v>44421</v>
      </c>
      <c r="E412" s="199" t="s">
        <v>20987</v>
      </c>
      <c r="I412" s="198">
        <v>5.25</v>
      </c>
      <c r="K412" s="198">
        <v>106611.38</v>
      </c>
    </row>
    <row r="413" spans="3:11" x14ac:dyDescent="0.2">
      <c r="C413" s="201" t="s">
        <v>20988</v>
      </c>
      <c r="D413" s="200">
        <v>44421</v>
      </c>
      <c r="E413" s="199" t="s">
        <v>20989</v>
      </c>
      <c r="I413" s="198">
        <v>3.02</v>
      </c>
      <c r="K413" s="198">
        <v>106614.39999999999</v>
      </c>
    </row>
    <row r="414" spans="3:11" x14ac:dyDescent="0.2">
      <c r="C414" s="201" t="s">
        <v>20990</v>
      </c>
      <c r="D414" s="200">
        <v>44421</v>
      </c>
      <c r="E414" s="199" t="s">
        <v>20991</v>
      </c>
      <c r="I414" s="198">
        <v>3.37</v>
      </c>
      <c r="K414" s="198">
        <v>106617.77</v>
      </c>
    </row>
    <row r="415" spans="3:11" x14ac:dyDescent="0.2">
      <c r="C415" s="201" t="s">
        <v>20992</v>
      </c>
      <c r="D415" s="200">
        <v>44421</v>
      </c>
      <c r="E415" s="199" t="s">
        <v>20993</v>
      </c>
      <c r="I415" s="198">
        <v>2.16</v>
      </c>
      <c r="K415" s="198">
        <v>106619.93</v>
      </c>
    </row>
    <row r="416" spans="3:11" x14ac:dyDescent="0.2">
      <c r="C416" s="201" t="s">
        <v>20994</v>
      </c>
      <c r="D416" s="200">
        <v>44421</v>
      </c>
      <c r="E416" s="199" t="s">
        <v>20995</v>
      </c>
      <c r="I416" s="198">
        <v>5.04</v>
      </c>
      <c r="K416" s="198">
        <v>106624.97</v>
      </c>
    </row>
    <row r="417" spans="3:11" x14ac:dyDescent="0.2">
      <c r="C417" s="201" t="s">
        <v>20996</v>
      </c>
      <c r="D417" s="200">
        <v>44421</v>
      </c>
      <c r="E417" s="199" t="s">
        <v>20997</v>
      </c>
      <c r="I417" s="198">
        <v>1.94</v>
      </c>
      <c r="K417" s="198">
        <v>106626.91</v>
      </c>
    </row>
    <row r="418" spans="3:11" x14ac:dyDescent="0.2">
      <c r="C418" s="201" t="s">
        <v>20998</v>
      </c>
      <c r="D418" s="200">
        <v>44421</v>
      </c>
      <c r="E418" s="199" t="s">
        <v>20999</v>
      </c>
      <c r="I418" s="198">
        <v>4.1900000000000004</v>
      </c>
      <c r="K418" s="198">
        <v>106631.1</v>
      </c>
    </row>
    <row r="419" spans="3:11" x14ac:dyDescent="0.2">
      <c r="C419" s="201" t="s">
        <v>21000</v>
      </c>
      <c r="D419" s="200">
        <v>44421</v>
      </c>
      <c r="E419" s="199" t="s">
        <v>21001</v>
      </c>
      <c r="I419" s="198">
        <v>2.2599999999999998</v>
      </c>
      <c r="K419" s="198">
        <v>106633.36</v>
      </c>
    </row>
    <row r="420" spans="3:11" x14ac:dyDescent="0.2">
      <c r="C420" s="201" t="s">
        <v>21002</v>
      </c>
      <c r="D420" s="200">
        <v>44421</v>
      </c>
      <c r="E420" s="199" t="s">
        <v>21003</v>
      </c>
      <c r="I420" s="198">
        <v>2.27</v>
      </c>
      <c r="K420" s="198">
        <v>106635.63</v>
      </c>
    </row>
    <row r="421" spans="3:11" x14ac:dyDescent="0.2">
      <c r="C421" s="201" t="s">
        <v>21004</v>
      </c>
      <c r="D421" s="200">
        <v>44421</v>
      </c>
      <c r="E421" s="199" t="s">
        <v>21005</v>
      </c>
      <c r="I421" s="198">
        <v>5.47</v>
      </c>
      <c r="K421" s="198">
        <v>106641.1</v>
      </c>
    </row>
    <row r="422" spans="3:11" x14ac:dyDescent="0.2">
      <c r="C422" s="201" t="s">
        <v>21006</v>
      </c>
      <c r="D422" s="200">
        <v>44421</v>
      </c>
      <c r="E422" s="199" t="s">
        <v>21007</v>
      </c>
      <c r="I422" s="198">
        <v>1.79</v>
      </c>
      <c r="K422" s="198">
        <v>106642.89</v>
      </c>
    </row>
    <row r="423" spans="3:11" x14ac:dyDescent="0.2">
      <c r="C423" s="201" t="s">
        <v>21008</v>
      </c>
      <c r="D423" s="200">
        <v>44421</v>
      </c>
      <c r="E423" s="199" t="s">
        <v>21009</v>
      </c>
      <c r="I423" s="198">
        <v>61.2</v>
      </c>
      <c r="K423" s="198">
        <v>106704.09</v>
      </c>
    </row>
    <row r="424" spans="3:11" x14ac:dyDescent="0.2">
      <c r="C424" s="201" t="s">
        <v>21010</v>
      </c>
      <c r="D424" s="200">
        <v>44421</v>
      </c>
      <c r="E424" s="199" t="s">
        <v>21011</v>
      </c>
      <c r="I424" s="198">
        <v>3.87</v>
      </c>
      <c r="K424" s="198">
        <v>106707.96</v>
      </c>
    </row>
    <row r="425" spans="3:11" x14ac:dyDescent="0.2">
      <c r="C425" s="201" t="s">
        <v>21012</v>
      </c>
      <c r="D425" s="200">
        <v>44421</v>
      </c>
      <c r="E425" s="199" t="s">
        <v>21013</v>
      </c>
      <c r="I425" s="198">
        <v>5.03</v>
      </c>
      <c r="K425" s="198">
        <v>106712.99</v>
      </c>
    </row>
    <row r="426" spans="3:11" x14ac:dyDescent="0.2">
      <c r="C426" s="201" t="s">
        <v>21014</v>
      </c>
      <c r="D426" s="200">
        <v>44421</v>
      </c>
      <c r="E426" s="199" t="s">
        <v>21015</v>
      </c>
      <c r="I426" s="198">
        <v>1.68</v>
      </c>
      <c r="K426" s="198">
        <v>106714.67</v>
      </c>
    </row>
    <row r="427" spans="3:11" x14ac:dyDescent="0.2">
      <c r="C427" s="201" t="s">
        <v>21016</v>
      </c>
      <c r="D427" s="200">
        <v>44421</v>
      </c>
      <c r="E427" s="199" t="s">
        <v>21017</v>
      </c>
      <c r="I427" s="198">
        <v>15.3</v>
      </c>
      <c r="K427" s="198">
        <v>106729.97</v>
      </c>
    </row>
    <row r="428" spans="3:11" x14ac:dyDescent="0.2">
      <c r="C428" s="201" t="s">
        <v>21018</v>
      </c>
      <c r="D428" s="200">
        <v>44421</v>
      </c>
      <c r="E428" s="199" t="s">
        <v>21019</v>
      </c>
      <c r="I428" s="198">
        <v>16.96</v>
      </c>
      <c r="K428" s="198">
        <v>106746.93</v>
      </c>
    </row>
    <row r="429" spans="3:11" x14ac:dyDescent="0.2">
      <c r="C429" s="201" t="s">
        <v>21020</v>
      </c>
      <c r="D429" s="200">
        <v>44421</v>
      </c>
      <c r="E429" s="199" t="s">
        <v>21021</v>
      </c>
      <c r="I429" s="198">
        <v>17.899999999999999</v>
      </c>
      <c r="K429" s="198">
        <v>106764.83</v>
      </c>
    </row>
    <row r="430" spans="3:11" x14ac:dyDescent="0.2">
      <c r="C430" s="201" t="s">
        <v>21022</v>
      </c>
      <c r="D430" s="200">
        <v>44421</v>
      </c>
      <c r="E430" s="199" t="s">
        <v>21023</v>
      </c>
      <c r="I430" s="198">
        <v>1.7</v>
      </c>
      <c r="K430" s="198">
        <v>106766.53</v>
      </c>
    </row>
    <row r="431" spans="3:11" x14ac:dyDescent="0.2">
      <c r="C431" s="201" t="s">
        <v>21024</v>
      </c>
      <c r="D431" s="200">
        <v>44421</v>
      </c>
      <c r="E431" s="199" t="s">
        <v>21025</v>
      </c>
      <c r="I431" s="198">
        <v>3.34</v>
      </c>
      <c r="K431" s="198">
        <v>106769.87</v>
      </c>
    </row>
    <row r="432" spans="3:11" x14ac:dyDescent="0.2">
      <c r="C432" s="201" t="s">
        <v>21026</v>
      </c>
      <c r="D432" s="200">
        <v>44421</v>
      </c>
      <c r="E432" s="199" t="s">
        <v>21027</v>
      </c>
      <c r="I432" s="198">
        <v>12.3</v>
      </c>
      <c r="K432" s="198">
        <v>106782.17</v>
      </c>
    </row>
    <row r="433" spans="3:11" x14ac:dyDescent="0.2">
      <c r="C433" s="201" t="s">
        <v>7049</v>
      </c>
      <c r="D433" s="200">
        <v>44421</v>
      </c>
      <c r="E433" s="199" t="s">
        <v>21028</v>
      </c>
      <c r="J433" s="222">
        <v>2860</v>
      </c>
      <c r="K433" s="198">
        <v>103922.17</v>
      </c>
    </row>
    <row r="434" spans="3:11" x14ac:dyDescent="0.2">
      <c r="C434" s="201" t="s">
        <v>6749</v>
      </c>
      <c r="D434" s="200">
        <v>44421</v>
      </c>
      <c r="E434" s="199" t="s">
        <v>21029</v>
      </c>
      <c r="J434" s="222">
        <v>525.45000000000005</v>
      </c>
      <c r="K434" s="198">
        <v>103396.72</v>
      </c>
    </row>
    <row r="435" spans="3:11" x14ac:dyDescent="0.2">
      <c r="C435" s="201" t="s">
        <v>1544</v>
      </c>
      <c r="D435" s="200">
        <v>44421</v>
      </c>
      <c r="E435" s="199" t="s">
        <v>21030</v>
      </c>
      <c r="J435" s="222">
        <v>1800</v>
      </c>
      <c r="K435" s="198">
        <v>101596.72</v>
      </c>
    </row>
    <row r="436" spans="3:11" x14ac:dyDescent="0.2">
      <c r="C436" s="201" t="s">
        <v>1534</v>
      </c>
      <c r="D436" s="200">
        <v>44421</v>
      </c>
      <c r="E436" s="199" t="s">
        <v>21031</v>
      </c>
      <c r="J436" s="222">
        <v>1174.8800000000001</v>
      </c>
      <c r="K436" s="198">
        <v>100421.84</v>
      </c>
    </row>
    <row r="437" spans="3:11" x14ac:dyDescent="0.2">
      <c r="C437" s="201" t="s">
        <v>8362</v>
      </c>
      <c r="D437" s="200">
        <v>44421</v>
      </c>
      <c r="E437" s="199" t="s">
        <v>21032</v>
      </c>
      <c r="J437" s="222">
        <v>665.76</v>
      </c>
      <c r="K437" s="198">
        <v>99756.08</v>
      </c>
    </row>
    <row r="438" spans="3:11" x14ac:dyDescent="0.2">
      <c r="C438" s="201" t="s">
        <v>21033</v>
      </c>
      <c r="D438" s="200">
        <v>44422</v>
      </c>
      <c r="E438" s="199" t="s">
        <v>21034</v>
      </c>
      <c r="I438" s="198">
        <v>5.04</v>
      </c>
      <c r="K438" s="198">
        <v>99761.12</v>
      </c>
    </row>
    <row r="439" spans="3:11" x14ac:dyDescent="0.2">
      <c r="C439" s="201" t="s">
        <v>21035</v>
      </c>
      <c r="D439" s="200">
        <v>44422</v>
      </c>
      <c r="E439" s="199" t="s">
        <v>21036</v>
      </c>
      <c r="I439" s="198">
        <v>2.12</v>
      </c>
      <c r="K439" s="198">
        <v>99763.24</v>
      </c>
    </row>
    <row r="440" spans="3:11" x14ac:dyDescent="0.2">
      <c r="C440" s="201" t="s">
        <v>21037</v>
      </c>
      <c r="D440" s="200">
        <v>44422</v>
      </c>
      <c r="E440" s="199" t="s">
        <v>21038</v>
      </c>
      <c r="I440" s="198">
        <v>0.39</v>
      </c>
      <c r="K440" s="198">
        <v>99763.63</v>
      </c>
    </row>
    <row r="441" spans="3:11" x14ac:dyDescent="0.2">
      <c r="C441" s="201" t="s">
        <v>21039</v>
      </c>
      <c r="D441" s="200">
        <v>44422</v>
      </c>
      <c r="E441" s="199" t="s">
        <v>21040</v>
      </c>
      <c r="I441" s="198">
        <v>5.97</v>
      </c>
      <c r="K441" s="198">
        <v>99769.600000000006</v>
      </c>
    </row>
    <row r="442" spans="3:11" x14ac:dyDescent="0.2">
      <c r="C442" s="201" t="s">
        <v>21041</v>
      </c>
      <c r="D442" s="200">
        <v>44422</v>
      </c>
      <c r="E442" s="199" t="s">
        <v>21042</v>
      </c>
      <c r="I442" s="198">
        <v>7.22</v>
      </c>
      <c r="K442" s="198">
        <v>99776.82</v>
      </c>
    </row>
    <row r="443" spans="3:11" x14ac:dyDescent="0.2">
      <c r="C443" s="201" t="s">
        <v>21043</v>
      </c>
      <c r="D443" s="200">
        <v>44422</v>
      </c>
      <c r="E443" s="199" t="s">
        <v>21044</v>
      </c>
      <c r="I443" s="198">
        <v>1.68</v>
      </c>
      <c r="K443" s="198">
        <v>99778.5</v>
      </c>
    </row>
    <row r="444" spans="3:11" x14ac:dyDescent="0.2">
      <c r="C444" s="201" t="s">
        <v>21045</v>
      </c>
      <c r="D444" s="200">
        <v>44422</v>
      </c>
      <c r="E444" s="199" t="s">
        <v>21046</v>
      </c>
      <c r="I444" s="198">
        <v>3.36</v>
      </c>
      <c r="K444" s="198">
        <v>99781.86</v>
      </c>
    </row>
    <row r="445" spans="3:11" x14ac:dyDescent="0.2">
      <c r="C445" s="201" t="s">
        <v>21047</v>
      </c>
      <c r="D445" s="200">
        <v>44422</v>
      </c>
      <c r="E445" s="199" t="s">
        <v>21048</v>
      </c>
      <c r="I445" s="198">
        <v>4.08</v>
      </c>
      <c r="K445" s="198">
        <v>99785.94</v>
      </c>
    </row>
    <row r="446" spans="3:11" x14ac:dyDescent="0.2">
      <c r="C446" s="201" t="s">
        <v>21049</v>
      </c>
      <c r="D446" s="200">
        <v>44422</v>
      </c>
      <c r="E446" s="199" t="s">
        <v>21050</v>
      </c>
      <c r="I446" s="198">
        <v>1.97</v>
      </c>
      <c r="K446" s="198">
        <v>99787.91</v>
      </c>
    </row>
    <row r="447" spans="3:11" x14ac:dyDescent="0.2">
      <c r="C447" s="201" t="s">
        <v>21051</v>
      </c>
      <c r="D447" s="200">
        <v>44422</v>
      </c>
      <c r="E447" s="199" t="s">
        <v>21052</v>
      </c>
      <c r="I447" s="198">
        <v>10.77</v>
      </c>
      <c r="K447" s="198">
        <v>99798.68</v>
      </c>
    </row>
    <row r="448" spans="3:11" x14ac:dyDescent="0.2">
      <c r="C448" s="201" t="s">
        <v>21053</v>
      </c>
      <c r="D448" s="200">
        <v>44422</v>
      </c>
      <c r="E448" s="199" t="s">
        <v>21054</v>
      </c>
      <c r="I448" s="198">
        <v>9.09</v>
      </c>
      <c r="K448" s="198">
        <v>99807.77</v>
      </c>
    </row>
    <row r="449" spans="3:11" x14ac:dyDescent="0.2">
      <c r="C449" s="201" t="s">
        <v>21055</v>
      </c>
      <c r="D449" s="200">
        <v>44423</v>
      </c>
      <c r="E449" s="199" t="s">
        <v>21056</v>
      </c>
      <c r="I449" s="198">
        <v>2.04</v>
      </c>
      <c r="K449" s="198">
        <v>99809.81</v>
      </c>
    </row>
    <row r="450" spans="3:11" x14ac:dyDescent="0.2">
      <c r="C450" s="201" t="s">
        <v>21057</v>
      </c>
      <c r="D450" s="200">
        <v>44423</v>
      </c>
      <c r="E450" s="199" t="s">
        <v>21058</v>
      </c>
      <c r="I450" s="198">
        <v>5.1100000000000003</v>
      </c>
      <c r="K450" s="198">
        <v>99814.92</v>
      </c>
    </row>
    <row r="451" spans="3:11" x14ac:dyDescent="0.2">
      <c r="C451" s="201" t="s">
        <v>21059</v>
      </c>
      <c r="D451" s="200">
        <v>44423</v>
      </c>
      <c r="E451" s="199" t="s">
        <v>21060</v>
      </c>
      <c r="I451" s="198">
        <v>5.45</v>
      </c>
      <c r="K451" s="198">
        <v>99820.37</v>
      </c>
    </row>
    <row r="452" spans="3:11" x14ac:dyDescent="0.2">
      <c r="C452" s="201" t="s">
        <v>21061</v>
      </c>
      <c r="D452" s="200">
        <v>44423</v>
      </c>
      <c r="E452" s="199" t="s">
        <v>21062</v>
      </c>
      <c r="I452" s="198">
        <v>2.35</v>
      </c>
      <c r="K452" s="198">
        <v>99822.720000000001</v>
      </c>
    </row>
    <row r="453" spans="3:11" x14ac:dyDescent="0.2">
      <c r="C453" s="201" t="s">
        <v>21063</v>
      </c>
      <c r="D453" s="200">
        <v>44424</v>
      </c>
      <c r="E453" s="199" t="s">
        <v>21064</v>
      </c>
      <c r="I453" s="198">
        <v>8.4600000000000009</v>
      </c>
      <c r="K453" s="198">
        <v>99831.18</v>
      </c>
    </row>
    <row r="454" spans="3:11" x14ac:dyDescent="0.2">
      <c r="C454" s="201" t="s">
        <v>21065</v>
      </c>
      <c r="D454" s="200">
        <v>44424</v>
      </c>
      <c r="E454" s="199" t="s">
        <v>21066</v>
      </c>
      <c r="I454" s="198">
        <v>4.3600000000000003</v>
      </c>
      <c r="K454" s="198">
        <v>99835.54</v>
      </c>
    </row>
    <row r="455" spans="3:11" x14ac:dyDescent="0.2">
      <c r="C455" s="201" t="s">
        <v>21067</v>
      </c>
      <c r="D455" s="200">
        <v>44424</v>
      </c>
      <c r="E455" s="199" t="s">
        <v>19161</v>
      </c>
      <c r="I455" s="198">
        <v>8.1199999999999992</v>
      </c>
      <c r="K455" s="198">
        <v>99843.66</v>
      </c>
    </row>
    <row r="456" spans="3:11" x14ac:dyDescent="0.2">
      <c r="C456" s="201" t="s">
        <v>21068</v>
      </c>
      <c r="D456" s="200">
        <v>44424</v>
      </c>
      <c r="E456" s="199" t="s">
        <v>21069</v>
      </c>
      <c r="I456" s="198">
        <v>4.1900000000000004</v>
      </c>
      <c r="K456" s="198">
        <v>99847.85</v>
      </c>
    </row>
    <row r="457" spans="3:11" x14ac:dyDescent="0.2">
      <c r="C457" s="201" t="s">
        <v>21070</v>
      </c>
      <c r="D457" s="200">
        <v>44424</v>
      </c>
      <c r="E457" s="199" t="s">
        <v>21071</v>
      </c>
      <c r="I457" s="198">
        <v>72.239999999999995</v>
      </c>
      <c r="K457" s="198">
        <v>99920.09</v>
      </c>
    </row>
    <row r="458" spans="3:11" x14ac:dyDescent="0.2">
      <c r="C458" s="201" t="s">
        <v>21072</v>
      </c>
      <c r="D458" s="200">
        <v>44424</v>
      </c>
      <c r="E458" s="199" t="s">
        <v>21073</v>
      </c>
      <c r="I458" s="198">
        <v>7.82</v>
      </c>
      <c r="K458" s="198">
        <v>99927.91</v>
      </c>
    </row>
    <row r="459" spans="3:11" x14ac:dyDescent="0.2">
      <c r="C459" s="201" t="s">
        <v>21074</v>
      </c>
      <c r="D459" s="200">
        <v>44424</v>
      </c>
      <c r="E459" s="199" t="s">
        <v>21075</v>
      </c>
      <c r="I459" s="198">
        <v>3.9</v>
      </c>
      <c r="K459" s="198">
        <v>99931.81</v>
      </c>
    </row>
    <row r="460" spans="3:11" x14ac:dyDescent="0.2">
      <c r="C460" s="201" t="s">
        <v>21076</v>
      </c>
      <c r="D460" s="200">
        <v>44424</v>
      </c>
      <c r="E460" s="199" t="s">
        <v>21077</v>
      </c>
      <c r="I460" s="198">
        <v>1.68</v>
      </c>
      <c r="K460" s="198">
        <v>99933.49</v>
      </c>
    </row>
    <row r="461" spans="3:11" x14ac:dyDescent="0.2">
      <c r="C461" s="201" t="s">
        <v>21078</v>
      </c>
      <c r="D461" s="200">
        <v>44424</v>
      </c>
      <c r="E461" s="199" t="s">
        <v>21079</v>
      </c>
      <c r="I461" s="198">
        <v>8.2899999999999991</v>
      </c>
      <c r="K461" s="198">
        <v>99941.78</v>
      </c>
    </row>
    <row r="462" spans="3:11" x14ac:dyDescent="0.2">
      <c r="C462" s="201" t="s">
        <v>21080</v>
      </c>
      <c r="D462" s="200">
        <v>44424</v>
      </c>
      <c r="E462" s="199" t="s">
        <v>21081</v>
      </c>
      <c r="I462" s="198">
        <v>8.49</v>
      </c>
      <c r="K462" s="198">
        <v>99950.27</v>
      </c>
    </row>
    <row r="463" spans="3:11" x14ac:dyDescent="0.2">
      <c r="C463" s="201" t="s">
        <v>21082</v>
      </c>
      <c r="D463" s="200">
        <v>44424</v>
      </c>
      <c r="E463" s="199" t="s">
        <v>21083</v>
      </c>
      <c r="I463" s="198">
        <v>11.84</v>
      </c>
      <c r="K463" s="198">
        <v>99962.11</v>
      </c>
    </row>
    <row r="464" spans="3:11" x14ac:dyDescent="0.2">
      <c r="C464" s="201" t="s">
        <v>21084</v>
      </c>
      <c r="D464" s="200">
        <v>44424</v>
      </c>
      <c r="E464" s="199" t="s">
        <v>21085</v>
      </c>
      <c r="I464" s="198">
        <v>5.35</v>
      </c>
      <c r="K464" s="198">
        <v>99967.46</v>
      </c>
    </row>
    <row r="465" spans="3:11" x14ac:dyDescent="0.2">
      <c r="C465" s="201" t="s">
        <v>21086</v>
      </c>
      <c r="D465" s="200">
        <v>44424</v>
      </c>
      <c r="E465" s="199" t="s">
        <v>21087</v>
      </c>
      <c r="I465" s="198">
        <v>5.21</v>
      </c>
      <c r="K465" s="198">
        <v>99972.67</v>
      </c>
    </row>
    <row r="466" spans="3:11" x14ac:dyDescent="0.2">
      <c r="C466" s="201" t="s">
        <v>21088</v>
      </c>
      <c r="D466" s="200">
        <v>44424</v>
      </c>
      <c r="E466" s="199" t="s">
        <v>21089</v>
      </c>
      <c r="I466" s="198">
        <v>1.05</v>
      </c>
      <c r="K466" s="198">
        <v>99973.72</v>
      </c>
    </row>
    <row r="467" spans="3:11" x14ac:dyDescent="0.2">
      <c r="C467" s="201" t="s">
        <v>21090</v>
      </c>
      <c r="D467" s="200">
        <v>44424</v>
      </c>
      <c r="E467" s="199" t="s">
        <v>21091</v>
      </c>
      <c r="I467" s="198">
        <v>1.99</v>
      </c>
      <c r="K467" s="198">
        <v>99975.71</v>
      </c>
    </row>
    <row r="468" spans="3:11" x14ac:dyDescent="0.2">
      <c r="C468" s="201" t="s">
        <v>21092</v>
      </c>
      <c r="D468" s="200">
        <v>44424</v>
      </c>
      <c r="E468" s="199" t="s">
        <v>21093</v>
      </c>
      <c r="I468" s="198">
        <v>12.3</v>
      </c>
      <c r="K468" s="198">
        <v>99988.01</v>
      </c>
    </row>
    <row r="469" spans="3:11" x14ac:dyDescent="0.2">
      <c r="C469" s="201" t="s">
        <v>21094</v>
      </c>
      <c r="D469" s="200">
        <v>44424</v>
      </c>
      <c r="E469" s="199" t="s">
        <v>21095</v>
      </c>
      <c r="I469" s="198">
        <v>4.08</v>
      </c>
      <c r="K469" s="198">
        <v>99992.09</v>
      </c>
    </row>
    <row r="470" spans="3:11" x14ac:dyDescent="0.2">
      <c r="C470" s="201" t="s">
        <v>21096</v>
      </c>
      <c r="D470" s="200">
        <v>44424</v>
      </c>
      <c r="E470" s="199" t="s">
        <v>21097</v>
      </c>
      <c r="I470" s="198">
        <v>6.89</v>
      </c>
      <c r="K470" s="198">
        <v>99998.98</v>
      </c>
    </row>
    <row r="471" spans="3:11" x14ac:dyDescent="0.2">
      <c r="C471" s="201" t="s">
        <v>21098</v>
      </c>
      <c r="D471" s="200">
        <v>44424</v>
      </c>
      <c r="E471" s="199" t="s">
        <v>21099</v>
      </c>
      <c r="I471" s="198">
        <v>0.09</v>
      </c>
      <c r="K471" s="198">
        <v>99999.07</v>
      </c>
    </row>
    <row r="472" spans="3:11" x14ac:dyDescent="0.2">
      <c r="C472" s="201" t="s">
        <v>21100</v>
      </c>
      <c r="D472" s="200">
        <v>44424</v>
      </c>
      <c r="E472" s="199" t="s">
        <v>21101</v>
      </c>
      <c r="I472" s="198">
        <v>5.92</v>
      </c>
      <c r="K472" s="198">
        <v>100004.99</v>
      </c>
    </row>
    <row r="473" spans="3:11" x14ac:dyDescent="0.2">
      <c r="C473" s="201" t="s">
        <v>21102</v>
      </c>
      <c r="D473" s="200">
        <v>44424</v>
      </c>
      <c r="E473" s="199" t="s">
        <v>21103</v>
      </c>
      <c r="I473" s="198">
        <v>1.77</v>
      </c>
      <c r="K473" s="198">
        <v>100006.76</v>
      </c>
    </row>
    <row r="474" spans="3:11" x14ac:dyDescent="0.2">
      <c r="C474" s="201" t="s">
        <v>21104</v>
      </c>
      <c r="D474" s="200">
        <v>44424</v>
      </c>
      <c r="E474" s="199" t="s">
        <v>21105</v>
      </c>
      <c r="I474" s="198">
        <v>10.86</v>
      </c>
      <c r="K474" s="198">
        <v>100017.62</v>
      </c>
    </row>
    <row r="475" spans="3:11" x14ac:dyDescent="0.2">
      <c r="C475" s="201" t="s">
        <v>21106</v>
      </c>
      <c r="D475" s="200">
        <v>44424</v>
      </c>
      <c r="E475" s="199" t="s">
        <v>21107</v>
      </c>
      <c r="I475" s="198">
        <v>5.13</v>
      </c>
      <c r="K475" s="198">
        <v>100022.75</v>
      </c>
    </row>
    <row r="476" spans="3:11" x14ac:dyDescent="0.2">
      <c r="C476" s="201" t="s">
        <v>21108</v>
      </c>
      <c r="D476" s="200">
        <v>44424</v>
      </c>
      <c r="E476" s="199" t="s">
        <v>21109</v>
      </c>
      <c r="I476" s="198">
        <v>10.199999999999999</v>
      </c>
      <c r="K476" s="198">
        <v>100032.95</v>
      </c>
    </row>
    <row r="477" spans="3:11" x14ac:dyDescent="0.2">
      <c r="C477" s="201" t="s">
        <v>21110</v>
      </c>
      <c r="D477" s="200">
        <v>44424</v>
      </c>
      <c r="E477" s="199" t="s">
        <v>21111</v>
      </c>
      <c r="I477" s="198">
        <v>16.489999999999998</v>
      </c>
      <c r="K477" s="198">
        <v>100049.44</v>
      </c>
    </row>
    <row r="478" spans="3:11" x14ac:dyDescent="0.2">
      <c r="C478" s="201" t="s">
        <v>21112</v>
      </c>
      <c r="D478" s="200">
        <v>44424</v>
      </c>
      <c r="E478" s="199" t="s">
        <v>21113</v>
      </c>
      <c r="I478" s="198">
        <v>5.82</v>
      </c>
      <c r="K478" s="198">
        <v>100055.26</v>
      </c>
    </row>
    <row r="479" spans="3:11" x14ac:dyDescent="0.2">
      <c r="C479" s="201" t="s">
        <v>21114</v>
      </c>
      <c r="D479" s="200">
        <v>44424</v>
      </c>
      <c r="E479" s="199" t="s">
        <v>21115</v>
      </c>
      <c r="I479" s="198">
        <v>18.760000000000002</v>
      </c>
      <c r="K479" s="198">
        <v>100074.02</v>
      </c>
    </row>
    <row r="480" spans="3:11" x14ac:dyDescent="0.2">
      <c r="C480" s="201" t="s">
        <v>21116</v>
      </c>
      <c r="D480" s="200">
        <v>44424</v>
      </c>
      <c r="E480" s="199" t="s">
        <v>21117</v>
      </c>
      <c r="I480" s="198">
        <v>3.88</v>
      </c>
      <c r="K480" s="198">
        <v>100077.9</v>
      </c>
    </row>
    <row r="481" spans="3:11" x14ac:dyDescent="0.2">
      <c r="C481" s="201" t="s">
        <v>21118</v>
      </c>
      <c r="D481" s="200">
        <v>44424</v>
      </c>
      <c r="E481" s="199" t="s">
        <v>21119</v>
      </c>
      <c r="I481" s="198">
        <v>7.25</v>
      </c>
      <c r="K481" s="198">
        <v>100085.15</v>
      </c>
    </row>
    <row r="482" spans="3:11" x14ac:dyDescent="0.2">
      <c r="C482" s="201" t="s">
        <v>21120</v>
      </c>
      <c r="D482" s="200">
        <v>44425</v>
      </c>
      <c r="E482" s="199" t="s">
        <v>21121</v>
      </c>
      <c r="I482" s="198">
        <v>7.64</v>
      </c>
      <c r="K482" s="198">
        <v>100092.79</v>
      </c>
    </row>
    <row r="483" spans="3:11" x14ac:dyDescent="0.2">
      <c r="C483" s="201" t="s">
        <v>21122</v>
      </c>
      <c r="D483" s="200">
        <v>44425</v>
      </c>
      <c r="E483" s="199" t="s">
        <v>21123</v>
      </c>
      <c r="I483" s="198">
        <v>8.3800000000000008</v>
      </c>
      <c r="K483" s="198">
        <v>100101.17</v>
      </c>
    </row>
    <row r="484" spans="3:11" x14ac:dyDescent="0.2">
      <c r="C484" s="201" t="s">
        <v>21124</v>
      </c>
      <c r="D484" s="200">
        <v>44425</v>
      </c>
      <c r="E484" s="199" t="s">
        <v>21125</v>
      </c>
      <c r="I484" s="198">
        <v>3.92</v>
      </c>
      <c r="K484" s="198">
        <v>100105.09</v>
      </c>
    </row>
    <row r="485" spans="3:11" x14ac:dyDescent="0.2">
      <c r="C485" s="201" t="s">
        <v>21126</v>
      </c>
      <c r="D485" s="200">
        <v>44425</v>
      </c>
      <c r="E485" s="199" t="s">
        <v>21127</v>
      </c>
      <c r="I485" s="198">
        <v>0.48</v>
      </c>
      <c r="K485" s="198">
        <v>100105.57</v>
      </c>
    </row>
    <row r="486" spans="3:11" x14ac:dyDescent="0.2">
      <c r="C486" s="201" t="s">
        <v>21128</v>
      </c>
      <c r="D486" s="200">
        <v>44425</v>
      </c>
      <c r="E486" s="199" t="s">
        <v>21129</v>
      </c>
      <c r="I486" s="198">
        <v>1.02</v>
      </c>
      <c r="K486" s="198">
        <v>100106.59</v>
      </c>
    </row>
    <row r="487" spans="3:11" x14ac:dyDescent="0.2">
      <c r="C487" s="201" t="s">
        <v>21130</v>
      </c>
      <c r="D487" s="200">
        <v>44425</v>
      </c>
      <c r="E487" s="199" t="s">
        <v>21131</v>
      </c>
      <c r="I487" s="198">
        <v>1.8</v>
      </c>
      <c r="K487" s="198">
        <v>100108.39</v>
      </c>
    </row>
    <row r="488" spans="3:11" x14ac:dyDescent="0.2">
      <c r="C488" s="201" t="s">
        <v>21132</v>
      </c>
      <c r="D488" s="200">
        <v>44425</v>
      </c>
      <c r="E488" s="199" t="s">
        <v>21133</v>
      </c>
      <c r="I488" s="198">
        <v>2.77</v>
      </c>
      <c r="K488" s="198">
        <v>100111.16</v>
      </c>
    </row>
    <row r="489" spans="3:11" x14ac:dyDescent="0.2">
      <c r="C489" s="201" t="s">
        <v>21134</v>
      </c>
      <c r="D489" s="200">
        <v>44425</v>
      </c>
      <c r="E489" s="199" t="s">
        <v>21135</v>
      </c>
      <c r="I489" s="198">
        <v>5.2</v>
      </c>
      <c r="K489" s="198">
        <v>100116.36</v>
      </c>
    </row>
    <row r="490" spans="3:11" x14ac:dyDescent="0.2">
      <c r="C490" s="201" t="s">
        <v>21136</v>
      </c>
      <c r="D490" s="200">
        <v>44425</v>
      </c>
      <c r="E490" s="199" t="s">
        <v>21137</v>
      </c>
      <c r="I490" s="198">
        <v>3.4</v>
      </c>
      <c r="K490" s="198">
        <v>100119.76</v>
      </c>
    </row>
    <row r="491" spans="3:11" x14ac:dyDescent="0.2">
      <c r="C491" s="201" t="s">
        <v>21138</v>
      </c>
      <c r="D491" s="200">
        <v>44425</v>
      </c>
      <c r="E491" s="199" t="s">
        <v>21139</v>
      </c>
      <c r="I491" s="198">
        <v>0.06</v>
      </c>
      <c r="K491" s="198">
        <v>100119.82</v>
      </c>
    </row>
    <row r="492" spans="3:11" x14ac:dyDescent="0.2">
      <c r="C492" s="201" t="s">
        <v>21140</v>
      </c>
      <c r="D492" s="200">
        <v>44425</v>
      </c>
      <c r="E492" s="199" t="s">
        <v>21141</v>
      </c>
      <c r="I492" s="198">
        <v>3.73</v>
      </c>
      <c r="K492" s="198">
        <v>100123.55</v>
      </c>
    </row>
    <row r="493" spans="3:11" x14ac:dyDescent="0.2">
      <c r="C493" s="201" t="s">
        <v>21142</v>
      </c>
      <c r="D493" s="200">
        <v>44425</v>
      </c>
      <c r="E493" s="199" t="s">
        <v>21143</v>
      </c>
      <c r="I493" s="198">
        <v>8.94</v>
      </c>
      <c r="K493" s="198">
        <v>100132.49</v>
      </c>
    </row>
    <row r="494" spans="3:11" x14ac:dyDescent="0.2">
      <c r="C494" s="201" t="s">
        <v>21144</v>
      </c>
      <c r="D494" s="200">
        <v>44425</v>
      </c>
      <c r="E494" s="199" t="s">
        <v>21145</v>
      </c>
      <c r="I494" s="198">
        <v>6.51</v>
      </c>
      <c r="K494" s="198">
        <v>100139</v>
      </c>
    </row>
    <row r="495" spans="3:11" x14ac:dyDescent="0.2">
      <c r="C495" s="201" t="s">
        <v>21146</v>
      </c>
      <c r="D495" s="200">
        <v>44425</v>
      </c>
      <c r="E495" s="199" t="s">
        <v>21147</v>
      </c>
      <c r="I495" s="198">
        <v>0.25</v>
      </c>
      <c r="K495" s="198">
        <v>100139.25</v>
      </c>
    </row>
    <row r="496" spans="3:11" x14ac:dyDescent="0.2">
      <c r="C496" s="201" t="s">
        <v>21148</v>
      </c>
      <c r="D496" s="200">
        <v>44425</v>
      </c>
      <c r="E496" s="199" t="s">
        <v>21149</v>
      </c>
      <c r="I496" s="198">
        <v>4.78</v>
      </c>
      <c r="K496" s="198">
        <v>100144.03</v>
      </c>
    </row>
    <row r="497" spans="3:11" x14ac:dyDescent="0.2">
      <c r="C497" s="201" t="s">
        <v>21150</v>
      </c>
      <c r="D497" s="200">
        <v>44425</v>
      </c>
      <c r="E497" s="199" t="s">
        <v>21151</v>
      </c>
      <c r="I497" s="198">
        <v>11.42</v>
      </c>
      <c r="K497" s="198">
        <v>100155.45</v>
      </c>
    </row>
    <row r="498" spans="3:11" x14ac:dyDescent="0.2">
      <c r="C498" s="201" t="s">
        <v>21152</v>
      </c>
      <c r="D498" s="200">
        <v>44425</v>
      </c>
      <c r="E498" s="199" t="s">
        <v>21153</v>
      </c>
      <c r="I498" s="198">
        <v>0.84</v>
      </c>
      <c r="K498" s="198">
        <v>100156.29</v>
      </c>
    </row>
    <row r="499" spans="3:11" x14ac:dyDescent="0.2">
      <c r="C499" s="201" t="s">
        <v>21154</v>
      </c>
      <c r="D499" s="200">
        <v>44425</v>
      </c>
      <c r="E499" s="199" t="s">
        <v>21155</v>
      </c>
      <c r="I499" s="198">
        <v>2</v>
      </c>
      <c r="K499" s="198">
        <v>100158.29</v>
      </c>
    </row>
    <row r="500" spans="3:11" x14ac:dyDescent="0.2">
      <c r="C500" s="201" t="s">
        <v>21156</v>
      </c>
      <c r="D500" s="200">
        <v>44426</v>
      </c>
      <c r="E500" s="199" t="s">
        <v>21157</v>
      </c>
      <c r="I500" s="198">
        <v>4.1399999999999997</v>
      </c>
      <c r="K500" s="198">
        <v>100162.43</v>
      </c>
    </row>
    <row r="501" spans="3:11" x14ac:dyDescent="0.2">
      <c r="C501" s="201" t="s">
        <v>21158</v>
      </c>
      <c r="D501" s="200">
        <v>44426</v>
      </c>
      <c r="E501" s="199" t="s">
        <v>21159</v>
      </c>
      <c r="I501" s="198">
        <v>5.1100000000000003</v>
      </c>
      <c r="K501" s="198">
        <v>100167.54</v>
      </c>
    </row>
    <row r="502" spans="3:11" x14ac:dyDescent="0.2">
      <c r="C502" s="201" t="s">
        <v>21160</v>
      </c>
      <c r="D502" s="200">
        <v>44426</v>
      </c>
      <c r="E502" s="199" t="s">
        <v>21161</v>
      </c>
      <c r="I502" s="198">
        <v>2.59</v>
      </c>
      <c r="K502" s="198">
        <v>100170.13</v>
      </c>
    </row>
    <row r="503" spans="3:11" x14ac:dyDescent="0.2">
      <c r="C503" s="201" t="s">
        <v>21162</v>
      </c>
      <c r="D503" s="200">
        <v>44426</v>
      </c>
      <c r="E503" s="199" t="s">
        <v>21163</v>
      </c>
      <c r="I503" s="198">
        <v>2.09</v>
      </c>
      <c r="K503" s="198">
        <v>100172.22</v>
      </c>
    </row>
    <row r="504" spans="3:11" x14ac:dyDescent="0.2">
      <c r="C504" s="201" t="s">
        <v>21164</v>
      </c>
      <c r="D504" s="200">
        <v>44426</v>
      </c>
      <c r="E504" s="199" t="s">
        <v>21165</v>
      </c>
      <c r="I504" s="198">
        <v>5.05</v>
      </c>
      <c r="K504" s="198">
        <v>100177.27</v>
      </c>
    </row>
    <row r="505" spans="3:11" x14ac:dyDescent="0.2">
      <c r="C505" s="201" t="s">
        <v>21166</v>
      </c>
      <c r="D505" s="200">
        <v>44426</v>
      </c>
      <c r="E505" s="199" t="s">
        <v>21167</v>
      </c>
      <c r="I505" s="198">
        <v>5.96</v>
      </c>
      <c r="K505" s="198">
        <v>100183.23</v>
      </c>
    </row>
    <row r="506" spans="3:11" x14ac:dyDescent="0.2">
      <c r="C506" s="201" t="s">
        <v>21168</v>
      </c>
      <c r="D506" s="200">
        <v>44426</v>
      </c>
      <c r="E506" s="199" t="s">
        <v>21169</v>
      </c>
      <c r="I506" s="198">
        <v>5.04</v>
      </c>
      <c r="K506" s="198">
        <v>100188.27</v>
      </c>
    </row>
    <row r="507" spans="3:11" x14ac:dyDescent="0.2">
      <c r="C507" s="201" t="s">
        <v>21170</v>
      </c>
      <c r="D507" s="200">
        <v>44426</v>
      </c>
      <c r="E507" s="199" t="s">
        <v>21171</v>
      </c>
      <c r="I507" s="198">
        <v>3.27</v>
      </c>
      <c r="K507" s="198">
        <v>100191.54</v>
      </c>
    </row>
    <row r="508" spans="3:11" x14ac:dyDescent="0.2">
      <c r="C508" s="201" t="s">
        <v>21172</v>
      </c>
      <c r="D508" s="200">
        <v>44426</v>
      </c>
      <c r="E508" s="199" t="s">
        <v>21173</v>
      </c>
      <c r="I508" s="198">
        <v>2.68</v>
      </c>
      <c r="K508" s="198">
        <v>100194.22</v>
      </c>
    </row>
    <row r="509" spans="3:11" x14ac:dyDescent="0.2">
      <c r="C509" s="201" t="s">
        <v>21174</v>
      </c>
      <c r="D509" s="200">
        <v>44426</v>
      </c>
      <c r="E509" s="199" t="s">
        <v>21175</v>
      </c>
      <c r="I509" s="198">
        <v>3.43</v>
      </c>
      <c r="K509" s="198">
        <v>100197.65</v>
      </c>
    </row>
    <row r="510" spans="3:11" x14ac:dyDescent="0.2">
      <c r="C510" s="201" t="s">
        <v>21176</v>
      </c>
      <c r="D510" s="200">
        <v>44426</v>
      </c>
      <c r="E510" s="199" t="s">
        <v>21177</v>
      </c>
      <c r="I510" s="198">
        <v>1.79</v>
      </c>
      <c r="K510" s="198">
        <v>100199.44</v>
      </c>
    </row>
    <row r="511" spans="3:11" x14ac:dyDescent="0.2">
      <c r="C511" s="201" t="s">
        <v>21178</v>
      </c>
      <c r="D511" s="200">
        <v>44426</v>
      </c>
      <c r="E511" s="199" t="s">
        <v>21179</v>
      </c>
      <c r="I511" s="198">
        <v>1.7</v>
      </c>
      <c r="K511" s="198">
        <v>100201.14</v>
      </c>
    </row>
    <row r="512" spans="3:11" x14ac:dyDescent="0.2">
      <c r="C512" s="201" t="s">
        <v>21180</v>
      </c>
      <c r="D512" s="200">
        <v>44426</v>
      </c>
      <c r="E512" s="199" t="s">
        <v>21181</v>
      </c>
      <c r="I512" s="198">
        <v>5.44</v>
      </c>
      <c r="K512" s="198">
        <v>100206.58</v>
      </c>
    </row>
    <row r="513" spans="3:11" x14ac:dyDescent="0.2">
      <c r="C513" s="201" t="s">
        <v>21182</v>
      </c>
      <c r="D513" s="200">
        <v>44426</v>
      </c>
      <c r="E513" s="199" t="s">
        <v>21183</v>
      </c>
      <c r="I513" s="198">
        <v>6.6</v>
      </c>
      <c r="K513" s="198">
        <v>100213.18</v>
      </c>
    </row>
    <row r="514" spans="3:11" x14ac:dyDescent="0.2">
      <c r="C514" s="201" t="s">
        <v>21184</v>
      </c>
      <c r="D514" s="200">
        <v>44426</v>
      </c>
      <c r="E514" s="199" t="s">
        <v>21185</v>
      </c>
      <c r="I514" s="198">
        <v>1.68</v>
      </c>
      <c r="K514" s="198">
        <v>100214.86</v>
      </c>
    </row>
    <row r="515" spans="3:11" x14ac:dyDescent="0.2">
      <c r="C515" s="201" t="s">
        <v>21186</v>
      </c>
      <c r="D515" s="200">
        <v>44426</v>
      </c>
      <c r="E515" s="199" t="s">
        <v>21187</v>
      </c>
      <c r="I515" s="198">
        <v>2.04</v>
      </c>
      <c r="K515" s="198">
        <v>100216.9</v>
      </c>
    </row>
    <row r="516" spans="3:11" x14ac:dyDescent="0.2">
      <c r="C516" s="201" t="s">
        <v>21188</v>
      </c>
      <c r="D516" s="200">
        <v>44426</v>
      </c>
      <c r="E516" s="199" t="s">
        <v>21189</v>
      </c>
      <c r="I516" s="198">
        <v>3.74</v>
      </c>
      <c r="K516" s="198">
        <v>100220.64</v>
      </c>
    </row>
    <row r="517" spans="3:11" x14ac:dyDescent="0.2">
      <c r="C517" s="201" t="s">
        <v>21190</v>
      </c>
      <c r="D517" s="200">
        <v>44426</v>
      </c>
      <c r="E517" s="199" t="s">
        <v>21191</v>
      </c>
      <c r="I517" s="198">
        <v>3.38</v>
      </c>
      <c r="K517" s="198">
        <v>100224.02</v>
      </c>
    </row>
    <row r="518" spans="3:11" x14ac:dyDescent="0.2">
      <c r="C518" s="201" t="s">
        <v>21192</v>
      </c>
      <c r="D518" s="200">
        <v>44426</v>
      </c>
      <c r="E518" s="199" t="s">
        <v>21193</v>
      </c>
      <c r="I518" s="198">
        <v>3.65</v>
      </c>
      <c r="K518" s="198">
        <v>100227.67</v>
      </c>
    </row>
    <row r="519" spans="3:11" x14ac:dyDescent="0.2">
      <c r="C519" s="201" t="s">
        <v>21194</v>
      </c>
      <c r="D519" s="200">
        <v>44426</v>
      </c>
      <c r="E519" s="199" t="s">
        <v>21195</v>
      </c>
      <c r="I519" s="198">
        <v>2.58</v>
      </c>
      <c r="K519" s="198">
        <v>100230.25</v>
      </c>
    </row>
    <row r="520" spans="3:11" x14ac:dyDescent="0.2">
      <c r="C520" s="201" t="s">
        <v>21196</v>
      </c>
      <c r="D520" s="200">
        <v>44426</v>
      </c>
      <c r="E520" s="199" t="s">
        <v>21197</v>
      </c>
      <c r="I520" s="198">
        <v>11.14</v>
      </c>
      <c r="K520" s="198">
        <v>100241.39</v>
      </c>
    </row>
    <row r="521" spans="3:11" x14ac:dyDescent="0.2">
      <c r="C521" s="201" t="s">
        <v>21198</v>
      </c>
      <c r="D521" s="200">
        <v>44426</v>
      </c>
      <c r="E521" s="199" t="s">
        <v>21199</v>
      </c>
      <c r="I521" s="198">
        <v>11.71</v>
      </c>
      <c r="K521" s="198">
        <v>100253.1</v>
      </c>
    </row>
    <row r="522" spans="3:11" x14ac:dyDescent="0.2">
      <c r="C522" s="201" t="s">
        <v>6180</v>
      </c>
      <c r="D522" s="200">
        <v>44426</v>
      </c>
      <c r="E522" s="199" t="s">
        <v>21200</v>
      </c>
      <c r="J522" s="222">
        <v>47.1</v>
      </c>
      <c r="K522" s="198">
        <v>100206</v>
      </c>
    </row>
    <row r="523" spans="3:11" x14ac:dyDescent="0.2">
      <c r="C523" s="201" t="s">
        <v>21201</v>
      </c>
      <c r="D523" s="200">
        <v>44427</v>
      </c>
      <c r="E523" s="199" t="s">
        <v>21202</v>
      </c>
      <c r="I523" s="198">
        <v>2.2799999999999998</v>
      </c>
      <c r="K523" s="198">
        <v>100208.28</v>
      </c>
    </row>
    <row r="524" spans="3:11" x14ac:dyDescent="0.2">
      <c r="C524" s="201" t="s">
        <v>21203</v>
      </c>
      <c r="D524" s="200">
        <v>44427</v>
      </c>
      <c r="E524" s="199" t="s">
        <v>21204</v>
      </c>
      <c r="I524" s="198">
        <v>4.78</v>
      </c>
      <c r="K524" s="198">
        <v>100213.06</v>
      </c>
    </row>
    <row r="525" spans="3:11" x14ac:dyDescent="0.2">
      <c r="C525" s="201" t="s">
        <v>21205</v>
      </c>
      <c r="D525" s="200">
        <v>44427</v>
      </c>
      <c r="E525" s="199" t="s">
        <v>21206</v>
      </c>
      <c r="I525" s="198">
        <v>5.04</v>
      </c>
      <c r="K525" s="198">
        <v>100218.1</v>
      </c>
    </row>
    <row r="526" spans="3:11" x14ac:dyDescent="0.2">
      <c r="C526" s="201" t="s">
        <v>21207</v>
      </c>
      <c r="D526" s="200">
        <v>44427</v>
      </c>
      <c r="E526" s="199" t="s">
        <v>21208</v>
      </c>
      <c r="I526" s="198">
        <v>16.86</v>
      </c>
      <c r="K526" s="198">
        <v>100234.96</v>
      </c>
    </row>
    <row r="527" spans="3:11" x14ac:dyDescent="0.2">
      <c r="C527" s="201" t="s">
        <v>21209</v>
      </c>
      <c r="D527" s="200">
        <v>44427</v>
      </c>
      <c r="E527" s="199" t="s">
        <v>21210</v>
      </c>
      <c r="I527" s="198">
        <v>1.84</v>
      </c>
      <c r="K527" s="198">
        <v>100236.8</v>
      </c>
    </row>
    <row r="528" spans="3:11" x14ac:dyDescent="0.2">
      <c r="C528" s="201" t="s">
        <v>21211</v>
      </c>
      <c r="D528" s="200">
        <v>44427</v>
      </c>
      <c r="E528" s="199" t="s">
        <v>21212</v>
      </c>
      <c r="I528" s="198">
        <v>3.88</v>
      </c>
      <c r="K528" s="198">
        <v>100240.68</v>
      </c>
    </row>
    <row r="529" spans="3:11" x14ac:dyDescent="0.2">
      <c r="C529" s="201" t="s">
        <v>21213</v>
      </c>
      <c r="D529" s="200">
        <v>44427</v>
      </c>
      <c r="E529" s="199" t="s">
        <v>21214</v>
      </c>
      <c r="I529" s="198">
        <v>3.89</v>
      </c>
      <c r="K529" s="198">
        <v>100244.57</v>
      </c>
    </row>
    <row r="530" spans="3:11" x14ac:dyDescent="0.2">
      <c r="C530" s="201" t="s">
        <v>21215</v>
      </c>
      <c r="D530" s="200">
        <v>44427</v>
      </c>
      <c r="E530" s="199" t="s">
        <v>21216</v>
      </c>
      <c r="I530" s="198">
        <v>3.11</v>
      </c>
      <c r="K530" s="198">
        <v>100247.67999999999</v>
      </c>
    </row>
    <row r="531" spans="3:11" x14ac:dyDescent="0.2">
      <c r="C531" s="201" t="s">
        <v>21217</v>
      </c>
      <c r="D531" s="200">
        <v>44427</v>
      </c>
      <c r="E531" s="199" t="s">
        <v>21218</v>
      </c>
      <c r="I531" s="198">
        <v>3.1</v>
      </c>
      <c r="K531" s="198">
        <v>100250.78</v>
      </c>
    </row>
    <row r="532" spans="3:11" x14ac:dyDescent="0.2">
      <c r="C532" s="201" t="s">
        <v>21219</v>
      </c>
      <c r="D532" s="200">
        <v>44427</v>
      </c>
      <c r="E532" s="199" t="s">
        <v>21220</v>
      </c>
      <c r="I532" s="198">
        <v>3.02</v>
      </c>
      <c r="K532" s="198">
        <v>100253.8</v>
      </c>
    </row>
    <row r="533" spans="3:11" x14ac:dyDescent="0.2">
      <c r="C533" s="201" t="s">
        <v>21221</v>
      </c>
      <c r="D533" s="200">
        <v>44427</v>
      </c>
      <c r="E533" s="199" t="s">
        <v>21222</v>
      </c>
      <c r="I533" s="198">
        <v>56.37</v>
      </c>
      <c r="K533" s="198">
        <v>100310.17</v>
      </c>
    </row>
    <row r="534" spans="3:11" x14ac:dyDescent="0.2">
      <c r="C534" s="201" t="s">
        <v>21223</v>
      </c>
      <c r="D534" s="200">
        <v>44427</v>
      </c>
      <c r="E534" s="199" t="s">
        <v>21224</v>
      </c>
      <c r="I534" s="198">
        <v>3.91</v>
      </c>
      <c r="K534" s="198">
        <v>100314.08</v>
      </c>
    </row>
    <row r="535" spans="3:11" x14ac:dyDescent="0.2">
      <c r="C535" s="201" t="s">
        <v>21225</v>
      </c>
      <c r="D535" s="200">
        <v>44427</v>
      </c>
      <c r="E535" s="199" t="s">
        <v>21226</v>
      </c>
      <c r="I535" s="198">
        <v>1.68</v>
      </c>
      <c r="K535" s="198">
        <v>100315.76</v>
      </c>
    </row>
    <row r="536" spans="3:11" x14ac:dyDescent="0.2">
      <c r="C536" s="201" t="s">
        <v>21227</v>
      </c>
      <c r="D536" s="200">
        <v>44427</v>
      </c>
      <c r="E536" s="199" t="s">
        <v>21228</v>
      </c>
      <c r="I536" s="198">
        <v>3.39</v>
      </c>
      <c r="K536" s="198">
        <v>100319.15</v>
      </c>
    </row>
    <row r="537" spans="3:11" x14ac:dyDescent="0.2">
      <c r="C537" s="201" t="s">
        <v>21229</v>
      </c>
      <c r="D537" s="200">
        <v>44427</v>
      </c>
      <c r="E537" s="199" t="s">
        <v>21230</v>
      </c>
      <c r="I537" s="198">
        <v>8.3800000000000008</v>
      </c>
      <c r="K537" s="198">
        <v>100327.53</v>
      </c>
    </row>
    <row r="538" spans="3:11" x14ac:dyDescent="0.2">
      <c r="C538" s="201" t="s">
        <v>21231</v>
      </c>
      <c r="D538" s="200">
        <v>44427</v>
      </c>
      <c r="E538" s="199" t="s">
        <v>21232</v>
      </c>
      <c r="I538" s="198">
        <v>4.91</v>
      </c>
      <c r="K538" s="198">
        <v>100332.44</v>
      </c>
    </row>
    <row r="539" spans="3:11" x14ac:dyDescent="0.2">
      <c r="C539" s="201" t="s">
        <v>21233</v>
      </c>
      <c r="D539" s="200">
        <v>44428</v>
      </c>
      <c r="E539" s="199" t="s">
        <v>21234</v>
      </c>
      <c r="I539" s="198">
        <v>8.4600000000000009</v>
      </c>
      <c r="K539" s="198">
        <v>100340.9</v>
      </c>
    </row>
    <row r="540" spans="3:11" x14ac:dyDescent="0.2">
      <c r="C540" s="201" t="s">
        <v>21235</v>
      </c>
      <c r="D540" s="200">
        <v>44428</v>
      </c>
      <c r="E540" s="199" t="s">
        <v>21236</v>
      </c>
      <c r="I540" s="198">
        <v>17.899999999999999</v>
      </c>
      <c r="K540" s="198">
        <v>100358.8</v>
      </c>
    </row>
    <row r="541" spans="3:11" x14ac:dyDescent="0.2">
      <c r="C541" s="201" t="s">
        <v>21237</v>
      </c>
      <c r="D541" s="200">
        <v>44428</v>
      </c>
      <c r="E541" s="199" t="s">
        <v>21238</v>
      </c>
      <c r="I541" s="198">
        <v>12.88</v>
      </c>
      <c r="K541" s="198">
        <v>100371.68</v>
      </c>
    </row>
    <row r="542" spans="3:11" x14ac:dyDescent="0.2">
      <c r="C542" s="201" t="s">
        <v>21239</v>
      </c>
      <c r="D542" s="200">
        <v>44428</v>
      </c>
      <c r="E542" s="199" t="s">
        <v>21240</v>
      </c>
      <c r="I542" s="198">
        <v>5.15</v>
      </c>
      <c r="K542" s="198">
        <v>100376.83</v>
      </c>
    </row>
    <row r="543" spans="3:11" x14ac:dyDescent="0.2">
      <c r="C543" s="201" t="s">
        <v>19279</v>
      </c>
      <c r="D543" s="200">
        <v>44428</v>
      </c>
      <c r="E543" s="199" t="s">
        <v>21241</v>
      </c>
      <c r="I543" s="198">
        <v>1.68</v>
      </c>
      <c r="K543" s="198">
        <v>100378.51</v>
      </c>
    </row>
    <row r="544" spans="3:11" x14ac:dyDescent="0.2">
      <c r="C544" s="201" t="s">
        <v>21242</v>
      </c>
      <c r="D544" s="200">
        <v>44428</v>
      </c>
      <c r="E544" s="199" t="s">
        <v>21243</v>
      </c>
      <c r="I544" s="198">
        <v>3.89</v>
      </c>
      <c r="K544" s="198">
        <v>100382.39999999999</v>
      </c>
    </row>
    <row r="545" spans="3:11" x14ac:dyDescent="0.2">
      <c r="C545" s="201" t="s">
        <v>21244</v>
      </c>
      <c r="D545" s="200">
        <v>44428</v>
      </c>
      <c r="E545" s="199" t="s">
        <v>21245</v>
      </c>
      <c r="I545" s="198">
        <v>3.26</v>
      </c>
      <c r="K545" s="198">
        <v>100385.66</v>
      </c>
    </row>
    <row r="546" spans="3:11" x14ac:dyDescent="0.2">
      <c r="C546" s="201" t="s">
        <v>21246</v>
      </c>
      <c r="D546" s="200">
        <v>44428</v>
      </c>
      <c r="E546" s="199" t="s">
        <v>21247</v>
      </c>
      <c r="I546" s="198">
        <v>17.72</v>
      </c>
      <c r="K546" s="198">
        <v>100403.38</v>
      </c>
    </row>
    <row r="547" spans="3:11" x14ac:dyDescent="0.2">
      <c r="C547" s="201" t="s">
        <v>21248</v>
      </c>
      <c r="D547" s="200">
        <v>44428</v>
      </c>
      <c r="E547" s="199" t="s">
        <v>21249</v>
      </c>
      <c r="I547" s="198">
        <v>5.65</v>
      </c>
      <c r="K547" s="198">
        <v>100409.03</v>
      </c>
    </row>
    <row r="548" spans="3:11" x14ac:dyDescent="0.2">
      <c r="C548" s="201" t="s">
        <v>21250</v>
      </c>
      <c r="D548" s="200">
        <v>44428</v>
      </c>
      <c r="E548" s="199" t="s">
        <v>21251</v>
      </c>
      <c r="I548" s="198">
        <v>1.62</v>
      </c>
      <c r="K548" s="198">
        <v>100410.65</v>
      </c>
    </row>
    <row r="549" spans="3:11" x14ac:dyDescent="0.2">
      <c r="C549" s="201" t="s">
        <v>21252</v>
      </c>
      <c r="D549" s="200">
        <v>44428</v>
      </c>
      <c r="E549" s="199" t="s">
        <v>21253</v>
      </c>
      <c r="I549" s="198">
        <v>4.1500000000000004</v>
      </c>
      <c r="K549" s="198">
        <v>100414.8</v>
      </c>
    </row>
    <row r="550" spans="3:11" x14ac:dyDescent="0.2">
      <c r="C550" s="201" t="s">
        <v>21254</v>
      </c>
      <c r="D550" s="200">
        <v>44428</v>
      </c>
      <c r="E550" s="199" t="s">
        <v>21255</v>
      </c>
      <c r="I550" s="198">
        <v>5.23</v>
      </c>
      <c r="K550" s="198">
        <v>100420.03</v>
      </c>
    </row>
    <row r="551" spans="3:11" x14ac:dyDescent="0.2">
      <c r="C551" s="201" t="s">
        <v>21256</v>
      </c>
      <c r="D551" s="200">
        <v>44428</v>
      </c>
      <c r="E551" s="199" t="s">
        <v>21257</v>
      </c>
      <c r="I551" s="198">
        <v>8.3800000000000008</v>
      </c>
      <c r="K551" s="198">
        <v>100428.41</v>
      </c>
    </row>
    <row r="552" spans="3:11" x14ac:dyDescent="0.2">
      <c r="C552" s="201" t="s">
        <v>21258</v>
      </c>
      <c r="D552" s="200">
        <v>44428</v>
      </c>
      <c r="E552" s="199" t="s">
        <v>21259</v>
      </c>
      <c r="I552" s="198">
        <v>0.28000000000000003</v>
      </c>
      <c r="K552" s="198">
        <v>100428.69</v>
      </c>
    </row>
    <row r="553" spans="3:11" x14ac:dyDescent="0.2">
      <c r="C553" s="201" t="s">
        <v>21260</v>
      </c>
      <c r="D553" s="200">
        <v>44428</v>
      </c>
      <c r="E553" s="199" t="s">
        <v>21261</v>
      </c>
      <c r="I553" s="198">
        <v>8.7100000000000009</v>
      </c>
      <c r="K553" s="198">
        <v>100437.4</v>
      </c>
    </row>
    <row r="554" spans="3:11" x14ac:dyDescent="0.2">
      <c r="C554" s="201" t="s">
        <v>21262</v>
      </c>
      <c r="D554" s="200">
        <v>44428</v>
      </c>
      <c r="E554" s="199" t="s">
        <v>21263</v>
      </c>
      <c r="I554" s="198">
        <v>1.81</v>
      </c>
      <c r="K554" s="198">
        <v>100439.21</v>
      </c>
    </row>
    <row r="555" spans="3:11" x14ac:dyDescent="0.2">
      <c r="C555" s="201" t="s">
        <v>21264</v>
      </c>
      <c r="D555" s="200">
        <v>44428</v>
      </c>
      <c r="E555" s="199" t="s">
        <v>21265</v>
      </c>
      <c r="I555" s="198">
        <v>16.760000000000002</v>
      </c>
      <c r="K555" s="198">
        <v>100455.97</v>
      </c>
    </row>
    <row r="556" spans="3:11" x14ac:dyDescent="0.2">
      <c r="C556" s="201" t="s">
        <v>21266</v>
      </c>
      <c r="D556" s="200">
        <v>44428</v>
      </c>
      <c r="E556" s="199" t="s">
        <v>21267</v>
      </c>
      <c r="I556" s="198">
        <v>2.0299999999999998</v>
      </c>
      <c r="K556" s="198">
        <v>100458</v>
      </c>
    </row>
    <row r="557" spans="3:11" x14ac:dyDescent="0.2">
      <c r="C557" s="201" t="s">
        <v>21268</v>
      </c>
      <c r="D557" s="200">
        <v>44428</v>
      </c>
      <c r="E557" s="199" t="s">
        <v>21269</v>
      </c>
      <c r="I557" s="198">
        <v>1.68</v>
      </c>
      <c r="K557" s="198">
        <v>100459.68</v>
      </c>
    </row>
    <row r="558" spans="3:11" x14ac:dyDescent="0.2">
      <c r="C558" s="201" t="s">
        <v>21270</v>
      </c>
      <c r="D558" s="200">
        <v>44428</v>
      </c>
      <c r="E558" s="199" t="s">
        <v>21271</v>
      </c>
      <c r="I558" s="198">
        <v>3.38</v>
      </c>
      <c r="K558" s="198">
        <v>100463.06</v>
      </c>
    </row>
    <row r="559" spans="3:11" x14ac:dyDescent="0.2">
      <c r="C559" s="201" t="s">
        <v>21272</v>
      </c>
      <c r="D559" s="200">
        <v>44428</v>
      </c>
      <c r="E559" s="199" t="s">
        <v>21273</v>
      </c>
      <c r="I559" s="198">
        <v>2.62</v>
      </c>
      <c r="K559" s="198">
        <v>100465.68</v>
      </c>
    </row>
    <row r="560" spans="3:11" x14ac:dyDescent="0.2">
      <c r="C560" s="201" t="s">
        <v>21274</v>
      </c>
      <c r="D560" s="200">
        <v>44428</v>
      </c>
      <c r="E560" s="199" t="s">
        <v>21275</v>
      </c>
      <c r="I560" s="198">
        <v>7.11</v>
      </c>
      <c r="K560" s="198">
        <v>100472.79</v>
      </c>
    </row>
    <row r="561" spans="3:11" x14ac:dyDescent="0.2">
      <c r="C561" s="201" t="s">
        <v>21276</v>
      </c>
      <c r="D561" s="200">
        <v>44428</v>
      </c>
      <c r="E561" s="199" t="s">
        <v>21277</v>
      </c>
      <c r="I561" s="198">
        <v>3.45</v>
      </c>
      <c r="K561" s="198">
        <v>100476.24</v>
      </c>
    </row>
    <row r="562" spans="3:11" x14ac:dyDescent="0.2">
      <c r="C562" s="201" t="s">
        <v>21278</v>
      </c>
      <c r="D562" s="200">
        <v>44428</v>
      </c>
      <c r="E562" s="199" t="s">
        <v>21279</v>
      </c>
      <c r="I562" s="198">
        <v>5</v>
      </c>
      <c r="K562" s="198">
        <v>100481.24</v>
      </c>
    </row>
    <row r="563" spans="3:11" x14ac:dyDescent="0.2">
      <c r="C563" s="201" t="s">
        <v>21280</v>
      </c>
      <c r="D563" s="200">
        <v>44428</v>
      </c>
      <c r="E563" s="199" t="s">
        <v>21281</v>
      </c>
      <c r="I563" s="198">
        <v>9.93</v>
      </c>
      <c r="K563" s="198">
        <v>100491.17</v>
      </c>
    </row>
    <row r="564" spans="3:11" x14ac:dyDescent="0.2">
      <c r="C564" s="201" t="s">
        <v>21282</v>
      </c>
      <c r="D564" s="200">
        <v>44430</v>
      </c>
      <c r="E564" s="199" t="s">
        <v>21283</v>
      </c>
      <c r="I564" s="198">
        <v>5.29</v>
      </c>
      <c r="K564" s="198">
        <v>100496.46</v>
      </c>
    </row>
    <row r="565" spans="3:11" x14ac:dyDescent="0.2">
      <c r="C565" s="201" t="s">
        <v>21284</v>
      </c>
      <c r="D565" s="200">
        <v>44430</v>
      </c>
      <c r="E565" s="199" t="s">
        <v>21285</v>
      </c>
      <c r="I565" s="198">
        <v>5.45</v>
      </c>
      <c r="K565" s="198">
        <v>100501.91</v>
      </c>
    </row>
    <row r="566" spans="3:11" x14ac:dyDescent="0.2">
      <c r="C566" s="201" t="s">
        <v>21286</v>
      </c>
      <c r="D566" s="200">
        <v>44431</v>
      </c>
      <c r="E566" s="199" t="s">
        <v>21287</v>
      </c>
      <c r="I566" s="198">
        <v>110</v>
      </c>
      <c r="K566" s="198">
        <v>100611.91</v>
      </c>
    </row>
    <row r="567" spans="3:11" x14ac:dyDescent="0.2">
      <c r="C567" s="201" t="s">
        <v>21288</v>
      </c>
      <c r="D567" s="200">
        <v>44431</v>
      </c>
      <c r="E567" s="199" t="s">
        <v>21289</v>
      </c>
      <c r="I567" s="198">
        <v>4.24</v>
      </c>
      <c r="K567" s="198">
        <v>100616.15</v>
      </c>
    </row>
    <row r="568" spans="3:11" x14ac:dyDescent="0.2">
      <c r="C568" s="201" t="s">
        <v>21290</v>
      </c>
      <c r="D568" s="200">
        <v>44431</v>
      </c>
      <c r="E568" s="199" t="s">
        <v>21291</v>
      </c>
      <c r="I568" s="198">
        <v>9.48</v>
      </c>
      <c r="K568" s="198">
        <v>100625.63</v>
      </c>
    </row>
    <row r="569" spans="3:11" x14ac:dyDescent="0.2">
      <c r="C569" s="201" t="s">
        <v>21292</v>
      </c>
      <c r="D569" s="200">
        <v>44431</v>
      </c>
      <c r="E569" s="199" t="s">
        <v>21293</v>
      </c>
      <c r="I569" s="198">
        <v>8.3800000000000008</v>
      </c>
      <c r="K569" s="198">
        <v>100634.01</v>
      </c>
    </row>
    <row r="570" spans="3:11" x14ac:dyDescent="0.2">
      <c r="C570" s="201" t="s">
        <v>21294</v>
      </c>
      <c r="D570" s="200">
        <v>44431</v>
      </c>
      <c r="E570" s="199" t="s">
        <v>21295</v>
      </c>
      <c r="I570" s="198">
        <v>8.3800000000000008</v>
      </c>
      <c r="K570" s="198">
        <v>100642.39</v>
      </c>
    </row>
    <row r="571" spans="3:11" x14ac:dyDescent="0.2">
      <c r="C571" s="201" t="s">
        <v>21296</v>
      </c>
      <c r="D571" s="200">
        <v>44431</v>
      </c>
      <c r="E571" s="199" t="s">
        <v>21297</v>
      </c>
      <c r="I571" s="198">
        <v>4.42</v>
      </c>
      <c r="K571" s="198">
        <v>100646.81</v>
      </c>
    </row>
    <row r="572" spans="3:11" x14ac:dyDescent="0.2">
      <c r="C572" s="201" t="s">
        <v>21298</v>
      </c>
      <c r="D572" s="200">
        <v>44432</v>
      </c>
      <c r="E572" s="199" t="s">
        <v>21299</v>
      </c>
      <c r="I572" s="198">
        <v>6</v>
      </c>
      <c r="K572" s="198">
        <v>100652.81</v>
      </c>
    </row>
    <row r="573" spans="3:11" x14ac:dyDescent="0.2">
      <c r="C573" s="201" t="s">
        <v>21300</v>
      </c>
      <c r="D573" s="200">
        <v>44432</v>
      </c>
      <c r="E573" s="199" t="s">
        <v>21301</v>
      </c>
      <c r="I573" s="198">
        <v>3.46</v>
      </c>
      <c r="K573" s="198">
        <v>100656.27</v>
      </c>
    </row>
    <row r="574" spans="3:11" x14ac:dyDescent="0.2">
      <c r="C574" s="201" t="s">
        <v>21302</v>
      </c>
      <c r="D574" s="200">
        <v>44432</v>
      </c>
      <c r="E574" s="199" t="s">
        <v>21303</v>
      </c>
      <c r="I574" s="198">
        <v>3.6</v>
      </c>
      <c r="K574" s="198">
        <v>100659.87</v>
      </c>
    </row>
    <row r="575" spans="3:11" x14ac:dyDescent="0.2">
      <c r="C575" s="201" t="s">
        <v>21304</v>
      </c>
      <c r="D575" s="200">
        <v>44432</v>
      </c>
      <c r="E575" s="199" t="s">
        <v>21305</v>
      </c>
      <c r="I575" s="198">
        <v>6.94</v>
      </c>
      <c r="K575" s="198">
        <v>100666.81</v>
      </c>
    </row>
    <row r="576" spans="3:11" x14ac:dyDescent="0.2">
      <c r="C576" s="201" t="s">
        <v>21306</v>
      </c>
      <c r="D576" s="200">
        <v>44432</v>
      </c>
      <c r="E576" s="199" t="s">
        <v>21307</v>
      </c>
      <c r="I576" s="198">
        <v>2</v>
      </c>
      <c r="K576" s="198">
        <v>100668.81</v>
      </c>
    </row>
    <row r="577" spans="3:11" x14ac:dyDescent="0.2">
      <c r="C577" s="201" t="s">
        <v>21308</v>
      </c>
      <c r="D577" s="200">
        <v>44432</v>
      </c>
      <c r="E577" s="199" t="s">
        <v>21309</v>
      </c>
      <c r="I577" s="198">
        <v>5.44</v>
      </c>
      <c r="K577" s="198">
        <v>100674.25</v>
      </c>
    </row>
    <row r="578" spans="3:11" x14ac:dyDescent="0.2">
      <c r="C578" s="201" t="s">
        <v>21310</v>
      </c>
      <c r="D578" s="200">
        <v>44432</v>
      </c>
      <c r="E578" s="199" t="s">
        <v>21311</v>
      </c>
      <c r="I578" s="198">
        <v>7.15</v>
      </c>
      <c r="K578" s="198">
        <v>100681.4</v>
      </c>
    </row>
    <row r="579" spans="3:11" x14ac:dyDescent="0.2">
      <c r="C579" s="201" t="s">
        <v>21312</v>
      </c>
      <c r="D579" s="200">
        <v>44432</v>
      </c>
      <c r="E579" s="199" t="s">
        <v>21313</v>
      </c>
      <c r="I579" s="198">
        <v>8.4600000000000009</v>
      </c>
      <c r="K579" s="198">
        <v>100689.86</v>
      </c>
    </row>
    <row r="580" spans="3:11" x14ac:dyDescent="0.2">
      <c r="C580" s="201" t="s">
        <v>21314</v>
      </c>
      <c r="D580" s="200">
        <v>44432</v>
      </c>
      <c r="E580" s="199" t="s">
        <v>21315</v>
      </c>
      <c r="I580" s="198">
        <v>2.06</v>
      </c>
      <c r="K580" s="198">
        <v>100691.92</v>
      </c>
    </row>
    <row r="581" spans="3:11" x14ac:dyDescent="0.2">
      <c r="C581" s="201" t="s">
        <v>21316</v>
      </c>
      <c r="D581" s="200">
        <v>44432</v>
      </c>
      <c r="E581" s="199" t="s">
        <v>21317</v>
      </c>
      <c r="I581" s="198">
        <v>6.94</v>
      </c>
      <c r="K581" s="198">
        <v>100698.86</v>
      </c>
    </row>
    <row r="582" spans="3:11" x14ac:dyDescent="0.2">
      <c r="C582" s="201" t="s">
        <v>21318</v>
      </c>
      <c r="D582" s="200">
        <v>44432</v>
      </c>
      <c r="E582" s="199" t="s">
        <v>21319</v>
      </c>
      <c r="I582" s="198">
        <v>3.54</v>
      </c>
      <c r="K582" s="198">
        <v>100702.39999999999</v>
      </c>
    </row>
    <row r="583" spans="3:11" x14ac:dyDescent="0.2">
      <c r="C583" s="201" t="s">
        <v>21320</v>
      </c>
      <c r="D583" s="200">
        <v>44432</v>
      </c>
      <c r="E583" s="199" t="s">
        <v>21321</v>
      </c>
      <c r="I583" s="198">
        <v>4.4800000000000004</v>
      </c>
      <c r="K583" s="198">
        <v>100706.88</v>
      </c>
    </row>
    <row r="584" spans="3:11" x14ac:dyDescent="0.2">
      <c r="C584" s="201" t="s">
        <v>21322</v>
      </c>
      <c r="D584" s="200">
        <v>44432</v>
      </c>
      <c r="E584" s="199" t="s">
        <v>21323</v>
      </c>
      <c r="I584" s="198">
        <v>6.14</v>
      </c>
      <c r="K584" s="198">
        <v>100713.02</v>
      </c>
    </row>
    <row r="585" spans="3:11" x14ac:dyDescent="0.2">
      <c r="C585" s="201" t="s">
        <v>21324</v>
      </c>
      <c r="D585" s="200">
        <v>44432</v>
      </c>
      <c r="E585" s="199" t="s">
        <v>21325</v>
      </c>
      <c r="I585" s="198">
        <v>1.94</v>
      </c>
      <c r="K585" s="198">
        <v>100714.96</v>
      </c>
    </row>
    <row r="586" spans="3:11" x14ac:dyDescent="0.2">
      <c r="C586" s="201" t="s">
        <v>21326</v>
      </c>
      <c r="D586" s="200">
        <v>44432</v>
      </c>
      <c r="E586" s="199" t="s">
        <v>21327</v>
      </c>
      <c r="I586" s="198">
        <v>5.57</v>
      </c>
      <c r="K586" s="198">
        <v>100720.53</v>
      </c>
    </row>
    <row r="587" spans="3:11" x14ac:dyDescent="0.2">
      <c r="C587" s="201" t="s">
        <v>21328</v>
      </c>
      <c r="D587" s="200">
        <v>44432</v>
      </c>
      <c r="E587" s="199" t="s">
        <v>21329</v>
      </c>
      <c r="I587" s="198">
        <v>5.31</v>
      </c>
      <c r="K587" s="198">
        <v>100725.84</v>
      </c>
    </row>
    <row r="588" spans="3:11" x14ac:dyDescent="0.2">
      <c r="C588" s="201" t="s">
        <v>21330</v>
      </c>
      <c r="D588" s="200">
        <v>44432</v>
      </c>
      <c r="E588" s="199" t="s">
        <v>21331</v>
      </c>
      <c r="I588" s="198">
        <v>11.1</v>
      </c>
      <c r="K588" s="198">
        <v>100736.94</v>
      </c>
    </row>
    <row r="589" spans="3:11" x14ac:dyDescent="0.2">
      <c r="C589" s="201" t="s">
        <v>21332</v>
      </c>
      <c r="D589" s="200">
        <v>44432</v>
      </c>
      <c r="E589" s="199" t="s">
        <v>21333</v>
      </c>
      <c r="I589" s="198">
        <v>13.08</v>
      </c>
      <c r="K589" s="198">
        <v>100750.02</v>
      </c>
    </row>
    <row r="590" spans="3:11" x14ac:dyDescent="0.2">
      <c r="C590" s="201" t="s">
        <v>21334</v>
      </c>
      <c r="D590" s="200">
        <v>44432</v>
      </c>
      <c r="E590" s="199" t="s">
        <v>21335</v>
      </c>
      <c r="I590" s="198">
        <v>4.5199999999999996</v>
      </c>
      <c r="K590" s="198">
        <v>100754.54</v>
      </c>
    </row>
    <row r="591" spans="3:11" x14ac:dyDescent="0.2">
      <c r="C591" s="201" t="s">
        <v>21336</v>
      </c>
      <c r="D591" s="200">
        <v>44432</v>
      </c>
      <c r="E591" s="199" t="s">
        <v>21337</v>
      </c>
      <c r="I591" s="198">
        <v>3.39</v>
      </c>
      <c r="K591" s="198">
        <v>100757.93</v>
      </c>
    </row>
    <row r="592" spans="3:11" x14ac:dyDescent="0.2">
      <c r="C592" s="201" t="s">
        <v>21338</v>
      </c>
      <c r="D592" s="200">
        <v>44432</v>
      </c>
      <c r="E592" s="199" t="s">
        <v>21339</v>
      </c>
      <c r="I592" s="198">
        <v>5.91</v>
      </c>
      <c r="K592" s="198">
        <v>100763.84</v>
      </c>
    </row>
    <row r="593" spans="3:11" x14ac:dyDescent="0.2">
      <c r="C593" s="201" t="s">
        <v>21340</v>
      </c>
      <c r="D593" s="200">
        <v>44432</v>
      </c>
      <c r="E593" s="199" t="s">
        <v>21341</v>
      </c>
      <c r="I593" s="198">
        <v>1.94</v>
      </c>
      <c r="K593" s="198">
        <v>100765.78</v>
      </c>
    </row>
    <row r="594" spans="3:11" x14ac:dyDescent="0.2">
      <c r="C594" s="201" t="s">
        <v>21342</v>
      </c>
      <c r="D594" s="200">
        <v>44432</v>
      </c>
      <c r="E594" s="199" t="s">
        <v>21343</v>
      </c>
      <c r="I594" s="198">
        <v>5.23</v>
      </c>
      <c r="K594" s="198">
        <v>100771.01</v>
      </c>
    </row>
    <row r="595" spans="3:11" x14ac:dyDescent="0.2">
      <c r="C595" s="201" t="s">
        <v>21344</v>
      </c>
      <c r="D595" s="200">
        <v>44432</v>
      </c>
      <c r="E595" s="199" t="s">
        <v>21345</v>
      </c>
      <c r="I595" s="198">
        <v>3.36</v>
      </c>
      <c r="K595" s="198">
        <v>100774.37</v>
      </c>
    </row>
    <row r="596" spans="3:11" x14ac:dyDescent="0.2">
      <c r="C596" s="201" t="s">
        <v>21346</v>
      </c>
      <c r="D596" s="200">
        <v>44432</v>
      </c>
      <c r="E596" s="199" t="s">
        <v>21347</v>
      </c>
      <c r="I596" s="198">
        <v>7.36</v>
      </c>
      <c r="K596" s="198">
        <v>100781.73</v>
      </c>
    </row>
    <row r="597" spans="3:11" x14ac:dyDescent="0.2">
      <c r="C597" s="201" t="s">
        <v>21348</v>
      </c>
      <c r="D597" s="200">
        <v>44432</v>
      </c>
      <c r="E597" s="199" t="s">
        <v>21349</v>
      </c>
      <c r="I597" s="198">
        <v>6.5</v>
      </c>
      <c r="K597" s="198">
        <v>100788.23</v>
      </c>
    </row>
    <row r="598" spans="3:11" x14ac:dyDescent="0.2">
      <c r="C598" s="201" t="s">
        <v>21350</v>
      </c>
      <c r="D598" s="200">
        <v>44433</v>
      </c>
      <c r="E598" s="199" t="s">
        <v>21351</v>
      </c>
      <c r="I598" s="198">
        <v>8.3800000000000008</v>
      </c>
      <c r="K598" s="198">
        <v>100796.61</v>
      </c>
    </row>
    <row r="599" spans="3:11" x14ac:dyDescent="0.2">
      <c r="C599" s="201" t="s">
        <v>21352</v>
      </c>
      <c r="D599" s="200">
        <v>44433</v>
      </c>
      <c r="E599" s="199" t="s">
        <v>21353</v>
      </c>
      <c r="I599" s="198">
        <v>3.73</v>
      </c>
      <c r="K599" s="198">
        <v>100800.34</v>
      </c>
    </row>
    <row r="600" spans="3:11" x14ac:dyDescent="0.2">
      <c r="C600" s="201" t="s">
        <v>21354</v>
      </c>
      <c r="D600" s="200">
        <v>44433</v>
      </c>
      <c r="E600" s="199" t="s">
        <v>21355</v>
      </c>
      <c r="I600" s="198">
        <v>2.74</v>
      </c>
      <c r="K600" s="198">
        <v>100803.08</v>
      </c>
    </row>
    <row r="601" spans="3:11" x14ac:dyDescent="0.2">
      <c r="C601" s="201" t="s">
        <v>21356</v>
      </c>
      <c r="D601" s="200">
        <v>44433</v>
      </c>
      <c r="E601" s="199" t="s">
        <v>21357</v>
      </c>
      <c r="I601" s="198">
        <v>8.3800000000000008</v>
      </c>
      <c r="K601" s="198">
        <v>100811.46</v>
      </c>
    </row>
    <row r="602" spans="3:11" x14ac:dyDescent="0.2">
      <c r="C602" s="201" t="s">
        <v>21358</v>
      </c>
      <c r="D602" s="200">
        <v>44433</v>
      </c>
      <c r="E602" s="199" t="s">
        <v>21359</v>
      </c>
      <c r="I602" s="198">
        <v>31.17</v>
      </c>
      <c r="K602" s="198">
        <v>100842.63</v>
      </c>
    </row>
    <row r="603" spans="3:11" x14ac:dyDescent="0.2">
      <c r="C603" s="201" t="s">
        <v>21360</v>
      </c>
      <c r="D603" s="200">
        <v>44433</v>
      </c>
      <c r="E603" s="199" t="s">
        <v>21361</v>
      </c>
      <c r="I603" s="198">
        <v>6.18</v>
      </c>
      <c r="K603" s="198">
        <v>100848.81</v>
      </c>
    </row>
    <row r="604" spans="3:11" x14ac:dyDescent="0.2">
      <c r="C604" s="201" t="s">
        <v>21362</v>
      </c>
      <c r="D604" s="200">
        <v>44433</v>
      </c>
      <c r="E604" s="199" t="s">
        <v>21363</v>
      </c>
      <c r="I604" s="198">
        <v>2.5</v>
      </c>
      <c r="K604" s="198">
        <v>100851.31</v>
      </c>
    </row>
    <row r="605" spans="3:11" x14ac:dyDescent="0.2">
      <c r="C605" s="201" t="s">
        <v>21364</v>
      </c>
      <c r="D605" s="200">
        <v>44433</v>
      </c>
      <c r="E605" s="199" t="s">
        <v>21365</v>
      </c>
      <c r="I605" s="198">
        <v>3.47</v>
      </c>
      <c r="K605" s="198">
        <v>100854.78</v>
      </c>
    </row>
    <row r="606" spans="3:11" x14ac:dyDescent="0.2">
      <c r="C606" s="201" t="s">
        <v>21366</v>
      </c>
      <c r="D606" s="200">
        <v>44433</v>
      </c>
      <c r="E606" s="199" t="s">
        <v>21367</v>
      </c>
      <c r="I606" s="198">
        <v>2.46</v>
      </c>
      <c r="K606" s="198">
        <v>100857.24</v>
      </c>
    </row>
    <row r="607" spans="3:11" x14ac:dyDescent="0.2">
      <c r="C607" s="201" t="s">
        <v>21368</v>
      </c>
      <c r="D607" s="200">
        <v>44433</v>
      </c>
      <c r="E607" s="199" t="s">
        <v>21369</v>
      </c>
      <c r="I607" s="198">
        <v>8.3800000000000008</v>
      </c>
      <c r="K607" s="198">
        <v>100865.62</v>
      </c>
    </row>
    <row r="608" spans="3:11" x14ac:dyDescent="0.2">
      <c r="C608" s="201" t="s">
        <v>21370</v>
      </c>
      <c r="D608" s="200">
        <v>44433</v>
      </c>
      <c r="E608" s="199" t="s">
        <v>21371</v>
      </c>
      <c r="I608" s="198">
        <v>7.53</v>
      </c>
      <c r="K608" s="198">
        <v>100873.15</v>
      </c>
    </row>
    <row r="609" spans="3:11" x14ac:dyDescent="0.2">
      <c r="C609" s="201" t="s">
        <v>21372</v>
      </c>
      <c r="D609" s="200">
        <v>44433</v>
      </c>
      <c r="E609" s="199" t="s">
        <v>21373</v>
      </c>
      <c r="I609" s="198">
        <v>5.63</v>
      </c>
      <c r="K609" s="198">
        <v>100878.78</v>
      </c>
    </row>
    <row r="610" spans="3:11" x14ac:dyDescent="0.2">
      <c r="C610" s="201" t="s">
        <v>21374</v>
      </c>
      <c r="D610" s="200">
        <v>44433</v>
      </c>
      <c r="E610" s="199" t="s">
        <v>21375</v>
      </c>
      <c r="I610" s="198">
        <v>7.62</v>
      </c>
      <c r="K610" s="198">
        <v>100886.39999999999</v>
      </c>
    </row>
    <row r="611" spans="3:11" x14ac:dyDescent="0.2">
      <c r="C611" s="201" t="s">
        <v>21376</v>
      </c>
      <c r="D611" s="200">
        <v>44433</v>
      </c>
      <c r="E611" s="199" t="s">
        <v>21377</v>
      </c>
      <c r="I611" s="198">
        <v>3.13</v>
      </c>
      <c r="K611" s="198">
        <v>100889.53</v>
      </c>
    </row>
    <row r="612" spans="3:11" x14ac:dyDescent="0.2">
      <c r="C612" s="201" t="s">
        <v>21378</v>
      </c>
      <c r="D612" s="200">
        <v>44433</v>
      </c>
      <c r="E612" s="199" t="s">
        <v>21379</v>
      </c>
      <c r="I612" s="198">
        <v>2.95</v>
      </c>
      <c r="K612" s="198">
        <v>100892.48</v>
      </c>
    </row>
    <row r="613" spans="3:11" x14ac:dyDescent="0.2">
      <c r="C613" s="201" t="s">
        <v>21380</v>
      </c>
      <c r="D613" s="200">
        <v>44433</v>
      </c>
      <c r="E613" s="199" t="s">
        <v>21381</v>
      </c>
      <c r="I613" s="198">
        <v>9.76</v>
      </c>
      <c r="K613" s="198">
        <v>100902.24</v>
      </c>
    </row>
    <row r="614" spans="3:11" x14ac:dyDescent="0.2">
      <c r="C614" s="201" t="s">
        <v>21382</v>
      </c>
      <c r="D614" s="200">
        <v>44433</v>
      </c>
      <c r="E614" s="199" t="s">
        <v>21383</v>
      </c>
      <c r="I614" s="198">
        <v>4.5</v>
      </c>
      <c r="K614" s="198">
        <v>100906.74</v>
      </c>
    </row>
    <row r="615" spans="3:11" x14ac:dyDescent="0.2">
      <c r="C615" s="201" t="s">
        <v>21384</v>
      </c>
      <c r="D615" s="200">
        <v>44433</v>
      </c>
      <c r="E615" s="199" t="s">
        <v>21385</v>
      </c>
      <c r="I615" s="198">
        <v>1.68</v>
      </c>
      <c r="K615" s="198">
        <v>100908.42</v>
      </c>
    </row>
    <row r="616" spans="3:11" x14ac:dyDescent="0.2">
      <c r="C616" s="201" t="s">
        <v>21386</v>
      </c>
      <c r="D616" s="200">
        <v>44433</v>
      </c>
      <c r="E616" s="199" t="s">
        <v>21387</v>
      </c>
      <c r="I616" s="198">
        <v>5.71</v>
      </c>
      <c r="K616" s="198">
        <v>100914.13</v>
      </c>
    </row>
    <row r="617" spans="3:11" x14ac:dyDescent="0.2">
      <c r="C617" s="201" t="s">
        <v>21388</v>
      </c>
      <c r="D617" s="200">
        <v>44433</v>
      </c>
      <c r="E617" s="199" t="s">
        <v>21389</v>
      </c>
      <c r="I617" s="198">
        <v>6.1</v>
      </c>
      <c r="K617" s="198">
        <v>100920.23</v>
      </c>
    </row>
    <row r="618" spans="3:11" x14ac:dyDescent="0.2">
      <c r="C618" s="201" t="s">
        <v>21390</v>
      </c>
      <c r="D618" s="200">
        <v>44433</v>
      </c>
      <c r="E618" s="199" t="s">
        <v>21391</v>
      </c>
      <c r="I618" s="198">
        <v>5.24</v>
      </c>
      <c r="K618" s="198">
        <v>100925.47</v>
      </c>
    </row>
    <row r="619" spans="3:11" x14ac:dyDescent="0.2">
      <c r="C619" s="201" t="s">
        <v>21392</v>
      </c>
      <c r="D619" s="200">
        <v>44433</v>
      </c>
      <c r="E619" s="199" t="s">
        <v>21393</v>
      </c>
      <c r="I619" s="198">
        <v>4.12</v>
      </c>
      <c r="K619" s="198">
        <v>100929.59</v>
      </c>
    </row>
    <row r="620" spans="3:11" x14ac:dyDescent="0.2">
      <c r="C620" s="201" t="s">
        <v>21394</v>
      </c>
      <c r="D620" s="200">
        <v>44433</v>
      </c>
      <c r="E620" s="199" t="s">
        <v>21395</v>
      </c>
      <c r="I620" s="198">
        <v>56.63</v>
      </c>
      <c r="K620" s="198">
        <v>100986.22</v>
      </c>
    </row>
    <row r="621" spans="3:11" x14ac:dyDescent="0.2">
      <c r="C621" s="201" t="s">
        <v>21396</v>
      </c>
      <c r="D621" s="200">
        <v>44433</v>
      </c>
      <c r="E621" s="199" t="s">
        <v>21397</v>
      </c>
      <c r="I621" s="198">
        <v>6.94</v>
      </c>
      <c r="K621" s="198">
        <v>100993.16</v>
      </c>
    </row>
    <row r="622" spans="3:11" x14ac:dyDescent="0.2">
      <c r="C622" s="201" t="s">
        <v>21398</v>
      </c>
      <c r="D622" s="200">
        <v>44433</v>
      </c>
      <c r="E622" s="199" t="s">
        <v>21399</v>
      </c>
      <c r="I622" s="198">
        <v>4.8</v>
      </c>
      <c r="K622" s="198">
        <v>100997.96</v>
      </c>
    </row>
    <row r="623" spans="3:11" x14ac:dyDescent="0.2">
      <c r="C623" s="201" t="s">
        <v>21400</v>
      </c>
      <c r="D623" s="200">
        <v>44433</v>
      </c>
      <c r="E623" s="199" t="s">
        <v>21401</v>
      </c>
      <c r="I623" s="198">
        <v>8.3800000000000008</v>
      </c>
      <c r="K623" s="198">
        <v>101006.34</v>
      </c>
    </row>
    <row r="624" spans="3:11" x14ac:dyDescent="0.2">
      <c r="C624" s="201" t="s">
        <v>21402</v>
      </c>
      <c r="D624" s="200">
        <v>44433</v>
      </c>
      <c r="E624" s="199" t="s">
        <v>21403</v>
      </c>
      <c r="I624" s="198">
        <v>6.81</v>
      </c>
      <c r="K624" s="198">
        <v>101013.15</v>
      </c>
    </row>
    <row r="625" spans="3:11" x14ac:dyDescent="0.2">
      <c r="C625" s="201" t="s">
        <v>21404</v>
      </c>
      <c r="D625" s="200">
        <v>44433</v>
      </c>
      <c r="E625" s="199" t="s">
        <v>21405</v>
      </c>
      <c r="I625" s="198">
        <v>2.23</v>
      </c>
      <c r="K625" s="198">
        <v>101015.38</v>
      </c>
    </row>
    <row r="626" spans="3:11" x14ac:dyDescent="0.2">
      <c r="C626" s="201" t="s">
        <v>21406</v>
      </c>
      <c r="D626" s="200">
        <v>44433</v>
      </c>
      <c r="E626" s="199" t="s">
        <v>21407</v>
      </c>
      <c r="I626" s="198">
        <v>13.54</v>
      </c>
      <c r="K626" s="198">
        <v>101028.92</v>
      </c>
    </row>
    <row r="627" spans="3:11" x14ac:dyDescent="0.2">
      <c r="C627" s="201" t="s">
        <v>21408</v>
      </c>
      <c r="D627" s="200">
        <v>44433</v>
      </c>
      <c r="E627" s="199" t="s">
        <v>21409</v>
      </c>
      <c r="I627" s="198">
        <v>1.68</v>
      </c>
      <c r="K627" s="198">
        <v>101030.6</v>
      </c>
    </row>
    <row r="628" spans="3:11" x14ac:dyDescent="0.2">
      <c r="C628" s="201" t="s">
        <v>21410</v>
      </c>
      <c r="D628" s="200">
        <v>44433</v>
      </c>
      <c r="E628" s="199" t="s">
        <v>21411</v>
      </c>
      <c r="I628" s="198">
        <v>1.71</v>
      </c>
      <c r="K628" s="198">
        <v>101032.31</v>
      </c>
    </row>
    <row r="629" spans="3:11" x14ac:dyDescent="0.2">
      <c r="C629" s="201" t="s">
        <v>21412</v>
      </c>
      <c r="D629" s="200">
        <v>44433</v>
      </c>
      <c r="E629" s="199" t="s">
        <v>21413</v>
      </c>
      <c r="I629" s="198">
        <v>5.6</v>
      </c>
      <c r="K629" s="198">
        <v>101037.91</v>
      </c>
    </row>
    <row r="630" spans="3:11" x14ac:dyDescent="0.2">
      <c r="C630" s="201" t="s">
        <v>21414</v>
      </c>
      <c r="D630" s="200">
        <v>44433</v>
      </c>
      <c r="E630" s="199" t="s">
        <v>21415</v>
      </c>
      <c r="I630" s="198">
        <v>12.34</v>
      </c>
      <c r="K630" s="198">
        <v>101050.25</v>
      </c>
    </row>
    <row r="631" spans="3:11" x14ac:dyDescent="0.2">
      <c r="C631" s="201" t="s">
        <v>1546</v>
      </c>
      <c r="D631" s="200">
        <v>44433</v>
      </c>
      <c r="E631" s="199" t="s">
        <v>21416</v>
      </c>
      <c r="J631" s="222">
        <v>10.76</v>
      </c>
      <c r="K631" s="198">
        <v>101039.49</v>
      </c>
    </row>
    <row r="632" spans="3:11" x14ac:dyDescent="0.2">
      <c r="C632" s="201" t="s">
        <v>11</v>
      </c>
      <c r="D632" s="200">
        <v>44433</v>
      </c>
      <c r="E632" s="199" t="s">
        <v>21417</v>
      </c>
      <c r="J632" s="222">
        <v>7.49</v>
      </c>
      <c r="K632" s="198">
        <v>101032</v>
      </c>
    </row>
    <row r="633" spans="3:11" x14ac:dyDescent="0.2">
      <c r="C633" s="201" t="s">
        <v>1550</v>
      </c>
      <c r="D633" s="200">
        <v>44433</v>
      </c>
      <c r="E633" s="199" t="s">
        <v>21418</v>
      </c>
      <c r="J633" s="222">
        <v>19.920000000000002</v>
      </c>
      <c r="K633" s="198">
        <v>101012.08</v>
      </c>
    </row>
    <row r="634" spans="3:11" x14ac:dyDescent="0.2">
      <c r="C634" s="201" t="s">
        <v>1554</v>
      </c>
      <c r="D634" s="200">
        <v>44433</v>
      </c>
      <c r="E634" s="199" t="s">
        <v>21419</v>
      </c>
      <c r="J634" s="222">
        <v>17.190000000000001</v>
      </c>
      <c r="K634" s="198">
        <v>100994.89</v>
      </c>
    </row>
    <row r="635" spans="3:11" x14ac:dyDescent="0.2">
      <c r="C635" s="201" t="s">
        <v>21420</v>
      </c>
      <c r="D635" s="200">
        <v>44434</v>
      </c>
      <c r="E635" s="199" t="s">
        <v>21421</v>
      </c>
      <c r="I635" s="198">
        <v>3.36</v>
      </c>
      <c r="K635" s="198">
        <v>100998.25</v>
      </c>
    </row>
    <row r="636" spans="3:11" x14ac:dyDescent="0.2">
      <c r="C636" s="201" t="s">
        <v>21422</v>
      </c>
      <c r="D636" s="200">
        <v>44434</v>
      </c>
      <c r="E636" s="199" t="s">
        <v>21423</v>
      </c>
      <c r="I636" s="198">
        <v>25.14</v>
      </c>
      <c r="K636" s="198">
        <v>101023.39</v>
      </c>
    </row>
    <row r="637" spans="3:11" x14ac:dyDescent="0.2">
      <c r="C637" s="201" t="s">
        <v>21424</v>
      </c>
      <c r="D637" s="200">
        <v>44434</v>
      </c>
      <c r="E637" s="199" t="s">
        <v>21425</v>
      </c>
      <c r="I637" s="198">
        <v>11.18</v>
      </c>
      <c r="K637" s="198">
        <v>101034.57</v>
      </c>
    </row>
    <row r="638" spans="3:11" x14ac:dyDescent="0.2">
      <c r="C638" s="201" t="s">
        <v>21426</v>
      </c>
      <c r="D638" s="200">
        <v>44434</v>
      </c>
      <c r="E638" s="199" t="s">
        <v>21427</v>
      </c>
      <c r="I638" s="198">
        <v>1.97</v>
      </c>
      <c r="K638" s="198">
        <v>101036.54</v>
      </c>
    </row>
    <row r="639" spans="3:11" x14ac:dyDescent="0.2">
      <c r="C639" s="201" t="s">
        <v>21428</v>
      </c>
      <c r="D639" s="200">
        <v>44434</v>
      </c>
      <c r="E639" s="199" t="s">
        <v>21429</v>
      </c>
      <c r="I639" s="198">
        <v>6.37</v>
      </c>
      <c r="K639" s="198">
        <v>101042.91</v>
      </c>
    </row>
    <row r="640" spans="3:11" x14ac:dyDescent="0.2">
      <c r="C640" s="201" t="s">
        <v>21430</v>
      </c>
      <c r="D640" s="200">
        <v>44434</v>
      </c>
      <c r="E640" s="199" t="s">
        <v>21431</v>
      </c>
      <c r="I640" s="198">
        <v>3.38</v>
      </c>
      <c r="K640" s="198">
        <v>101046.29</v>
      </c>
    </row>
    <row r="641" spans="3:11" x14ac:dyDescent="0.2">
      <c r="C641" s="201" t="s">
        <v>21432</v>
      </c>
      <c r="D641" s="200">
        <v>44434</v>
      </c>
      <c r="E641" s="199" t="s">
        <v>21433</v>
      </c>
      <c r="I641" s="198">
        <v>4.5999999999999996</v>
      </c>
      <c r="K641" s="198">
        <v>101050.89</v>
      </c>
    </row>
    <row r="642" spans="3:11" x14ac:dyDescent="0.2">
      <c r="C642" s="201" t="s">
        <v>21434</v>
      </c>
      <c r="D642" s="200">
        <v>44434</v>
      </c>
      <c r="E642" s="199" t="s">
        <v>21435</v>
      </c>
      <c r="I642" s="198">
        <v>3.28</v>
      </c>
      <c r="K642" s="198">
        <v>101054.17</v>
      </c>
    </row>
    <row r="643" spans="3:11" x14ac:dyDescent="0.2">
      <c r="C643" s="201" t="s">
        <v>21436</v>
      </c>
      <c r="D643" s="200">
        <v>44434</v>
      </c>
      <c r="E643" s="199" t="s">
        <v>21437</v>
      </c>
      <c r="I643" s="198">
        <v>19.010000000000002</v>
      </c>
      <c r="K643" s="198">
        <v>101073.18</v>
      </c>
    </row>
    <row r="644" spans="3:11" x14ac:dyDescent="0.2">
      <c r="C644" s="201" t="s">
        <v>21438</v>
      </c>
      <c r="D644" s="200">
        <v>44434</v>
      </c>
      <c r="E644" s="199" t="s">
        <v>21439</v>
      </c>
      <c r="I644" s="198">
        <v>2.34</v>
      </c>
      <c r="K644" s="198">
        <v>101075.52</v>
      </c>
    </row>
    <row r="645" spans="3:11" x14ac:dyDescent="0.2">
      <c r="C645" s="201" t="s">
        <v>21440</v>
      </c>
      <c r="D645" s="200">
        <v>44434</v>
      </c>
      <c r="E645" s="199" t="s">
        <v>21441</v>
      </c>
      <c r="I645" s="198">
        <v>1.95</v>
      </c>
      <c r="K645" s="198">
        <v>101077.47</v>
      </c>
    </row>
    <row r="646" spans="3:11" x14ac:dyDescent="0.2">
      <c r="C646" s="201" t="s">
        <v>21442</v>
      </c>
      <c r="D646" s="200">
        <v>44434</v>
      </c>
      <c r="E646" s="199" t="s">
        <v>21443</v>
      </c>
      <c r="I646" s="198">
        <v>3.36</v>
      </c>
      <c r="K646" s="198">
        <v>101080.83</v>
      </c>
    </row>
    <row r="647" spans="3:11" x14ac:dyDescent="0.2">
      <c r="C647" s="201" t="s">
        <v>21444</v>
      </c>
      <c r="D647" s="200">
        <v>44434</v>
      </c>
      <c r="E647" s="199" t="s">
        <v>21445</v>
      </c>
      <c r="I647" s="198">
        <v>4.37</v>
      </c>
      <c r="K647" s="198">
        <v>101085.2</v>
      </c>
    </row>
    <row r="648" spans="3:11" x14ac:dyDescent="0.2">
      <c r="C648" s="201" t="s">
        <v>21446</v>
      </c>
      <c r="D648" s="200">
        <v>44434</v>
      </c>
      <c r="E648" s="199" t="s">
        <v>21447</v>
      </c>
      <c r="I648" s="198">
        <v>7.19</v>
      </c>
      <c r="K648" s="198">
        <v>101092.39</v>
      </c>
    </row>
    <row r="649" spans="3:11" x14ac:dyDescent="0.2">
      <c r="C649" s="201" t="s">
        <v>21448</v>
      </c>
      <c r="D649" s="200">
        <v>44434</v>
      </c>
      <c r="E649" s="199" t="s">
        <v>21449</v>
      </c>
      <c r="I649" s="198">
        <v>8.3800000000000008</v>
      </c>
      <c r="K649" s="198">
        <v>101100.77</v>
      </c>
    </row>
    <row r="650" spans="3:11" x14ac:dyDescent="0.2">
      <c r="C650" s="201" t="s">
        <v>21450</v>
      </c>
      <c r="D650" s="200">
        <v>44434</v>
      </c>
      <c r="E650" s="199" t="s">
        <v>21451</v>
      </c>
      <c r="I650" s="198">
        <v>3.88</v>
      </c>
      <c r="K650" s="198">
        <v>101104.65</v>
      </c>
    </row>
    <row r="651" spans="3:11" x14ac:dyDescent="0.2">
      <c r="C651" s="201" t="s">
        <v>21452</v>
      </c>
      <c r="D651" s="200">
        <v>44434</v>
      </c>
      <c r="E651" s="199" t="s">
        <v>21453</v>
      </c>
      <c r="I651" s="198">
        <v>8.3800000000000008</v>
      </c>
      <c r="K651" s="198">
        <v>101113.03</v>
      </c>
    </row>
    <row r="652" spans="3:11" x14ac:dyDescent="0.2">
      <c r="C652" s="201" t="s">
        <v>21454</v>
      </c>
      <c r="D652" s="200">
        <v>44434</v>
      </c>
      <c r="E652" s="199" t="s">
        <v>21455</v>
      </c>
      <c r="I652" s="198">
        <v>5.97</v>
      </c>
      <c r="K652" s="198">
        <v>101119</v>
      </c>
    </row>
    <row r="653" spans="3:11" x14ac:dyDescent="0.2">
      <c r="C653" s="201" t="s">
        <v>21456</v>
      </c>
      <c r="D653" s="200">
        <v>44434</v>
      </c>
      <c r="E653" s="199" t="s">
        <v>21457</v>
      </c>
      <c r="I653" s="198">
        <v>1.02</v>
      </c>
      <c r="K653" s="198">
        <v>101120.02</v>
      </c>
    </row>
    <row r="654" spans="3:11" x14ac:dyDescent="0.2">
      <c r="C654" s="201" t="s">
        <v>21458</v>
      </c>
      <c r="D654" s="200">
        <v>44434</v>
      </c>
      <c r="E654" s="199" t="s">
        <v>21459</v>
      </c>
      <c r="I654" s="198">
        <v>8.3800000000000008</v>
      </c>
      <c r="K654" s="198">
        <v>101128.4</v>
      </c>
    </row>
    <row r="655" spans="3:11" x14ac:dyDescent="0.2">
      <c r="C655" s="201" t="s">
        <v>21460</v>
      </c>
      <c r="D655" s="200">
        <v>44434</v>
      </c>
      <c r="E655" s="199" t="s">
        <v>21461</v>
      </c>
      <c r="I655" s="198">
        <v>1.9</v>
      </c>
      <c r="K655" s="198">
        <v>101130.3</v>
      </c>
    </row>
    <row r="656" spans="3:11" x14ac:dyDescent="0.2">
      <c r="C656" s="201" t="s">
        <v>21462</v>
      </c>
      <c r="D656" s="200">
        <v>44434</v>
      </c>
      <c r="E656" s="199" t="s">
        <v>21463</v>
      </c>
      <c r="I656" s="198">
        <v>1.68</v>
      </c>
      <c r="K656" s="198">
        <v>101131.98</v>
      </c>
    </row>
    <row r="657" spans="3:11" x14ac:dyDescent="0.2">
      <c r="C657" s="201" t="s">
        <v>21464</v>
      </c>
      <c r="D657" s="200">
        <v>44435</v>
      </c>
      <c r="E657" s="199" t="s">
        <v>21465</v>
      </c>
      <c r="I657" s="198">
        <v>3.29</v>
      </c>
      <c r="K657" s="198">
        <v>101135.27</v>
      </c>
    </row>
    <row r="658" spans="3:11" x14ac:dyDescent="0.2">
      <c r="C658" s="201" t="s">
        <v>21466</v>
      </c>
      <c r="D658" s="200">
        <v>44435</v>
      </c>
      <c r="E658" s="199" t="s">
        <v>21467</v>
      </c>
      <c r="I658" s="198">
        <v>4.0599999999999996</v>
      </c>
      <c r="K658" s="198">
        <v>101139.33</v>
      </c>
    </row>
    <row r="659" spans="3:11" x14ac:dyDescent="0.2">
      <c r="C659" s="201" t="s">
        <v>21468</v>
      </c>
      <c r="D659" s="200">
        <v>44435</v>
      </c>
      <c r="E659" s="199" t="s">
        <v>21469</v>
      </c>
      <c r="I659" s="198">
        <v>1.79</v>
      </c>
      <c r="K659" s="198">
        <v>101141.12</v>
      </c>
    </row>
    <row r="660" spans="3:11" x14ac:dyDescent="0.2">
      <c r="C660" s="201" t="s">
        <v>21470</v>
      </c>
      <c r="D660" s="200">
        <v>44435</v>
      </c>
      <c r="E660" s="199" t="s">
        <v>21471</v>
      </c>
      <c r="I660" s="198">
        <v>12.3</v>
      </c>
      <c r="K660" s="198">
        <v>101153.42</v>
      </c>
    </row>
    <row r="661" spans="3:11" x14ac:dyDescent="0.2">
      <c r="C661" s="201" t="s">
        <v>19278</v>
      </c>
      <c r="D661" s="200">
        <v>44435</v>
      </c>
      <c r="E661" s="199" t="s">
        <v>19277</v>
      </c>
      <c r="I661" s="198">
        <v>2.67</v>
      </c>
      <c r="K661" s="198">
        <v>101156.09</v>
      </c>
    </row>
    <row r="662" spans="3:11" x14ac:dyDescent="0.2">
      <c r="C662" s="201" t="s">
        <v>19276</v>
      </c>
      <c r="D662" s="200">
        <v>44435</v>
      </c>
      <c r="E662" s="199" t="s">
        <v>19275</v>
      </c>
      <c r="I662" s="198">
        <v>1.94</v>
      </c>
      <c r="K662" s="198">
        <v>101158.03</v>
      </c>
    </row>
    <row r="663" spans="3:11" x14ac:dyDescent="0.2">
      <c r="C663" s="201" t="s">
        <v>19274</v>
      </c>
      <c r="D663" s="200">
        <v>44435</v>
      </c>
      <c r="E663" s="199" t="s">
        <v>19273</v>
      </c>
      <c r="I663" s="198">
        <v>6.94</v>
      </c>
      <c r="K663" s="198">
        <v>101164.97</v>
      </c>
    </row>
    <row r="664" spans="3:11" x14ac:dyDescent="0.2">
      <c r="C664" s="201" t="s">
        <v>19272</v>
      </c>
      <c r="D664" s="200">
        <v>44435</v>
      </c>
      <c r="E664" s="199" t="s">
        <v>19271</v>
      </c>
      <c r="I664" s="198">
        <v>16.59</v>
      </c>
      <c r="K664" s="198">
        <v>101181.56</v>
      </c>
    </row>
    <row r="665" spans="3:11" x14ac:dyDescent="0.2">
      <c r="C665" s="201" t="s">
        <v>19270</v>
      </c>
      <c r="D665" s="200">
        <v>44435</v>
      </c>
      <c r="E665" s="199" t="s">
        <v>19269</v>
      </c>
      <c r="I665" s="198">
        <v>0.16</v>
      </c>
      <c r="K665" s="198">
        <v>101181.72</v>
      </c>
    </row>
    <row r="666" spans="3:11" x14ac:dyDescent="0.2">
      <c r="C666" s="201" t="s">
        <v>19268</v>
      </c>
      <c r="D666" s="200">
        <v>44435</v>
      </c>
      <c r="E666" s="199" t="s">
        <v>19267</v>
      </c>
      <c r="I666" s="198">
        <v>11.89</v>
      </c>
      <c r="K666" s="198">
        <v>101193.61</v>
      </c>
    </row>
    <row r="667" spans="3:11" x14ac:dyDescent="0.2">
      <c r="C667" s="201" t="s">
        <v>19266</v>
      </c>
      <c r="D667" s="200">
        <v>44435</v>
      </c>
      <c r="E667" s="199" t="s">
        <v>19265</v>
      </c>
      <c r="I667" s="198">
        <v>1.94</v>
      </c>
      <c r="K667" s="198">
        <v>101195.55</v>
      </c>
    </row>
    <row r="668" spans="3:11" x14ac:dyDescent="0.2">
      <c r="C668" s="201" t="s">
        <v>19264</v>
      </c>
      <c r="D668" s="200">
        <v>44435</v>
      </c>
      <c r="E668" s="199" t="s">
        <v>19263</v>
      </c>
      <c r="I668" s="198">
        <v>3.36</v>
      </c>
      <c r="K668" s="198">
        <v>101198.91</v>
      </c>
    </row>
    <row r="669" spans="3:11" x14ac:dyDescent="0.2">
      <c r="C669" s="201" t="s">
        <v>19262</v>
      </c>
      <c r="D669" s="200">
        <v>44435</v>
      </c>
      <c r="E669" s="199" t="s">
        <v>19261</v>
      </c>
      <c r="I669" s="198">
        <v>3.23</v>
      </c>
      <c r="K669" s="198">
        <v>101202.14</v>
      </c>
    </row>
    <row r="670" spans="3:11" x14ac:dyDescent="0.2">
      <c r="C670" s="201" t="s">
        <v>19260</v>
      </c>
      <c r="D670" s="200">
        <v>44435</v>
      </c>
      <c r="E670" s="199" t="s">
        <v>19259</v>
      </c>
      <c r="I670" s="198">
        <v>24.61</v>
      </c>
      <c r="K670" s="198">
        <v>101226.75</v>
      </c>
    </row>
    <row r="671" spans="3:11" x14ac:dyDescent="0.2">
      <c r="C671" s="201" t="s">
        <v>19258</v>
      </c>
      <c r="D671" s="200">
        <v>44435</v>
      </c>
      <c r="E671" s="199" t="s">
        <v>19257</v>
      </c>
      <c r="I671" s="198">
        <v>3.42</v>
      </c>
      <c r="K671" s="198">
        <v>101230.17</v>
      </c>
    </row>
    <row r="672" spans="3:11" x14ac:dyDescent="0.2">
      <c r="C672" s="201" t="s">
        <v>19256</v>
      </c>
      <c r="D672" s="200">
        <v>44435</v>
      </c>
      <c r="E672" s="199" t="s">
        <v>19255</v>
      </c>
      <c r="I672" s="198">
        <v>2.09</v>
      </c>
      <c r="K672" s="198">
        <v>101232.26</v>
      </c>
    </row>
    <row r="673" spans="3:11" x14ac:dyDescent="0.2">
      <c r="C673" s="201" t="s">
        <v>19254</v>
      </c>
      <c r="D673" s="200">
        <v>44435</v>
      </c>
      <c r="E673" s="199" t="s">
        <v>19253</v>
      </c>
      <c r="I673" s="198">
        <v>6.51</v>
      </c>
      <c r="K673" s="198">
        <v>101238.77</v>
      </c>
    </row>
    <row r="674" spans="3:11" x14ac:dyDescent="0.2">
      <c r="C674" s="201" t="s">
        <v>19252</v>
      </c>
      <c r="D674" s="200">
        <v>44435</v>
      </c>
      <c r="E674" s="199" t="s">
        <v>19251</v>
      </c>
      <c r="I674" s="198">
        <v>9.9700000000000006</v>
      </c>
      <c r="K674" s="198">
        <v>101248.74</v>
      </c>
    </row>
    <row r="675" spans="3:11" x14ac:dyDescent="0.2">
      <c r="C675" s="201" t="s">
        <v>19250</v>
      </c>
      <c r="D675" s="200">
        <v>44435</v>
      </c>
      <c r="E675" s="199" t="s">
        <v>19249</v>
      </c>
      <c r="I675" s="198">
        <v>2.13</v>
      </c>
      <c r="K675" s="198">
        <v>101250.87</v>
      </c>
    </row>
    <row r="676" spans="3:11" x14ac:dyDescent="0.2">
      <c r="C676" s="201" t="s">
        <v>19248</v>
      </c>
      <c r="D676" s="200">
        <v>44435</v>
      </c>
      <c r="E676" s="199" t="s">
        <v>19247</v>
      </c>
      <c r="I676" s="198">
        <v>8.3800000000000008</v>
      </c>
      <c r="K676" s="198">
        <v>101259.25</v>
      </c>
    </row>
    <row r="677" spans="3:11" x14ac:dyDescent="0.2">
      <c r="C677" s="201" t="s">
        <v>19246</v>
      </c>
      <c r="D677" s="200">
        <v>44435</v>
      </c>
      <c r="E677" s="199" t="s">
        <v>19245</v>
      </c>
      <c r="I677" s="198">
        <v>1.7</v>
      </c>
      <c r="K677" s="198">
        <v>101260.95</v>
      </c>
    </row>
    <row r="678" spans="3:11" x14ac:dyDescent="0.2">
      <c r="C678" s="201" t="s">
        <v>21472</v>
      </c>
      <c r="D678" s="200">
        <v>44435</v>
      </c>
      <c r="E678" s="199" t="s">
        <v>21473</v>
      </c>
      <c r="I678" s="198">
        <v>13.82</v>
      </c>
      <c r="K678" s="198">
        <v>101274.77</v>
      </c>
    </row>
    <row r="679" spans="3:11" x14ac:dyDescent="0.2">
      <c r="C679" s="201" t="s">
        <v>21474</v>
      </c>
      <c r="D679" s="200">
        <v>44435</v>
      </c>
      <c r="E679" s="199" t="s">
        <v>21475</v>
      </c>
      <c r="I679" s="198">
        <v>262.16000000000003</v>
      </c>
      <c r="K679" s="198">
        <v>101536.93</v>
      </c>
    </row>
    <row r="680" spans="3:11" x14ac:dyDescent="0.2">
      <c r="C680" s="201" t="s">
        <v>19244</v>
      </c>
      <c r="D680" s="200">
        <v>44436</v>
      </c>
      <c r="E680" s="199" t="s">
        <v>19243</v>
      </c>
      <c r="I680" s="198">
        <v>1.68</v>
      </c>
      <c r="K680" s="198">
        <v>101538.61</v>
      </c>
    </row>
    <row r="681" spans="3:11" x14ac:dyDescent="0.2">
      <c r="C681" s="201" t="s">
        <v>19242</v>
      </c>
      <c r="D681" s="200">
        <v>44436</v>
      </c>
      <c r="E681" s="199" t="s">
        <v>19241</v>
      </c>
      <c r="I681" s="198">
        <v>6.07</v>
      </c>
      <c r="K681" s="198">
        <v>101544.68</v>
      </c>
    </row>
    <row r="682" spans="3:11" x14ac:dyDescent="0.2">
      <c r="C682" s="201" t="s">
        <v>19240</v>
      </c>
      <c r="D682" s="200">
        <v>44436</v>
      </c>
      <c r="E682" s="199" t="s">
        <v>19239</v>
      </c>
      <c r="I682" s="198">
        <v>2.4500000000000002</v>
      </c>
      <c r="K682" s="198">
        <v>101547.13</v>
      </c>
    </row>
    <row r="683" spans="3:11" x14ac:dyDescent="0.2">
      <c r="C683" s="201" t="s">
        <v>19238</v>
      </c>
      <c r="D683" s="200">
        <v>44436</v>
      </c>
      <c r="E683" s="199" t="s">
        <v>19237</v>
      </c>
      <c r="I683" s="198">
        <v>1.94</v>
      </c>
      <c r="K683" s="198">
        <v>101549.07</v>
      </c>
    </row>
    <row r="684" spans="3:11" x14ac:dyDescent="0.2">
      <c r="C684" s="201" t="s">
        <v>19236</v>
      </c>
      <c r="D684" s="200">
        <v>44436</v>
      </c>
      <c r="E684" s="199" t="s">
        <v>19235</v>
      </c>
      <c r="I684" s="198">
        <v>5.0599999999999996</v>
      </c>
      <c r="K684" s="198">
        <v>101554.13</v>
      </c>
    </row>
    <row r="685" spans="3:11" x14ac:dyDescent="0.2">
      <c r="C685" s="201" t="s">
        <v>19234</v>
      </c>
      <c r="D685" s="200">
        <v>44436</v>
      </c>
      <c r="E685" s="199" t="s">
        <v>19233</v>
      </c>
      <c r="I685" s="198">
        <v>1.85</v>
      </c>
      <c r="K685" s="198">
        <v>101555.98</v>
      </c>
    </row>
    <row r="686" spans="3:11" x14ac:dyDescent="0.2">
      <c r="C686" s="201" t="s">
        <v>19232</v>
      </c>
      <c r="D686" s="200">
        <v>44436</v>
      </c>
      <c r="E686" s="199" t="s">
        <v>19231</v>
      </c>
      <c r="I686" s="198">
        <v>4.04</v>
      </c>
      <c r="K686" s="198">
        <v>101560.02</v>
      </c>
    </row>
    <row r="687" spans="3:11" x14ac:dyDescent="0.2">
      <c r="C687" s="201" t="s">
        <v>19230</v>
      </c>
      <c r="D687" s="200">
        <v>44436</v>
      </c>
      <c r="E687" s="199" t="s">
        <v>19229</v>
      </c>
      <c r="I687" s="198">
        <v>0.84</v>
      </c>
      <c r="K687" s="198">
        <v>101560.86</v>
      </c>
    </row>
    <row r="688" spans="3:11" x14ac:dyDescent="0.2">
      <c r="C688" s="201" t="s">
        <v>19228</v>
      </c>
      <c r="D688" s="200">
        <v>44436</v>
      </c>
      <c r="E688" s="199" t="s">
        <v>19227</v>
      </c>
      <c r="I688" s="198">
        <v>1.68</v>
      </c>
      <c r="K688" s="198">
        <v>101562.54</v>
      </c>
    </row>
    <row r="689" spans="3:11" x14ac:dyDescent="0.2">
      <c r="C689" s="201" t="s">
        <v>19226</v>
      </c>
      <c r="D689" s="200">
        <v>44437</v>
      </c>
      <c r="E689" s="199" t="s">
        <v>19225</v>
      </c>
      <c r="I689" s="198">
        <v>1.93</v>
      </c>
      <c r="K689" s="198">
        <v>101564.47</v>
      </c>
    </row>
    <row r="690" spans="3:11" x14ac:dyDescent="0.2">
      <c r="C690" s="201" t="s">
        <v>19224</v>
      </c>
      <c r="D690" s="200">
        <v>44437</v>
      </c>
      <c r="E690" s="199" t="s">
        <v>19223</v>
      </c>
      <c r="I690" s="198">
        <v>1.7</v>
      </c>
      <c r="K690" s="198">
        <v>101566.17</v>
      </c>
    </row>
    <row r="691" spans="3:11" x14ac:dyDescent="0.2">
      <c r="C691" s="201" t="s">
        <v>19222</v>
      </c>
      <c r="D691" s="200">
        <v>44437</v>
      </c>
      <c r="E691" s="199" t="s">
        <v>19221</v>
      </c>
      <c r="I691" s="198">
        <v>1.99</v>
      </c>
      <c r="K691" s="198">
        <v>101568.16</v>
      </c>
    </row>
    <row r="692" spans="3:11" x14ac:dyDescent="0.2">
      <c r="C692" s="201" t="s">
        <v>19220</v>
      </c>
      <c r="D692" s="200">
        <v>44437</v>
      </c>
      <c r="E692" s="199" t="s">
        <v>19219</v>
      </c>
      <c r="I692" s="198">
        <v>25.14</v>
      </c>
      <c r="K692" s="198">
        <v>101593.3</v>
      </c>
    </row>
    <row r="693" spans="3:11" x14ac:dyDescent="0.2">
      <c r="C693" s="201" t="s">
        <v>19218</v>
      </c>
      <c r="D693" s="200">
        <v>44437</v>
      </c>
      <c r="E693" s="199" t="s">
        <v>19217</v>
      </c>
      <c r="I693" s="198">
        <v>25.14</v>
      </c>
      <c r="K693" s="198">
        <v>101618.44</v>
      </c>
    </row>
    <row r="694" spans="3:11" x14ac:dyDescent="0.2">
      <c r="C694" s="201" t="s">
        <v>19216</v>
      </c>
      <c r="D694" s="200">
        <v>44437</v>
      </c>
      <c r="E694" s="199" t="s">
        <v>19215</v>
      </c>
      <c r="I694" s="198">
        <v>10.67</v>
      </c>
      <c r="K694" s="198">
        <v>101629.11</v>
      </c>
    </row>
    <row r="695" spans="3:11" x14ac:dyDescent="0.2">
      <c r="C695" s="201" t="s">
        <v>19214</v>
      </c>
      <c r="D695" s="200">
        <v>44437</v>
      </c>
      <c r="E695" s="199" t="s">
        <v>19213</v>
      </c>
      <c r="I695" s="198">
        <v>4.1900000000000004</v>
      </c>
      <c r="K695" s="198">
        <v>101633.3</v>
      </c>
    </row>
    <row r="696" spans="3:11" x14ac:dyDescent="0.2">
      <c r="C696" s="201" t="s">
        <v>19212</v>
      </c>
      <c r="D696" s="200">
        <v>44438</v>
      </c>
      <c r="E696" s="199" t="s">
        <v>19211</v>
      </c>
      <c r="I696" s="198">
        <v>4.95</v>
      </c>
      <c r="K696" s="198">
        <v>101638.25</v>
      </c>
    </row>
    <row r="697" spans="3:11" x14ac:dyDescent="0.2">
      <c r="C697" s="201" t="s">
        <v>21476</v>
      </c>
      <c r="D697" s="200">
        <v>44438</v>
      </c>
      <c r="E697" s="199" t="s">
        <v>21477</v>
      </c>
      <c r="I697" s="198">
        <v>50.41</v>
      </c>
      <c r="K697" s="198">
        <v>101688.66</v>
      </c>
    </row>
    <row r="698" spans="3:11" x14ac:dyDescent="0.2">
      <c r="C698" s="201" t="s">
        <v>21478</v>
      </c>
      <c r="D698" s="200">
        <v>44438</v>
      </c>
      <c r="E698" s="199" t="s">
        <v>21479</v>
      </c>
      <c r="I698" s="198">
        <v>1.68</v>
      </c>
      <c r="K698" s="198">
        <v>101690.34</v>
      </c>
    </row>
    <row r="699" spans="3:11" x14ac:dyDescent="0.2">
      <c r="C699" s="201" t="s">
        <v>21480</v>
      </c>
      <c r="D699" s="200">
        <v>44438</v>
      </c>
      <c r="E699" s="199" t="s">
        <v>21481</v>
      </c>
      <c r="I699" s="198">
        <v>4.76</v>
      </c>
      <c r="K699" s="198">
        <v>101695.1</v>
      </c>
    </row>
    <row r="700" spans="3:11" x14ac:dyDescent="0.2">
      <c r="C700" s="201" t="s">
        <v>19210</v>
      </c>
      <c r="D700" s="200">
        <v>44438</v>
      </c>
      <c r="E700" s="199" t="s">
        <v>19209</v>
      </c>
      <c r="I700" s="198">
        <v>3.56</v>
      </c>
      <c r="K700" s="198">
        <v>101698.66</v>
      </c>
    </row>
    <row r="701" spans="3:11" x14ac:dyDescent="0.2">
      <c r="C701" s="201" t="s">
        <v>19208</v>
      </c>
      <c r="D701" s="200">
        <v>44438</v>
      </c>
      <c r="E701" s="199" t="s">
        <v>19207</v>
      </c>
      <c r="I701" s="198">
        <v>6.14</v>
      </c>
      <c r="K701" s="198">
        <v>101704.8</v>
      </c>
    </row>
    <row r="702" spans="3:11" x14ac:dyDescent="0.2">
      <c r="C702" s="201" t="s">
        <v>19206</v>
      </c>
      <c r="D702" s="200">
        <v>44438</v>
      </c>
      <c r="E702" s="199" t="s">
        <v>19205</v>
      </c>
      <c r="I702" s="198">
        <v>2.44</v>
      </c>
      <c r="K702" s="198">
        <v>101707.24</v>
      </c>
    </row>
    <row r="703" spans="3:11" x14ac:dyDescent="0.2">
      <c r="C703" s="201" t="s">
        <v>19204</v>
      </c>
      <c r="D703" s="200">
        <v>44438</v>
      </c>
      <c r="E703" s="199" t="s">
        <v>19203</v>
      </c>
      <c r="I703" s="198">
        <v>3.36</v>
      </c>
      <c r="K703" s="198">
        <v>101710.6</v>
      </c>
    </row>
    <row r="704" spans="3:11" x14ac:dyDescent="0.2">
      <c r="C704" s="201" t="s">
        <v>19202</v>
      </c>
      <c r="D704" s="200">
        <v>44438</v>
      </c>
      <c r="E704" s="199" t="s">
        <v>19201</v>
      </c>
      <c r="I704" s="198">
        <v>4.37</v>
      </c>
      <c r="K704" s="198">
        <v>101714.97</v>
      </c>
    </row>
    <row r="705" spans="3:11" x14ac:dyDescent="0.2">
      <c r="C705" s="201" t="s">
        <v>19200</v>
      </c>
      <c r="D705" s="200">
        <v>44438</v>
      </c>
      <c r="E705" s="199" t="s">
        <v>19199</v>
      </c>
      <c r="I705" s="198">
        <v>4.83</v>
      </c>
      <c r="K705" s="198">
        <v>101719.8</v>
      </c>
    </row>
    <row r="706" spans="3:11" x14ac:dyDescent="0.2">
      <c r="C706" s="201" t="s">
        <v>19198</v>
      </c>
      <c r="D706" s="200">
        <v>44438</v>
      </c>
      <c r="E706" s="199" t="s">
        <v>19197</v>
      </c>
      <c r="I706" s="198">
        <v>0.22</v>
      </c>
      <c r="K706" s="198">
        <v>101720.02</v>
      </c>
    </row>
    <row r="707" spans="3:11" x14ac:dyDescent="0.2">
      <c r="C707" s="201" t="s">
        <v>19196</v>
      </c>
      <c r="D707" s="200">
        <v>44438</v>
      </c>
      <c r="E707" s="199" t="s">
        <v>19195</v>
      </c>
      <c r="I707" s="198">
        <v>5.04</v>
      </c>
      <c r="K707" s="198">
        <v>101725.06</v>
      </c>
    </row>
    <row r="708" spans="3:11" x14ac:dyDescent="0.2">
      <c r="C708" s="201" t="s">
        <v>19194</v>
      </c>
      <c r="D708" s="200">
        <v>44438</v>
      </c>
      <c r="E708" s="199" t="s">
        <v>19193</v>
      </c>
      <c r="I708" s="198">
        <v>3.36</v>
      </c>
      <c r="K708" s="198">
        <v>101728.42</v>
      </c>
    </row>
    <row r="709" spans="3:11" x14ac:dyDescent="0.2">
      <c r="C709" s="201" t="s">
        <v>19192</v>
      </c>
      <c r="D709" s="200">
        <v>44438</v>
      </c>
      <c r="E709" s="199" t="s">
        <v>19191</v>
      </c>
      <c r="I709" s="198">
        <v>7.53</v>
      </c>
      <c r="K709" s="198">
        <v>101735.95</v>
      </c>
    </row>
    <row r="710" spans="3:11" x14ac:dyDescent="0.2">
      <c r="C710" s="201" t="s">
        <v>19190</v>
      </c>
      <c r="D710" s="200">
        <v>44438</v>
      </c>
      <c r="E710" s="199" t="s">
        <v>19189</v>
      </c>
      <c r="I710" s="198">
        <v>8.3800000000000008</v>
      </c>
      <c r="K710" s="198">
        <v>101744.33</v>
      </c>
    </row>
    <row r="711" spans="3:11" x14ac:dyDescent="0.2">
      <c r="C711" s="201" t="s">
        <v>19188</v>
      </c>
      <c r="D711" s="200">
        <v>44438</v>
      </c>
      <c r="E711" s="199" t="s">
        <v>19187</v>
      </c>
      <c r="I711" s="198">
        <v>4.5199999999999996</v>
      </c>
      <c r="K711" s="198">
        <v>101748.85</v>
      </c>
    </row>
    <row r="712" spans="3:11" x14ac:dyDescent="0.2">
      <c r="C712" s="201" t="s">
        <v>19186</v>
      </c>
      <c r="D712" s="200">
        <v>44438</v>
      </c>
      <c r="E712" s="199" t="s">
        <v>19185</v>
      </c>
      <c r="I712" s="198">
        <v>1.68</v>
      </c>
      <c r="K712" s="198">
        <v>101750.53</v>
      </c>
    </row>
    <row r="713" spans="3:11" x14ac:dyDescent="0.2">
      <c r="C713" s="201" t="s">
        <v>19184</v>
      </c>
      <c r="D713" s="200">
        <v>44438</v>
      </c>
      <c r="E713" s="199" t="s">
        <v>19183</v>
      </c>
      <c r="I713" s="198">
        <v>3.36</v>
      </c>
      <c r="K713" s="198">
        <v>101753.89</v>
      </c>
    </row>
    <row r="714" spans="3:11" x14ac:dyDescent="0.2">
      <c r="C714" s="201" t="s">
        <v>19182</v>
      </c>
      <c r="D714" s="200">
        <v>44438</v>
      </c>
      <c r="E714" s="199" t="s">
        <v>19181</v>
      </c>
      <c r="I714" s="198">
        <v>6.49</v>
      </c>
      <c r="K714" s="198">
        <v>101760.38</v>
      </c>
    </row>
    <row r="715" spans="3:11" x14ac:dyDescent="0.2">
      <c r="C715" s="201" t="s">
        <v>19180</v>
      </c>
      <c r="D715" s="200">
        <v>44438</v>
      </c>
      <c r="E715" s="199" t="s">
        <v>19179</v>
      </c>
      <c r="I715" s="198">
        <v>14.32</v>
      </c>
      <c r="K715" s="198">
        <v>101774.7</v>
      </c>
    </row>
    <row r="716" spans="3:11" x14ac:dyDescent="0.2">
      <c r="C716" s="201" t="s">
        <v>19178</v>
      </c>
      <c r="D716" s="200">
        <v>44438</v>
      </c>
      <c r="E716" s="199" t="s">
        <v>19177</v>
      </c>
      <c r="I716" s="198">
        <v>1.92</v>
      </c>
      <c r="K716" s="198">
        <v>101776.62</v>
      </c>
    </row>
    <row r="717" spans="3:11" x14ac:dyDescent="0.2">
      <c r="C717" s="201" t="s">
        <v>19176</v>
      </c>
      <c r="D717" s="200">
        <v>44438</v>
      </c>
      <c r="E717" s="199" t="s">
        <v>19175</v>
      </c>
      <c r="I717" s="198">
        <v>5.99</v>
      </c>
      <c r="K717" s="198">
        <v>101782.61</v>
      </c>
    </row>
    <row r="718" spans="3:11" x14ac:dyDescent="0.2">
      <c r="C718" s="201" t="s">
        <v>19174</v>
      </c>
      <c r="D718" s="200">
        <v>44438</v>
      </c>
      <c r="E718" s="199" t="s">
        <v>19173</v>
      </c>
      <c r="I718" s="198">
        <v>3.36</v>
      </c>
      <c r="K718" s="198">
        <v>101785.97</v>
      </c>
    </row>
    <row r="719" spans="3:11" x14ac:dyDescent="0.2">
      <c r="C719" s="201" t="s">
        <v>19172</v>
      </c>
      <c r="D719" s="200">
        <v>44438</v>
      </c>
      <c r="E719" s="199" t="s">
        <v>19171</v>
      </c>
      <c r="I719" s="198">
        <v>5.16</v>
      </c>
      <c r="K719" s="198">
        <v>101791.13</v>
      </c>
    </row>
    <row r="720" spans="3:11" x14ac:dyDescent="0.2">
      <c r="C720" s="201" t="s">
        <v>19170</v>
      </c>
      <c r="D720" s="200">
        <v>44438</v>
      </c>
      <c r="E720" s="199" t="s">
        <v>19169</v>
      </c>
      <c r="I720" s="198">
        <v>11.62</v>
      </c>
      <c r="K720" s="198">
        <v>101802.75</v>
      </c>
    </row>
    <row r="721" spans="3:11" x14ac:dyDescent="0.2">
      <c r="C721" s="201" t="s">
        <v>19168</v>
      </c>
      <c r="D721" s="200">
        <v>44438</v>
      </c>
      <c r="E721" s="199" t="s">
        <v>19167</v>
      </c>
      <c r="I721" s="198">
        <v>5.09</v>
      </c>
      <c r="K721" s="198">
        <v>101807.84</v>
      </c>
    </row>
    <row r="722" spans="3:11" x14ac:dyDescent="0.2">
      <c r="C722" s="201" t="s">
        <v>19166</v>
      </c>
      <c r="D722" s="200">
        <v>44438</v>
      </c>
      <c r="E722" s="199" t="s">
        <v>19165</v>
      </c>
      <c r="I722" s="198">
        <v>15.11</v>
      </c>
      <c r="K722" s="198">
        <v>101822.95</v>
      </c>
    </row>
    <row r="723" spans="3:11" x14ac:dyDescent="0.2">
      <c r="C723" s="201" t="s">
        <v>19164</v>
      </c>
      <c r="D723" s="200">
        <v>44438</v>
      </c>
      <c r="E723" s="199" t="s">
        <v>19163</v>
      </c>
      <c r="I723" s="198">
        <v>3.58</v>
      </c>
      <c r="K723" s="198">
        <v>101826.53</v>
      </c>
    </row>
    <row r="724" spans="3:11" x14ac:dyDescent="0.2">
      <c r="C724" s="201" t="s">
        <v>21482</v>
      </c>
      <c r="D724" s="200">
        <v>44438</v>
      </c>
      <c r="E724" s="199" t="s">
        <v>21483</v>
      </c>
      <c r="I724" s="198">
        <v>5.49</v>
      </c>
      <c r="K724" s="198">
        <v>101832.02</v>
      </c>
    </row>
    <row r="725" spans="3:11" x14ac:dyDescent="0.2">
      <c r="C725" s="201" t="s">
        <v>21484</v>
      </c>
      <c r="D725" s="200">
        <v>44438</v>
      </c>
      <c r="E725" s="199" t="s">
        <v>21485</v>
      </c>
      <c r="I725" s="198">
        <v>8.3800000000000008</v>
      </c>
      <c r="K725" s="198">
        <v>101840.4</v>
      </c>
    </row>
    <row r="726" spans="3:11" x14ac:dyDescent="0.2">
      <c r="C726" s="201" t="s">
        <v>21486</v>
      </c>
      <c r="D726" s="200">
        <v>44438</v>
      </c>
      <c r="E726" s="199" t="s">
        <v>21487</v>
      </c>
      <c r="I726" s="198">
        <v>2.4</v>
      </c>
      <c r="K726" s="198">
        <v>101842.8</v>
      </c>
    </row>
    <row r="727" spans="3:11" x14ac:dyDescent="0.2">
      <c r="C727" s="201" t="s">
        <v>21488</v>
      </c>
      <c r="D727" s="200">
        <v>44438</v>
      </c>
      <c r="E727" s="199" t="s">
        <v>21489</v>
      </c>
      <c r="I727" s="198">
        <v>0.03</v>
      </c>
      <c r="K727" s="198">
        <v>101842.83</v>
      </c>
    </row>
    <row r="728" spans="3:11" x14ac:dyDescent="0.2">
      <c r="C728" s="201" t="s">
        <v>21490</v>
      </c>
      <c r="D728" s="200">
        <v>44438</v>
      </c>
      <c r="E728" s="199" t="s">
        <v>21491</v>
      </c>
      <c r="I728" s="198">
        <v>1.94</v>
      </c>
      <c r="K728" s="198">
        <v>101844.77</v>
      </c>
    </row>
    <row r="729" spans="3:11" x14ac:dyDescent="0.2">
      <c r="C729" s="201" t="s">
        <v>21492</v>
      </c>
      <c r="D729" s="200">
        <v>44438</v>
      </c>
      <c r="E729" s="199" t="s">
        <v>21493</v>
      </c>
      <c r="I729" s="198">
        <v>4.03</v>
      </c>
      <c r="K729" s="198">
        <v>101848.8</v>
      </c>
    </row>
    <row r="730" spans="3:11" x14ac:dyDescent="0.2">
      <c r="C730" s="201" t="s">
        <v>21494</v>
      </c>
      <c r="D730" s="200">
        <v>44438</v>
      </c>
      <c r="E730" s="199" t="s">
        <v>21495</v>
      </c>
      <c r="I730" s="198">
        <v>4.32</v>
      </c>
      <c r="K730" s="198">
        <v>101853.12</v>
      </c>
    </row>
    <row r="731" spans="3:11" x14ac:dyDescent="0.2">
      <c r="C731" s="201" t="s">
        <v>21496</v>
      </c>
      <c r="D731" s="200">
        <v>44438</v>
      </c>
      <c r="E731" s="199" t="s">
        <v>21497</v>
      </c>
      <c r="I731" s="198">
        <v>5.66</v>
      </c>
      <c r="K731" s="198">
        <v>101858.78</v>
      </c>
    </row>
    <row r="732" spans="3:11" x14ac:dyDescent="0.2">
      <c r="C732" s="201" t="s">
        <v>1561</v>
      </c>
      <c r="D732" s="200">
        <v>44438</v>
      </c>
      <c r="E732" s="199" t="s">
        <v>21498</v>
      </c>
      <c r="J732" s="222">
        <v>600</v>
      </c>
      <c r="K732" s="198">
        <v>101258.78</v>
      </c>
    </row>
    <row r="733" spans="3:11" x14ac:dyDescent="0.2">
      <c r="C733" s="201" t="s">
        <v>1560</v>
      </c>
      <c r="D733" s="200">
        <v>44438</v>
      </c>
      <c r="E733" s="199" t="s">
        <v>21499</v>
      </c>
      <c r="J733" s="222">
        <v>3427.67</v>
      </c>
      <c r="K733" s="198">
        <v>97831.11</v>
      </c>
    </row>
    <row r="734" spans="3:11" x14ac:dyDescent="0.2">
      <c r="C734" s="201" t="s">
        <v>7483</v>
      </c>
      <c r="D734" s="200">
        <v>44438</v>
      </c>
      <c r="E734" s="199" t="s">
        <v>21500</v>
      </c>
      <c r="J734" s="222">
        <v>1607.47</v>
      </c>
      <c r="K734" s="198">
        <v>96223.64</v>
      </c>
    </row>
    <row r="735" spans="3:11" x14ac:dyDescent="0.2">
      <c r="C735" s="201" t="s">
        <v>19162</v>
      </c>
      <c r="D735" s="200">
        <v>44439</v>
      </c>
      <c r="E735" s="199" t="s">
        <v>19161</v>
      </c>
      <c r="I735" s="198">
        <v>6.94</v>
      </c>
      <c r="K735" s="198">
        <v>96230.58</v>
      </c>
    </row>
    <row r="736" spans="3:11" x14ac:dyDescent="0.2">
      <c r="C736" s="201" t="s">
        <v>21501</v>
      </c>
      <c r="D736" s="200">
        <v>44439</v>
      </c>
      <c r="E736" s="199" t="s">
        <v>21502</v>
      </c>
      <c r="J736" s="222">
        <v>108.2</v>
      </c>
      <c r="K736" s="198">
        <v>96122.38</v>
      </c>
    </row>
    <row r="737" spans="3:11" x14ac:dyDescent="0.2">
      <c r="C737" s="201" t="s">
        <v>21503</v>
      </c>
      <c r="D737" s="200">
        <v>44439</v>
      </c>
      <c r="E737" s="199" t="s">
        <v>21504</v>
      </c>
      <c r="I737" s="198">
        <v>6.87</v>
      </c>
      <c r="K737" s="198">
        <v>96129.25</v>
      </c>
    </row>
    <row r="738" spans="3:11" x14ac:dyDescent="0.2">
      <c r="C738" s="201" t="s">
        <v>21505</v>
      </c>
      <c r="D738" s="200">
        <v>44439</v>
      </c>
      <c r="E738" s="199" t="s">
        <v>21506</v>
      </c>
      <c r="I738" s="198">
        <v>3.48</v>
      </c>
      <c r="K738" s="198">
        <v>96132.73</v>
      </c>
    </row>
    <row r="739" spans="3:11" x14ac:dyDescent="0.2">
      <c r="C739" s="201" t="s">
        <v>21507</v>
      </c>
      <c r="D739" s="200">
        <v>44439</v>
      </c>
      <c r="E739" s="199" t="s">
        <v>21508</v>
      </c>
      <c r="I739" s="198">
        <v>1.48</v>
      </c>
      <c r="K739" s="198">
        <v>96134.21</v>
      </c>
    </row>
    <row r="740" spans="3:11" x14ac:dyDescent="0.2">
      <c r="C740" s="201" t="s">
        <v>21509</v>
      </c>
      <c r="D740" s="200">
        <v>44439</v>
      </c>
      <c r="E740" s="199" t="s">
        <v>21510</v>
      </c>
      <c r="I740" s="198">
        <v>7.57</v>
      </c>
      <c r="K740" s="198">
        <v>96141.78</v>
      </c>
    </row>
    <row r="741" spans="3:11" x14ac:dyDescent="0.2">
      <c r="C741" s="201" t="s">
        <v>21511</v>
      </c>
      <c r="D741" s="200">
        <v>44439</v>
      </c>
      <c r="E741" s="199" t="s">
        <v>21512</v>
      </c>
      <c r="I741" s="198">
        <v>2.27</v>
      </c>
      <c r="K741" s="198">
        <v>96144.05</v>
      </c>
    </row>
    <row r="742" spans="3:11" x14ac:dyDescent="0.2">
      <c r="C742" s="201" t="s">
        <v>19160</v>
      </c>
      <c r="D742" s="200">
        <v>44439</v>
      </c>
      <c r="E742" s="199" t="s">
        <v>19159</v>
      </c>
      <c r="I742" s="198">
        <v>2.39</v>
      </c>
      <c r="K742" s="198">
        <v>96146.44</v>
      </c>
    </row>
    <row r="743" spans="3:11" x14ac:dyDescent="0.2">
      <c r="C743" s="201" t="s">
        <v>19158</v>
      </c>
      <c r="D743" s="200">
        <v>44439</v>
      </c>
      <c r="E743" s="199" t="s">
        <v>19157</v>
      </c>
      <c r="I743" s="198">
        <v>0.27</v>
      </c>
      <c r="K743" s="198">
        <v>96146.71</v>
      </c>
    </row>
    <row r="744" spans="3:11" x14ac:dyDescent="0.2">
      <c r="C744" s="201" t="s">
        <v>19156</v>
      </c>
      <c r="D744" s="200">
        <v>44439</v>
      </c>
      <c r="E744" s="199" t="s">
        <v>19155</v>
      </c>
      <c r="I744" s="198">
        <v>2.95</v>
      </c>
      <c r="K744" s="198">
        <v>96149.66</v>
      </c>
    </row>
    <row r="745" spans="3:11" x14ac:dyDescent="0.2">
      <c r="C745" s="201" t="s">
        <v>19154</v>
      </c>
      <c r="D745" s="200">
        <v>44439</v>
      </c>
      <c r="E745" s="199" t="s">
        <v>19153</v>
      </c>
      <c r="I745" s="198">
        <v>6.14</v>
      </c>
      <c r="K745" s="198">
        <v>96155.8</v>
      </c>
    </row>
    <row r="746" spans="3:11" x14ac:dyDescent="0.2">
      <c r="C746" s="201" t="s">
        <v>19152</v>
      </c>
      <c r="D746" s="200">
        <v>44439</v>
      </c>
      <c r="E746" s="199" t="s">
        <v>19151</v>
      </c>
      <c r="I746" s="198">
        <v>1.68</v>
      </c>
      <c r="K746" s="198">
        <v>96157.48</v>
      </c>
    </row>
    <row r="747" spans="3:11" x14ac:dyDescent="0.2">
      <c r="C747" s="201" t="s">
        <v>19150</v>
      </c>
      <c r="D747" s="200">
        <v>44439</v>
      </c>
      <c r="E747" s="199" t="s">
        <v>19149</v>
      </c>
      <c r="I747" s="198">
        <v>3.49</v>
      </c>
      <c r="K747" s="198">
        <v>96160.97</v>
      </c>
    </row>
    <row r="748" spans="3:11" x14ac:dyDescent="0.2">
      <c r="C748" s="201" t="s">
        <v>19148</v>
      </c>
      <c r="D748" s="200">
        <v>44439</v>
      </c>
      <c r="E748" s="199" t="s">
        <v>19147</v>
      </c>
      <c r="I748" s="198">
        <v>8.7200000000000006</v>
      </c>
      <c r="K748" s="198">
        <v>96169.69</v>
      </c>
    </row>
    <row r="749" spans="3:11" x14ac:dyDescent="0.2">
      <c r="C749" s="201" t="s">
        <v>19146</v>
      </c>
      <c r="D749" s="200">
        <v>44439</v>
      </c>
      <c r="E749" s="199" t="s">
        <v>19145</v>
      </c>
      <c r="I749" s="198">
        <v>2.2400000000000002</v>
      </c>
      <c r="K749" s="198">
        <v>96171.93</v>
      </c>
    </row>
    <row r="750" spans="3:11" x14ac:dyDescent="0.2">
      <c r="C750" s="201" t="s">
        <v>19144</v>
      </c>
      <c r="D750" s="200">
        <v>44439</v>
      </c>
      <c r="E750" s="199" t="s">
        <v>19143</v>
      </c>
      <c r="I750" s="198">
        <v>1.94</v>
      </c>
      <c r="K750" s="198">
        <v>96173.87</v>
      </c>
    </row>
    <row r="751" spans="3:11" x14ac:dyDescent="0.2">
      <c r="C751" s="201" t="s">
        <v>19142</v>
      </c>
      <c r="D751" s="200">
        <v>44439</v>
      </c>
      <c r="E751" s="199" t="s">
        <v>19141</v>
      </c>
      <c r="I751" s="198">
        <v>3.47</v>
      </c>
      <c r="K751" s="198">
        <v>96177.34</v>
      </c>
    </row>
    <row r="752" spans="3:11" x14ac:dyDescent="0.2">
      <c r="C752" s="201" t="s">
        <v>19140</v>
      </c>
      <c r="D752" s="200">
        <v>44439</v>
      </c>
      <c r="E752" s="199" t="s">
        <v>19139</v>
      </c>
      <c r="I752" s="198">
        <v>8.27</v>
      </c>
      <c r="K752" s="198">
        <v>96185.61</v>
      </c>
    </row>
    <row r="753" spans="3:11" x14ac:dyDescent="0.2">
      <c r="C753" s="201" t="s">
        <v>19138</v>
      </c>
      <c r="D753" s="200">
        <v>44439</v>
      </c>
      <c r="E753" s="199" t="s">
        <v>19137</v>
      </c>
      <c r="I753" s="198">
        <v>0.28999999999999998</v>
      </c>
      <c r="K753" s="198">
        <v>96185.9</v>
      </c>
    </row>
    <row r="754" spans="3:11" x14ac:dyDescent="0.2">
      <c r="C754" s="201" t="s">
        <v>19136</v>
      </c>
      <c r="D754" s="200">
        <v>44439</v>
      </c>
      <c r="E754" s="199" t="s">
        <v>19135</v>
      </c>
      <c r="I754" s="198">
        <v>5.33</v>
      </c>
      <c r="K754" s="198">
        <v>96191.23</v>
      </c>
    </row>
    <row r="755" spans="3:11" x14ac:dyDescent="0.2">
      <c r="C755" s="201" t="s">
        <v>19134</v>
      </c>
      <c r="D755" s="200">
        <v>44439</v>
      </c>
      <c r="E755" s="199" t="s">
        <v>19133</v>
      </c>
      <c r="I755" s="198">
        <v>1.76</v>
      </c>
      <c r="K755" s="198">
        <v>96192.99</v>
      </c>
    </row>
    <row r="756" spans="3:11" x14ac:dyDescent="0.2">
      <c r="C756" s="201" t="s">
        <v>19132</v>
      </c>
      <c r="D756" s="200">
        <v>44439</v>
      </c>
      <c r="E756" s="199" t="s">
        <v>19131</v>
      </c>
      <c r="I756" s="198">
        <v>4.25</v>
      </c>
      <c r="K756" s="198">
        <v>96197.24</v>
      </c>
    </row>
    <row r="757" spans="3:11" x14ac:dyDescent="0.2">
      <c r="C757" s="201" t="s">
        <v>19130</v>
      </c>
      <c r="D757" s="200">
        <v>44439</v>
      </c>
      <c r="E757" s="199" t="s">
        <v>19129</v>
      </c>
      <c r="I757" s="198">
        <v>2.71</v>
      </c>
      <c r="K757" s="198">
        <v>96199.95</v>
      </c>
    </row>
    <row r="758" spans="3:11" x14ac:dyDescent="0.2">
      <c r="C758" s="201" t="s">
        <v>19128</v>
      </c>
      <c r="D758" s="200">
        <v>44439</v>
      </c>
      <c r="E758" s="199" t="s">
        <v>19127</v>
      </c>
      <c r="I758" s="198">
        <v>2.3199999999999998</v>
      </c>
      <c r="K758" s="198">
        <v>96202.27</v>
      </c>
    </row>
    <row r="759" spans="3:11" x14ac:dyDescent="0.2">
      <c r="C759" s="201" t="s">
        <v>19126</v>
      </c>
      <c r="D759" s="200">
        <v>44439</v>
      </c>
      <c r="E759" s="199" t="s">
        <v>19125</v>
      </c>
      <c r="I759" s="198">
        <v>2.79</v>
      </c>
      <c r="K759" s="198">
        <v>96205.06</v>
      </c>
    </row>
    <row r="760" spans="3:11" x14ac:dyDescent="0.2">
      <c r="C760" s="201" t="s">
        <v>19124</v>
      </c>
      <c r="D760" s="200">
        <v>44439</v>
      </c>
      <c r="E760" s="199" t="s">
        <v>19123</v>
      </c>
      <c r="I760" s="198">
        <v>8.15</v>
      </c>
      <c r="K760" s="198">
        <v>96213.21</v>
      </c>
    </row>
    <row r="761" spans="3:11" x14ac:dyDescent="0.2">
      <c r="C761" s="201" t="s">
        <v>19122</v>
      </c>
      <c r="D761" s="200">
        <v>44439</v>
      </c>
      <c r="E761" s="199" t="s">
        <v>19121</v>
      </c>
      <c r="I761" s="198">
        <v>3.06</v>
      </c>
      <c r="K761" s="198">
        <v>96216.27</v>
      </c>
    </row>
    <row r="762" spans="3:11" x14ac:dyDescent="0.2">
      <c r="C762" s="201" t="s">
        <v>19120</v>
      </c>
      <c r="D762" s="200">
        <v>44439</v>
      </c>
      <c r="E762" s="199" t="s">
        <v>19119</v>
      </c>
      <c r="I762" s="198">
        <v>2.56</v>
      </c>
      <c r="K762" s="198">
        <v>96218.83</v>
      </c>
    </row>
    <row r="763" spans="3:11" x14ac:dyDescent="0.2">
      <c r="C763" s="201" t="s">
        <v>19118</v>
      </c>
      <c r="D763" s="200">
        <v>44439</v>
      </c>
      <c r="E763" s="199" t="s">
        <v>19117</v>
      </c>
      <c r="I763" s="198">
        <v>1.68</v>
      </c>
      <c r="K763" s="198">
        <v>96220.51</v>
      </c>
    </row>
    <row r="764" spans="3:11" x14ac:dyDescent="0.2">
      <c r="C764" s="201" t="s">
        <v>19116</v>
      </c>
      <c r="D764" s="200">
        <v>44439</v>
      </c>
      <c r="E764" s="199" t="s">
        <v>19115</v>
      </c>
      <c r="I764" s="198">
        <v>2.42</v>
      </c>
      <c r="K764" s="198">
        <v>96222.93</v>
      </c>
    </row>
    <row r="765" spans="3:11" x14ac:dyDescent="0.2">
      <c r="C765" s="201" t="s">
        <v>19114</v>
      </c>
      <c r="D765" s="200">
        <v>44439</v>
      </c>
      <c r="E765" s="199" t="s">
        <v>19113</v>
      </c>
      <c r="I765" s="198">
        <v>6.83</v>
      </c>
      <c r="K765" s="198">
        <v>96229.759999999995</v>
      </c>
    </row>
    <row r="766" spans="3:11" x14ac:dyDescent="0.2">
      <c r="C766" s="201" t="s">
        <v>19112</v>
      </c>
      <c r="D766" s="200">
        <v>44439</v>
      </c>
      <c r="E766" s="199" t="s">
        <v>19111</v>
      </c>
      <c r="I766" s="198">
        <v>1.29</v>
      </c>
      <c r="K766" s="198">
        <v>96231.05</v>
      </c>
    </row>
    <row r="767" spans="3:11" x14ac:dyDescent="0.2">
      <c r="C767" s="201" t="s">
        <v>19110</v>
      </c>
      <c r="D767" s="200">
        <v>44439</v>
      </c>
      <c r="E767" s="199" t="s">
        <v>19109</v>
      </c>
      <c r="I767" s="198">
        <v>1.68</v>
      </c>
      <c r="K767" s="198">
        <v>96232.73</v>
      </c>
    </row>
    <row r="768" spans="3:11" x14ac:dyDescent="0.2">
      <c r="C768" s="201" t="s">
        <v>19108</v>
      </c>
      <c r="D768" s="200">
        <v>44439</v>
      </c>
      <c r="E768" s="199" t="s">
        <v>19107</v>
      </c>
      <c r="I768" s="198">
        <v>41.27</v>
      </c>
      <c r="K768" s="198">
        <v>96274</v>
      </c>
    </row>
    <row r="769" spans="3:11" x14ac:dyDescent="0.2">
      <c r="C769" s="201" t="s">
        <v>19106</v>
      </c>
      <c r="D769" s="200">
        <v>44439</v>
      </c>
      <c r="E769" s="199" t="s">
        <v>19105</v>
      </c>
      <c r="I769" s="198">
        <v>4.29</v>
      </c>
      <c r="K769" s="198">
        <v>96278.29</v>
      </c>
    </row>
    <row r="770" spans="3:11" x14ac:dyDescent="0.2">
      <c r="C770" s="201" t="s">
        <v>19104</v>
      </c>
      <c r="D770" s="200">
        <v>44439</v>
      </c>
      <c r="E770" s="199" t="s">
        <v>19103</v>
      </c>
      <c r="I770" s="198">
        <v>7.67</v>
      </c>
      <c r="K770" s="198">
        <v>96285.96</v>
      </c>
    </row>
    <row r="771" spans="3:11" x14ac:dyDescent="0.2">
      <c r="C771" s="201" t="s">
        <v>19102</v>
      </c>
      <c r="D771" s="200">
        <v>44439</v>
      </c>
      <c r="E771" s="199" t="s">
        <v>19101</v>
      </c>
      <c r="I771" s="198">
        <v>0.85</v>
      </c>
      <c r="K771" s="198">
        <v>96286.81</v>
      </c>
    </row>
    <row r="772" spans="3:11" x14ac:dyDescent="0.2">
      <c r="C772" s="201" t="s">
        <v>19100</v>
      </c>
      <c r="D772" s="200">
        <v>44439</v>
      </c>
      <c r="E772" s="199" t="s">
        <v>19099</v>
      </c>
      <c r="I772" s="198">
        <v>4.4000000000000004</v>
      </c>
      <c r="K772" s="198">
        <v>96291.21</v>
      </c>
    </row>
    <row r="773" spans="3:11" x14ac:dyDescent="0.2">
      <c r="C773" s="201" t="s">
        <v>19098</v>
      </c>
      <c r="D773" s="200">
        <v>44439</v>
      </c>
      <c r="E773" s="199" t="s">
        <v>19097</v>
      </c>
      <c r="I773" s="198">
        <v>3.84</v>
      </c>
      <c r="K773" s="198">
        <v>96295.05</v>
      </c>
    </row>
    <row r="774" spans="3:11" x14ac:dyDescent="0.2">
      <c r="C774" s="201" t="s">
        <v>19096</v>
      </c>
      <c r="D774" s="200">
        <v>44439</v>
      </c>
      <c r="E774" s="199" t="s">
        <v>19095</v>
      </c>
      <c r="I774" s="198">
        <v>1.68</v>
      </c>
      <c r="K774" s="198">
        <v>96296.73</v>
      </c>
    </row>
    <row r="775" spans="3:11" x14ac:dyDescent="0.2">
      <c r="C775" s="201" t="s">
        <v>19094</v>
      </c>
      <c r="D775" s="200">
        <v>44439</v>
      </c>
      <c r="E775" s="199" t="s">
        <v>19093</v>
      </c>
      <c r="I775" s="198">
        <v>3.59</v>
      </c>
      <c r="K775" s="198">
        <v>96300.32</v>
      </c>
    </row>
    <row r="776" spans="3:11" x14ac:dyDescent="0.2">
      <c r="C776" s="201" t="s">
        <v>19092</v>
      </c>
      <c r="D776" s="200">
        <v>44439</v>
      </c>
      <c r="E776" s="199" t="s">
        <v>19091</v>
      </c>
      <c r="I776" s="198">
        <v>0.84</v>
      </c>
      <c r="K776" s="198">
        <v>96301.16</v>
      </c>
    </row>
    <row r="777" spans="3:11" x14ac:dyDescent="0.2">
      <c r="C777" s="201" t="s">
        <v>19090</v>
      </c>
      <c r="D777" s="200">
        <v>44439</v>
      </c>
      <c r="E777" s="199" t="s">
        <v>19089</v>
      </c>
      <c r="I777" s="198">
        <v>6.93</v>
      </c>
      <c r="K777" s="198">
        <v>96308.09</v>
      </c>
    </row>
    <row r="778" spans="3:11" x14ac:dyDescent="0.2">
      <c r="C778" s="201" t="s">
        <v>19088</v>
      </c>
      <c r="D778" s="200">
        <v>44439</v>
      </c>
      <c r="E778" s="199" t="s">
        <v>19087</v>
      </c>
      <c r="I778" s="198">
        <v>8.8000000000000007</v>
      </c>
      <c r="K778" s="198">
        <v>96316.89</v>
      </c>
    </row>
    <row r="779" spans="3:11" x14ac:dyDescent="0.2">
      <c r="C779" s="201" t="s">
        <v>19086</v>
      </c>
      <c r="D779" s="200">
        <v>44439</v>
      </c>
      <c r="E779" s="199" t="s">
        <v>19085</v>
      </c>
      <c r="I779" s="198">
        <v>3.15</v>
      </c>
      <c r="K779" s="198">
        <v>96320.04</v>
      </c>
    </row>
    <row r="780" spans="3:11" x14ac:dyDescent="0.2">
      <c r="C780" s="201" t="s">
        <v>19084</v>
      </c>
      <c r="D780" s="200">
        <v>44439</v>
      </c>
      <c r="E780" s="199" t="s">
        <v>19083</v>
      </c>
      <c r="I780" s="198">
        <v>2.74</v>
      </c>
      <c r="K780" s="198">
        <v>96322.78</v>
      </c>
    </row>
    <row r="781" spans="3:11" x14ac:dyDescent="0.2">
      <c r="C781" s="201" t="s">
        <v>19082</v>
      </c>
      <c r="D781" s="200">
        <v>44439</v>
      </c>
      <c r="E781" s="199" t="s">
        <v>19081</v>
      </c>
      <c r="I781" s="198">
        <v>3.36</v>
      </c>
      <c r="K781" s="198">
        <v>96326.14</v>
      </c>
    </row>
    <row r="782" spans="3:11" x14ac:dyDescent="0.2">
      <c r="C782" s="201" t="s">
        <v>19080</v>
      </c>
      <c r="D782" s="200">
        <v>44439</v>
      </c>
      <c r="E782" s="199" t="s">
        <v>19079</v>
      </c>
      <c r="I782" s="198">
        <v>3.36</v>
      </c>
      <c r="K782" s="198">
        <v>96329.5</v>
      </c>
    </row>
    <row r="783" spans="3:11" x14ac:dyDescent="0.2">
      <c r="C783" s="201" t="s">
        <v>19078</v>
      </c>
      <c r="D783" s="200">
        <v>44439</v>
      </c>
      <c r="E783" s="199" t="s">
        <v>19077</v>
      </c>
      <c r="I783" s="198">
        <v>12.87</v>
      </c>
      <c r="K783" s="198">
        <v>96342.37</v>
      </c>
    </row>
    <row r="784" spans="3:11" x14ac:dyDescent="0.2">
      <c r="C784" s="201" t="s">
        <v>19076</v>
      </c>
      <c r="D784" s="200">
        <v>44439</v>
      </c>
      <c r="E784" s="199" t="s">
        <v>19075</v>
      </c>
      <c r="I784" s="198">
        <v>1.72</v>
      </c>
      <c r="K784" s="198">
        <v>96344.09</v>
      </c>
    </row>
    <row r="785" spans="3:11" x14ac:dyDescent="0.2">
      <c r="C785" s="201" t="s">
        <v>21513</v>
      </c>
      <c r="D785" s="200">
        <v>44439</v>
      </c>
      <c r="E785" s="199" t="s">
        <v>21514</v>
      </c>
      <c r="I785" s="198">
        <v>5.47</v>
      </c>
      <c r="K785" s="198">
        <v>96349.56</v>
      </c>
    </row>
    <row r="786" spans="3:11" x14ac:dyDescent="0.2">
      <c r="C786" s="201" t="s">
        <v>21515</v>
      </c>
      <c r="D786" s="200">
        <v>44439</v>
      </c>
      <c r="E786" s="199" t="s">
        <v>21516</v>
      </c>
      <c r="I786" s="198">
        <v>3.51</v>
      </c>
      <c r="K786" s="198">
        <v>96353.07</v>
      </c>
    </row>
    <row r="787" spans="3:11" x14ac:dyDescent="0.2">
      <c r="C787" s="201" t="s">
        <v>21517</v>
      </c>
      <c r="D787" s="200">
        <v>44439</v>
      </c>
      <c r="E787" s="199" t="s">
        <v>21518</v>
      </c>
      <c r="I787" s="198">
        <v>3.36</v>
      </c>
      <c r="K787" s="198">
        <v>96356.43</v>
      </c>
    </row>
    <row r="788" spans="3:11" x14ac:dyDescent="0.2">
      <c r="C788" s="201" t="s">
        <v>21519</v>
      </c>
      <c r="D788" s="200">
        <v>44439</v>
      </c>
      <c r="E788" s="199" t="s">
        <v>21520</v>
      </c>
      <c r="I788" s="198">
        <v>4.74</v>
      </c>
      <c r="K788" s="198">
        <v>96361.17</v>
      </c>
    </row>
    <row r="789" spans="3:11" x14ac:dyDescent="0.2">
      <c r="C789" s="201" t="s">
        <v>21521</v>
      </c>
      <c r="D789" s="200">
        <v>44439</v>
      </c>
      <c r="E789" s="199" t="s">
        <v>21522</v>
      </c>
      <c r="I789" s="198">
        <v>6.94</v>
      </c>
      <c r="K789" s="198">
        <v>96368.11</v>
      </c>
    </row>
    <row r="790" spans="3:11" x14ac:dyDescent="0.2">
      <c r="C790" s="201" t="s">
        <v>21523</v>
      </c>
      <c r="D790" s="200">
        <v>44439</v>
      </c>
      <c r="E790" s="199" t="s">
        <v>21524</v>
      </c>
      <c r="I790" s="198">
        <v>2.2799999999999998</v>
      </c>
      <c r="K790" s="198">
        <v>96370.39</v>
      </c>
    </row>
    <row r="791" spans="3:11" x14ac:dyDescent="0.2">
      <c r="C791" s="201" t="s">
        <v>21525</v>
      </c>
      <c r="D791" s="200">
        <v>44439</v>
      </c>
      <c r="E791" s="199" t="s">
        <v>21526</v>
      </c>
      <c r="I791" s="198">
        <v>11.55</v>
      </c>
      <c r="K791" s="198">
        <v>96381.94</v>
      </c>
    </row>
    <row r="792" spans="3:11" x14ac:dyDescent="0.2">
      <c r="C792" s="201" t="s">
        <v>21527</v>
      </c>
      <c r="D792" s="200">
        <v>44439</v>
      </c>
      <c r="E792" s="199" t="s">
        <v>21528</v>
      </c>
      <c r="I792" s="198">
        <v>12.3</v>
      </c>
      <c r="K792" s="198">
        <v>96394.240000000005</v>
      </c>
    </row>
    <row r="793" spans="3:11" x14ac:dyDescent="0.2">
      <c r="C793" s="201" t="s">
        <v>21529</v>
      </c>
      <c r="D793" s="200">
        <v>44439</v>
      </c>
      <c r="E793" s="199" t="s">
        <v>21530</v>
      </c>
      <c r="I793" s="198">
        <v>4.18</v>
      </c>
      <c r="K793" s="198">
        <v>96398.42</v>
      </c>
    </row>
    <row r="794" spans="3:11" x14ac:dyDescent="0.2">
      <c r="C794" s="201" t="s">
        <v>21531</v>
      </c>
      <c r="D794" s="200">
        <v>44439</v>
      </c>
      <c r="E794" s="199" t="s">
        <v>21532</v>
      </c>
      <c r="I794" s="198">
        <v>16.760000000000002</v>
      </c>
      <c r="K794" s="198">
        <v>96415.18</v>
      </c>
    </row>
    <row r="795" spans="3:11" x14ac:dyDescent="0.2">
      <c r="C795" s="201" t="s">
        <v>21533</v>
      </c>
      <c r="D795" s="200">
        <v>44439</v>
      </c>
      <c r="E795" s="199" t="s">
        <v>21534</v>
      </c>
      <c r="I795" s="198">
        <v>0.27</v>
      </c>
      <c r="K795" s="198">
        <v>96415.45</v>
      </c>
    </row>
    <row r="796" spans="3:11" x14ac:dyDescent="0.2">
      <c r="C796" s="201" t="s">
        <v>21535</v>
      </c>
      <c r="D796" s="200">
        <v>44439</v>
      </c>
      <c r="E796" s="199" t="s">
        <v>21536</v>
      </c>
      <c r="I796" s="198">
        <v>3.81</v>
      </c>
      <c r="K796" s="198">
        <v>96419.26</v>
      </c>
    </row>
    <row r="797" spans="3:11" x14ac:dyDescent="0.2">
      <c r="C797" s="201" t="s">
        <v>21537</v>
      </c>
      <c r="D797" s="200">
        <v>44439</v>
      </c>
      <c r="E797" s="199" t="s">
        <v>21538</v>
      </c>
      <c r="I797" s="198">
        <v>2.2200000000000002</v>
      </c>
      <c r="K797" s="198">
        <v>96421.48</v>
      </c>
    </row>
    <row r="798" spans="3:11" x14ac:dyDescent="0.2">
      <c r="C798" s="201" t="s">
        <v>7481</v>
      </c>
      <c r="D798" s="200">
        <v>44439</v>
      </c>
      <c r="E798" s="199" t="s">
        <v>21539</v>
      </c>
      <c r="J798" s="222">
        <v>95.19</v>
      </c>
      <c r="K798" s="198">
        <v>96326.29</v>
      </c>
    </row>
    <row r="799" spans="3:11" x14ac:dyDescent="0.2">
      <c r="C799" s="197" t="s">
        <v>22</v>
      </c>
      <c r="D799" s="196">
        <v>98022.2</v>
      </c>
      <c r="E799" s="197" t="s">
        <v>21</v>
      </c>
      <c r="F799" s="196">
        <v>14193.87</v>
      </c>
      <c r="G799" s="197" t="s">
        <v>20</v>
      </c>
      <c r="H799" s="196">
        <v>15889.78</v>
      </c>
      <c r="J799" s="197" t="s">
        <v>19</v>
      </c>
      <c r="K799" s="196">
        <v>96326.29</v>
      </c>
    </row>
    <row r="802" spans="5:11" x14ac:dyDescent="0.2">
      <c r="E802" s="87" t="s">
        <v>18</v>
      </c>
      <c r="K802" s="86" t="s">
        <v>17</v>
      </c>
    </row>
  </sheetData>
  <pageMargins left="0.75" right="0.75" top="1" bottom="1" header="0" footer="0"/>
  <pageSetup orientation="portrait" errors="NA" horizontalDpi="120" verticalDpi="72"/>
  <headerFooter alignWithMargins="0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B0C7F-1663-49A5-990C-71D067689E9A}">
  <dimension ref="A1:I277"/>
  <sheetViews>
    <sheetView topLeftCell="B1" workbookViewId="0">
      <selection activeCell="F196" sqref="F196"/>
    </sheetView>
  </sheetViews>
  <sheetFormatPr baseColWidth="10" defaultRowHeight="15" x14ac:dyDescent="0.25"/>
  <cols>
    <col min="2" max="2" width="45.42578125" customWidth="1"/>
    <col min="3" max="3" width="7.7109375" customWidth="1"/>
    <col min="4" max="4" width="12" customWidth="1"/>
    <col min="5" max="5" width="15.7109375" bestFit="1" customWidth="1"/>
    <col min="6" max="6" width="10.28515625" bestFit="1" customWidth="1"/>
    <col min="7" max="7" width="10.7109375" customWidth="1"/>
    <col min="258" max="258" width="45.42578125" customWidth="1"/>
    <col min="259" max="259" width="7.7109375" customWidth="1"/>
    <col min="260" max="260" width="12" customWidth="1"/>
    <col min="261" max="261" width="15.7109375" bestFit="1" customWidth="1"/>
    <col min="262" max="262" width="10.28515625" bestFit="1" customWidth="1"/>
    <col min="263" max="263" width="10.7109375" customWidth="1"/>
    <col min="514" max="514" width="45.42578125" customWidth="1"/>
    <col min="515" max="515" width="7.7109375" customWidth="1"/>
    <col min="516" max="516" width="12" customWidth="1"/>
    <col min="517" max="517" width="15.7109375" bestFit="1" customWidth="1"/>
    <col min="518" max="518" width="10.28515625" bestFit="1" customWidth="1"/>
    <col min="519" max="519" width="10.7109375" customWidth="1"/>
    <col min="770" max="770" width="45.42578125" customWidth="1"/>
    <col min="771" max="771" width="7.7109375" customWidth="1"/>
    <col min="772" max="772" width="12" customWidth="1"/>
    <col min="773" max="773" width="15.7109375" bestFit="1" customWidth="1"/>
    <col min="774" max="774" width="10.28515625" bestFit="1" customWidth="1"/>
    <col min="775" max="775" width="10.7109375" customWidth="1"/>
    <col min="1026" max="1026" width="45.42578125" customWidth="1"/>
    <col min="1027" max="1027" width="7.7109375" customWidth="1"/>
    <col min="1028" max="1028" width="12" customWidth="1"/>
    <col min="1029" max="1029" width="15.7109375" bestFit="1" customWidth="1"/>
    <col min="1030" max="1030" width="10.28515625" bestFit="1" customWidth="1"/>
    <col min="1031" max="1031" width="10.7109375" customWidth="1"/>
    <col min="1282" max="1282" width="45.42578125" customWidth="1"/>
    <col min="1283" max="1283" width="7.7109375" customWidth="1"/>
    <col min="1284" max="1284" width="12" customWidth="1"/>
    <col min="1285" max="1285" width="15.7109375" bestFit="1" customWidth="1"/>
    <col min="1286" max="1286" width="10.28515625" bestFit="1" customWidth="1"/>
    <col min="1287" max="1287" width="10.7109375" customWidth="1"/>
    <col min="1538" max="1538" width="45.42578125" customWidth="1"/>
    <col min="1539" max="1539" width="7.7109375" customWidth="1"/>
    <col min="1540" max="1540" width="12" customWidth="1"/>
    <col min="1541" max="1541" width="15.7109375" bestFit="1" customWidth="1"/>
    <col min="1542" max="1542" width="10.28515625" bestFit="1" customWidth="1"/>
    <col min="1543" max="1543" width="10.7109375" customWidth="1"/>
    <col min="1794" max="1794" width="45.42578125" customWidth="1"/>
    <col min="1795" max="1795" width="7.7109375" customWidth="1"/>
    <col min="1796" max="1796" width="12" customWidth="1"/>
    <col min="1797" max="1797" width="15.7109375" bestFit="1" customWidth="1"/>
    <col min="1798" max="1798" width="10.28515625" bestFit="1" customWidth="1"/>
    <col min="1799" max="1799" width="10.7109375" customWidth="1"/>
    <col min="2050" max="2050" width="45.42578125" customWidth="1"/>
    <col min="2051" max="2051" width="7.7109375" customWidth="1"/>
    <col min="2052" max="2052" width="12" customWidth="1"/>
    <col min="2053" max="2053" width="15.7109375" bestFit="1" customWidth="1"/>
    <col min="2054" max="2054" width="10.28515625" bestFit="1" customWidth="1"/>
    <col min="2055" max="2055" width="10.7109375" customWidth="1"/>
    <col min="2306" max="2306" width="45.42578125" customWidth="1"/>
    <col min="2307" max="2307" width="7.7109375" customWidth="1"/>
    <col min="2308" max="2308" width="12" customWidth="1"/>
    <col min="2309" max="2309" width="15.7109375" bestFit="1" customWidth="1"/>
    <col min="2310" max="2310" width="10.28515625" bestFit="1" customWidth="1"/>
    <col min="2311" max="2311" width="10.7109375" customWidth="1"/>
    <col min="2562" max="2562" width="45.42578125" customWidth="1"/>
    <col min="2563" max="2563" width="7.7109375" customWidth="1"/>
    <col min="2564" max="2564" width="12" customWidth="1"/>
    <col min="2565" max="2565" width="15.7109375" bestFit="1" customWidth="1"/>
    <col min="2566" max="2566" width="10.28515625" bestFit="1" customWidth="1"/>
    <col min="2567" max="2567" width="10.7109375" customWidth="1"/>
    <col min="2818" max="2818" width="45.42578125" customWidth="1"/>
    <col min="2819" max="2819" width="7.7109375" customWidth="1"/>
    <col min="2820" max="2820" width="12" customWidth="1"/>
    <col min="2821" max="2821" width="15.7109375" bestFit="1" customWidth="1"/>
    <col min="2822" max="2822" width="10.28515625" bestFit="1" customWidth="1"/>
    <col min="2823" max="2823" width="10.7109375" customWidth="1"/>
    <col min="3074" max="3074" width="45.42578125" customWidth="1"/>
    <col min="3075" max="3075" width="7.7109375" customWidth="1"/>
    <col min="3076" max="3076" width="12" customWidth="1"/>
    <col min="3077" max="3077" width="15.7109375" bestFit="1" customWidth="1"/>
    <col min="3078" max="3078" width="10.28515625" bestFit="1" customWidth="1"/>
    <col min="3079" max="3079" width="10.7109375" customWidth="1"/>
    <col min="3330" max="3330" width="45.42578125" customWidth="1"/>
    <col min="3331" max="3331" width="7.7109375" customWidth="1"/>
    <col min="3332" max="3332" width="12" customWidth="1"/>
    <col min="3333" max="3333" width="15.7109375" bestFit="1" customWidth="1"/>
    <col min="3334" max="3334" width="10.28515625" bestFit="1" customWidth="1"/>
    <col min="3335" max="3335" width="10.7109375" customWidth="1"/>
    <col min="3586" max="3586" width="45.42578125" customWidth="1"/>
    <col min="3587" max="3587" width="7.7109375" customWidth="1"/>
    <col min="3588" max="3588" width="12" customWidth="1"/>
    <col min="3589" max="3589" width="15.7109375" bestFit="1" customWidth="1"/>
    <col min="3590" max="3590" width="10.28515625" bestFit="1" customWidth="1"/>
    <col min="3591" max="3591" width="10.7109375" customWidth="1"/>
    <col min="3842" max="3842" width="45.42578125" customWidth="1"/>
    <col min="3843" max="3843" width="7.7109375" customWidth="1"/>
    <col min="3844" max="3844" width="12" customWidth="1"/>
    <col min="3845" max="3845" width="15.7109375" bestFit="1" customWidth="1"/>
    <col min="3846" max="3846" width="10.28515625" bestFit="1" customWidth="1"/>
    <col min="3847" max="3847" width="10.7109375" customWidth="1"/>
    <col min="4098" max="4098" width="45.42578125" customWidth="1"/>
    <col min="4099" max="4099" width="7.7109375" customWidth="1"/>
    <col min="4100" max="4100" width="12" customWidth="1"/>
    <col min="4101" max="4101" width="15.7109375" bestFit="1" customWidth="1"/>
    <col min="4102" max="4102" width="10.28515625" bestFit="1" customWidth="1"/>
    <col min="4103" max="4103" width="10.7109375" customWidth="1"/>
    <col min="4354" max="4354" width="45.42578125" customWidth="1"/>
    <col min="4355" max="4355" width="7.7109375" customWidth="1"/>
    <col min="4356" max="4356" width="12" customWidth="1"/>
    <col min="4357" max="4357" width="15.7109375" bestFit="1" customWidth="1"/>
    <col min="4358" max="4358" width="10.28515625" bestFit="1" customWidth="1"/>
    <col min="4359" max="4359" width="10.7109375" customWidth="1"/>
    <col min="4610" max="4610" width="45.42578125" customWidth="1"/>
    <col min="4611" max="4611" width="7.7109375" customWidth="1"/>
    <col min="4612" max="4612" width="12" customWidth="1"/>
    <col min="4613" max="4613" width="15.7109375" bestFit="1" customWidth="1"/>
    <col min="4614" max="4614" width="10.28515625" bestFit="1" customWidth="1"/>
    <col min="4615" max="4615" width="10.7109375" customWidth="1"/>
    <col min="4866" max="4866" width="45.42578125" customWidth="1"/>
    <col min="4867" max="4867" width="7.7109375" customWidth="1"/>
    <col min="4868" max="4868" width="12" customWidth="1"/>
    <col min="4869" max="4869" width="15.7109375" bestFit="1" customWidth="1"/>
    <col min="4870" max="4870" width="10.28515625" bestFit="1" customWidth="1"/>
    <col min="4871" max="4871" width="10.7109375" customWidth="1"/>
    <col min="5122" max="5122" width="45.42578125" customWidth="1"/>
    <col min="5123" max="5123" width="7.7109375" customWidth="1"/>
    <col min="5124" max="5124" width="12" customWidth="1"/>
    <col min="5125" max="5125" width="15.7109375" bestFit="1" customWidth="1"/>
    <col min="5126" max="5126" width="10.28515625" bestFit="1" customWidth="1"/>
    <col min="5127" max="5127" width="10.7109375" customWidth="1"/>
    <col min="5378" max="5378" width="45.42578125" customWidth="1"/>
    <col min="5379" max="5379" width="7.7109375" customWidth="1"/>
    <col min="5380" max="5380" width="12" customWidth="1"/>
    <col min="5381" max="5381" width="15.7109375" bestFit="1" customWidth="1"/>
    <col min="5382" max="5382" width="10.28515625" bestFit="1" customWidth="1"/>
    <col min="5383" max="5383" width="10.7109375" customWidth="1"/>
    <col min="5634" max="5634" width="45.42578125" customWidth="1"/>
    <col min="5635" max="5635" width="7.7109375" customWidth="1"/>
    <col min="5636" max="5636" width="12" customWidth="1"/>
    <col min="5637" max="5637" width="15.7109375" bestFit="1" customWidth="1"/>
    <col min="5638" max="5638" width="10.28515625" bestFit="1" customWidth="1"/>
    <col min="5639" max="5639" width="10.7109375" customWidth="1"/>
    <col min="5890" max="5890" width="45.42578125" customWidth="1"/>
    <col min="5891" max="5891" width="7.7109375" customWidth="1"/>
    <col min="5892" max="5892" width="12" customWidth="1"/>
    <col min="5893" max="5893" width="15.7109375" bestFit="1" customWidth="1"/>
    <col min="5894" max="5894" width="10.28515625" bestFit="1" customWidth="1"/>
    <col min="5895" max="5895" width="10.7109375" customWidth="1"/>
    <col min="6146" max="6146" width="45.42578125" customWidth="1"/>
    <col min="6147" max="6147" width="7.7109375" customWidth="1"/>
    <col min="6148" max="6148" width="12" customWidth="1"/>
    <col min="6149" max="6149" width="15.7109375" bestFit="1" customWidth="1"/>
    <col min="6150" max="6150" width="10.28515625" bestFit="1" customWidth="1"/>
    <col min="6151" max="6151" width="10.7109375" customWidth="1"/>
    <col min="6402" max="6402" width="45.42578125" customWidth="1"/>
    <col min="6403" max="6403" width="7.7109375" customWidth="1"/>
    <col min="6404" max="6404" width="12" customWidth="1"/>
    <col min="6405" max="6405" width="15.7109375" bestFit="1" customWidth="1"/>
    <col min="6406" max="6406" width="10.28515625" bestFit="1" customWidth="1"/>
    <col min="6407" max="6407" width="10.7109375" customWidth="1"/>
    <col min="6658" max="6658" width="45.42578125" customWidth="1"/>
    <col min="6659" max="6659" width="7.7109375" customWidth="1"/>
    <col min="6660" max="6660" width="12" customWidth="1"/>
    <col min="6661" max="6661" width="15.7109375" bestFit="1" customWidth="1"/>
    <col min="6662" max="6662" width="10.28515625" bestFit="1" customWidth="1"/>
    <col min="6663" max="6663" width="10.7109375" customWidth="1"/>
    <col min="6914" max="6914" width="45.42578125" customWidth="1"/>
    <col min="6915" max="6915" width="7.7109375" customWidth="1"/>
    <col min="6916" max="6916" width="12" customWidth="1"/>
    <col min="6917" max="6917" width="15.7109375" bestFit="1" customWidth="1"/>
    <col min="6918" max="6918" width="10.28515625" bestFit="1" customWidth="1"/>
    <col min="6919" max="6919" width="10.7109375" customWidth="1"/>
    <col min="7170" max="7170" width="45.42578125" customWidth="1"/>
    <col min="7171" max="7171" width="7.7109375" customWidth="1"/>
    <col min="7172" max="7172" width="12" customWidth="1"/>
    <col min="7173" max="7173" width="15.7109375" bestFit="1" customWidth="1"/>
    <col min="7174" max="7174" width="10.28515625" bestFit="1" customWidth="1"/>
    <col min="7175" max="7175" width="10.7109375" customWidth="1"/>
    <col min="7426" max="7426" width="45.42578125" customWidth="1"/>
    <col min="7427" max="7427" width="7.7109375" customWidth="1"/>
    <col min="7428" max="7428" width="12" customWidth="1"/>
    <col min="7429" max="7429" width="15.7109375" bestFit="1" customWidth="1"/>
    <col min="7430" max="7430" width="10.28515625" bestFit="1" customWidth="1"/>
    <col min="7431" max="7431" width="10.7109375" customWidth="1"/>
    <col min="7682" max="7682" width="45.42578125" customWidth="1"/>
    <col min="7683" max="7683" width="7.7109375" customWidth="1"/>
    <col min="7684" max="7684" width="12" customWidth="1"/>
    <col min="7685" max="7685" width="15.7109375" bestFit="1" customWidth="1"/>
    <col min="7686" max="7686" width="10.28515625" bestFit="1" customWidth="1"/>
    <col min="7687" max="7687" width="10.7109375" customWidth="1"/>
    <col min="7938" max="7938" width="45.42578125" customWidth="1"/>
    <col min="7939" max="7939" width="7.7109375" customWidth="1"/>
    <col min="7940" max="7940" width="12" customWidth="1"/>
    <col min="7941" max="7941" width="15.7109375" bestFit="1" customWidth="1"/>
    <col min="7942" max="7942" width="10.28515625" bestFit="1" customWidth="1"/>
    <col min="7943" max="7943" width="10.7109375" customWidth="1"/>
    <col min="8194" max="8194" width="45.42578125" customWidth="1"/>
    <col min="8195" max="8195" width="7.7109375" customWidth="1"/>
    <col min="8196" max="8196" width="12" customWidth="1"/>
    <col min="8197" max="8197" width="15.7109375" bestFit="1" customWidth="1"/>
    <col min="8198" max="8198" width="10.28515625" bestFit="1" customWidth="1"/>
    <col min="8199" max="8199" width="10.7109375" customWidth="1"/>
    <col min="8450" max="8450" width="45.42578125" customWidth="1"/>
    <col min="8451" max="8451" width="7.7109375" customWidth="1"/>
    <col min="8452" max="8452" width="12" customWidth="1"/>
    <col min="8453" max="8453" width="15.7109375" bestFit="1" customWidth="1"/>
    <col min="8454" max="8454" width="10.28515625" bestFit="1" customWidth="1"/>
    <col min="8455" max="8455" width="10.7109375" customWidth="1"/>
    <col min="8706" max="8706" width="45.42578125" customWidth="1"/>
    <col min="8707" max="8707" width="7.7109375" customWidth="1"/>
    <col min="8708" max="8708" width="12" customWidth="1"/>
    <col min="8709" max="8709" width="15.7109375" bestFit="1" customWidth="1"/>
    <col min="8710" max="8710" width="10.28515625" bestFit="1" customWidth="1"/>
    <col min="8711" max="8711" width="10.7109375" customWidth="1"/>
    <col min="8962" max="8962" width="45.42578125" customWidth="1"/>
    <col min="8963" max="8963" width="7.7109375" customWidth="1"/>
    <col min="8964" max="8964" width="12" customWidth="1"/>
    <col min="8965" max="8965" width="15.7109375" bestFit="1" customWidth="1"/>
    <col min="8966" max="8966" width="10.28515625" bestFit="1" customWidth="1"/>
    <col min="8967" max="8967" width="10.7109375" customWidth="1"/>
    <col min="9218" max="9218" width="45.42578125" customWidth="1"/>
    <col min="9219" max="9219" width="7.7109375" customWidth="1"/>
    <col min="9220" max="9220" width="12" customWidth="1"/>
    <col min="9221" max="9221" width="15.7109375" bestFit="1" customWidth="1"/>
    <col min="9222" max="9222" width="10.28515625" bestFit="1" customWidth="1"/>
    <col min="9223" max="9223" width="10.7109375" customWidth="1"/>
    <col min="9474" max="9474" width="45.42578125" customWidth="1"/>
    <col min="9475" max="9475" width="7.7109375" customWidth="1"/>
    <col min="9476" max="9476" width="12" customWidth="1"/>
    <col min="9477" max="9477" width="15.7109375" bestFit="1" customWidth="1"/>
    <col min="9478" max="9478" width="10.28515625" bestFit="1" customWidth="1"/>
    <col min="9479" max="9479" width="10.7109375" customWidth="1"/>
    <col min="9730" max="9730" width="45.42578125" customWidth="1"/>
    <col min="9731" max="9731" width="7.7109375" customWidth="1"/>
    <col min="9732" max="9732" width="12" customWidth="1"/>
    <col min="9733" max="9733" width="15.7109375" bestFit="1" customWidth="1"/>
    <col min="9734" max="9734" width="10.28515625" bestFit="1" customWidth="1"/>
    <col min="9735" max="9735" width="10.7109375" customWidth="1"/>
    <col min="9986" max="9986" width="45.42578125" customWidth="1"/>
    <col min="9987" max="9987" width="7.7109375" customWidth="1"/>
    <col min="9988" max="9988" width="12" customWidth="1"/>
    <col min="9989" max="9989" width="15.7109375" bestFit="1" customWidth="1"/>
    <col min="9990" max="9990" width="10.28515625" bestFit="1" customWidth="1"/>
    <col min="9991" max="9991" width="10.7109375" customWidth="1"/>
    <col min="10242" max="10242" width="45.42578125" customWidth="1"/>
    <col min="10243" max="10243" width="7.7109375" customWidth="1"/>
    <col min="10244" max="10244" width="12" customWidth="1"/>
    <col min="10245" max="10245" width="15.7109375" bestFit="1" customWidth="1"/>
    <col min="10246" max="10246" width="10.28515625" bestFit="1" customWidth="1"/>
    <col min="10247" max="10247" width="10.7109375" customWidth="1"/>
    <col min="10498" max="10498" width="45.42578125" customWidth="1"/>
    <col min="10499" max="10499" width="7.7109375" customWidth="1"/>
    <col min="10500" max="10500" width="12" customWidth="1"/>
    <col min="10501" max="10501" width="15.7109375" bestFit="1" customWidth="1"/>
    <col min="10502" max="10502" width="10.28515625" bestFit="1" customWidth="1"/>
    <col min="10503" max="10503" width="10.7109375" customWidth="1"/>
    <col min="10754" max="10754" width="45.42578125" customWidth="1"/>
    <col min="10755" max="10755" width="7.7109375" customWidth="1"/>
    <col min="10756" max="10756" width="12" customWidth="1"/>
    <col min="10757" max="10757" width="15.7109375" bestFit="1" customWidth="1"/>
    <col min="10758" max="10758" width="10.28515625" bestFit="1" customWidth="1"/>
    <col min="10759" max="10759" width="10.7109375" customWidth="1"/>
    <col min="11010" max="11010" width="45.42578125" customWidth="1"/>
    <col min="11011" max="11011" width="7.7109375" customWidth="1"/>
    <col min="11012" max="11012" width="12" customWidth="1"/>
    <col min="11013" max="11013" width="15.7109375" bestFit="1" customWidth="1"/>
    <col min="11014" max="11014" width="10.28515625" bestFit="1" customWidth="1"/>
    <col min="11015" max="11015" width="10.7109375" customWidth="1"/>
    <col min="11266" max="11266" width="45.42578125" customWidth="1"/>
    <col min="11267" max="11267" width="7.7109375" customWidth="1"/>
    <col min="11268" max="11268" width="12" customWidth="1"/>
    <col min="11269" max="11269" width="15.7109375" bestFit="1" customWidth="1"/>
    <col min="11270" max="11270" width="10.28515625" bestFit="1" customWidth="1"/>
    <col min="11271" max="11271" width="10.7109375" customWidth="1"/>
    <col min="11522" max="11522" width="45.42578125" customWidth="1"/>
    <col min="11523" max="11523" width="7.7109375" customWidth="1"/>
    <col min="11524" max="11524" width="12" customWidth="1"/>
    <col min="11525" max="11525" width="15.7109375" bestFit="1" customWidth="1"/>
    <col min="11526" max="11526" width="10.28515625" bestFit="1" customWidth="1"/>
    <col min="11527" max="11527" width="10.7109375" customWidth="1"/>
    <col min="11778" max="11778" width="45.42578125" customWidth="1"/>
    <col min="11779" max="11779" width="7.7109375" customWidth="1"/>
    <col min="11780" max="11780" width="12" customWidth="1"/>
    <col min="11781" max="11781" width="15.7109375" bestFit="1" customWidth="1"/>
    <col min="11782" max="11782" width="10.28515625" bestFit="1" customWidth="1"/>
    <col min="11783" max="11783" width="10.7109375" customWidth="1"/>
    <col min="12034" max="12034" width="45.42578125" customWidth="1"/>
    <col min="12035" max="12035" width="7.7109375" customWidth="1"/>
    <col min="12036" max="12036" width="12" customWidth="1"/>
    <col min="12037" max="12037" width="15.7109375" bestFit="1" customWidth="1"/>
    <col min="12038" max="12038" width="10.28515625" bestFit="1" customWidth="1"/>
    <col min="12039" max="12039" width="10.7109375" customWidth="1"/>
    <col min="12290" max="12290" width="45.42578125" customWidth="1"/>
    <col min="12291" max="12291" width="7.7109375" customWidth="1"/>
    <col min="12292" max="12292" width="12" customWidth="1"/>
    <col min="12293" max="12293" width="15.7109375" bestFit="1" customWidth="1"/>
    <col min="12294" max="12294" width="10.28515625" bestFit="1" customWidth="1"/>
    <col min="12295" max="12295" width="10.7109375" customWidth="1"/>
    <col min="12546" max="12546" width="45.42578125" customWidth="1"/>
    <col min="12547" max="12547" width="7.7109375" customWidth="1"/>
    <col min="12548" max="12548" width="12" customWidth="1"/>
    <col min="12549" max="12549" width="15.7109375" bestFit="1" customWidth="1"/>
    <col min="12550" max="12550" width="10.28515625" bestFit="1" customWidth="1"/>
    <col min="12551" max="12551" width="10.7109375" customWidth="1"/>
    <col min="12802" max="12802" width="45.42578125" customWidth="1"/>
    <col min="12803" max="12803" width="7.7109375" customWidth="1"/>
    <col min="12804" max="12804" width="12" customWidth="1"/>
    <col min="12805" max="12805" width="15.7109375" bestFit="1" customWidth="1"/>
    <col min="12806" max="12806" width="10.28515625" bestFit="1" customWidth="1"/>
    <col min="12807" max="12807" width="10.7109375" customWidth="1"/>
    <col min="13058" max="13058" width="45.42578125" customWidth="1"/>
    <col min="13059" max="13059" width="7.7109375" customWidth="1"/>
    <col min="13060" max="13060" width="12" customWidth="1"/>
    <col min="13061" max="13061" width="15.7109375" bestFit="1" customWidth="1"/>
    <col min="13062" max="13062" width="10.28515625" bestFit="1" customWidth="1"/>
    <col min="13063" max="13063" width="10.7109375" customWidth="1"/>
    <col min="13314" max="13314" width="45.42578125" customWidth="1"/>
    <col min="13315" max="13315" width="7.7109375" customWidth="1"/>
    <col min="13316" max="13316" width="12" customWidth="1"/>
    <col min="13317" max="13317" width="15.7109375" bestFit="1" customWidth="1"/>
    <col min="13318" max="13318" width="10.28515625" bestFit="1" customWidth="1"/>
    <col min="13319" max="13319" width="10.7109375" customWidth="1"/>
    <col min="13570" max="13570" width="45.42578125" customWidth="1"/>
    <col min="13571" max="13571" width="7.7109375" customWidth="1"/>
    <col min="13572" max="13572" width="12" customWidth="1"/>
    <col min="13573" max="13573" width="15.7109375" bestFit="1" customWidth="1"/>
    <col min="13574" max="13574" width="10.28515625" bestFit="1" customWidth="1"/>
    <col min="13575" max="13575" width="10.7109375" customWidth="1"/>
    <col min="13826" max="13826" width="45.42578125" customWidth="1"/>
    <col min="13827" max="13827" width="7.7109375" customWidth="1"/>
    <col min="13828" max="13828" width="12" customWidth="1"/>
    <col min="13829" max="13829" width="15.7109375" bestFit="1" customWidth="1"/>
    <col min="13830" max="13830" width="10.28515625" bestFit="1" customWidth="1"/>
    <col min="13831" max="13831" width="10.7109375" customWidth="1"/>
    <col min="14082" max="14082" width="45.42578125" customWidth="1"/>
    <col min="14083" max="14083" width="7.7109375" customWidth="1"/>
    <col min="14084" max="14084" width="12" customWidth="1"/>
    <col min="14085" max="14085" width="15.7109375" bestFit="1" customWidth="1"/>
    <col min="14086" max="14086" width="10.28515625" bestFit="1" customWidth="1"/>
    <col min="14087" max="14087" width="10.7109375" customWidth="1"/>
    <col min="14338" max="14338" width="45.42578125" customWidth="1"/>
    <col min="14339" max="14339" width="7.7109375" customWidth="1"/>
    <col min="14340" max="14340" width="12" customWidth="1"/>
    <col min="14341" max="14341" width="15.7109375" bestFit="1" customWidth="1"/>
    <col min="14342" max="14342" width="10.28515625" bestFit="1" customWidth="1"/>
    <col min="14343" max="14343" width="10.7109375" customWidth="1"/>
    <col min="14594" max="14594" width="45.42578125" customWidth="1"/>
    <col min="14595" max="14595" width="7.7109375" customWidth="1"/>
    <col min="14596" max="14596" width="12" customWidth="1"/>
    <col min="14597" max="14597" width="15.7109375" bestFit="1" customWidth="1"/>
    <col min="14598" max="14598" width="10.28515625" bestFit="1" customWidth="1"/>
    <col min="14599" max="14599" width="10.7109375" customWidth="1"/>
    <col min="14850" max="14850" width="45.42578125" customWidth="1"/>
    <col min="14851" max="14851" width="7.7109375" customWidth="1"/>
    <col min="14852" max="14852" width="12" customWidth="1"/>
    <col min="14853" max="14853" width="15.7109375" bestFit="1" customWidth="1"/>
    <col min="14854" max="14854" width="10.28515625" bestFit="1" customWidth="1"/>
    <col min="14855" max="14855" width="10.7109375" customWidth="1"/>
    <col min="15106" max="15106" width="45.42578125" customWidth="1"/>
    <col min="15107" max="15107" width="7.7109375" customWidth="1"/>
    <col min="15108" max="15108" width="12" customWidth="1"/>
    <col min="15109" max="15109" width="15.7109375" bestFit="1" customWidth="1"/>
    <col min="15110" max="15110" width="10.28515625" bestFit="1" customWidth="1"/>
    <col min="15111" max="15111" width="10.7109375" customWidth="1"/>
    <col min="15362" max="15362" width="45.42578125" customWidth="1"/>
    <col min="15363" max="15363" width="7.7109375" customWidth="1"/>
    <col min="15364" max="15364" width="12" customWidth="1"/>
    <col min="15365" max="15365" width="15.7109375" bestFit="1" customWidth="1"/>
    <col min="15366" max="15366" width="10.28515625" bestFit="1" customWidth="1"/>
    <col min="15367" max="15367" width="10.7109375" customWidth="1"/>
    <col min="15618" max="15618" width="45.42578125" customWidth="1"/>
    <col min="15619" max="15619" width="7.7109375" customWidth="1"/>
    <col min="15620" max="15620" width="12" customWidth="1"/>
    <col min="15621" max="15621" width="15.7109375" bestFit="1" customWidth="1"/>
    <col min="15622" max="15622" width="10.28515625" bestFit="1" customWidth="1"/>
    <col min="15623" max="15623" width="10.7109375" customWidth="1"/>
    <col min="15874" max="15874" width="45.42578125" customWidth="1"/>
    <col min="15875" max="15875" width="7.7109375" customWidth="1"/>
    <col min="15876" max="15876" width="12" customWidth="1"/>
    <col min="15877" max="15877" width="15.7109375" bestFit="1" customWidth="1"/>
    <col min="15878" max="15878" width="10.28515625" bestFit="1" customWidth="1"/>
    <col min="15879" max="15879" width="10.7109375" customWidth="1"/>
    <col min="16130" max="16130" width="45.42578125" customWidth="1"/>
    <col min="16131" max="16131" width="7.7109375" customWidth="1"/>
    <col min="16132" max="16132" width="12" customWidth="1"/>
    <col min="16133" max="16133" width="15.7109375" bestFit="1" customWidth="1"/>
    <col min="16134" max="16134" width="10.28515625" bestFit="1" customWidth="1"/>
    <col min="16135" max="16135" width="10.7109375" customWidth="1"/>
  </cols>
  <sheetData>
    <row r="1" spans="1:6" x14ac:dyDescent="0.25">
      <c r="A1" s="294" t="s">
        <v>20145</v>
      </c>
      <c r="B1" s="294"/>
      <c r="C1" s="294"/>
      <c r="D1" s="294"/>
      <c r="E1" s="294"/>
      <c r="F1" s="294"/>
    </row>
    <row r="2" spans="1:6" x14ac:dyDescent="0.25">
      <c r="A2" s="221" t="s">
        <v>542</v>
      </c>
      <c r="B2" s="221" t="s">
        <v>543</v>
      </c>
      <c r="C2" s="221" t="s">
        <v>9</v>
      </c>
      <c r="D2" s="221" t="s">
        <v>544</v>
      </c>
      <c r="E2" s="221" t="s">
        <v>5</v>
      </c>
      <c r="F2" s="221" t="s">
        <v>545</v>
      </c>
    </row>
    <row r="3" spans="1:6" x14ac:dyDescent="0.25">
      <c r="A3" s="23" t="str">
        <f>"3908195"</f>
        <v>3908195</v>
      </c>
      <c r="B3" s="23" t="s">
        <v>20146</v>
      </c>
      <c r="C3" s="23">
        <v>4.66</v>
      </c>
      <c r="D3" s="23">
        <v>367504</v>
      </c>
      <c r="E3" s="24">
        <v>44410.528287037036</v>
      </c>
      <c r="F3" s="221">
        <v>10935</v>
      </c>
    </row>
    <row r="4" spans="1:6" x14ac:dyDescent="0.25">
      <c r="A4" s="23" t="str">
        <f>"3909086"</f>
        <v>3909086</v>
      </c>
      <c r="B4" s="23" t="s">
        <v>3759</v>
      </c>
      <c r="C4" s="260">
        <v>4.22</v>
      </c>
      <c r="D4" s="23">
        <v>366725</v>
      </c>
      <c r="E4" s="24">
        <v>44410.698055555556</v>
      </c>
      <c r="F4" s="221">
        <v>10936</v>
      </c>
    </row>
    <row r="5" spans="1:6" x14ac:dyDescent="0.25">
      <c r="A5" s="23" t="str">
        <f>"3900383"</f>
        <v>3900383</v>
      </c>
      <c r="B5" s="23" t="s">
        <v>634</v>
      </c>
      <c r="C5" s="260">
        <v>2.64</v>
      </c>
      <c r="D5" s="23">
        <v>367066</v>
      </c>
      <c r="E5" s="24">
        <v>44410.640370370369</v>
      </c>
      <c r="F5" s="221">
        <v>10937</v>
      </c>
    </row>
    <row r="6" spans="1:6" x14ac:dyDescent="0.25">
      <c r="A6" s="23" t="str">
        <f>"3930021"</f>
        <v>3930021</v>
      </c>
      <c r="B6" s="23" t="s">
        <v>1120</v>
      </c>
      <c r="C6" s="260">
        <v>1.68</v>
      </c>
      <c r="D6" s="23">
        <v>366468</v>
      </c>
      <c r="E6" s="24">
        <v>44410.359675925924</v>
      </c>
      <c r="F6" s="221">
        <v>10938</v>
      </c>
    </row>
    <row r="7" spans="1:6" x14ac:dyDescent="0.25">
      <c r="A7" s="23" t="str">
        <f>"3907156"</f>
        <v>3907156</v>
      </c>
      <c r="B7" s="23" t="s">
        <v>1121</v>
      </c>
      <c r="C7" s="260">
        <v>6.94</v>
      </c>
      <c r="D7" s="23">
        <v>366200</v>
      </c>
      <c r="E7" s="24">
        <v>44410.369814814818</v>
      </c>
      <c r="F7" s="221">
        <v>10939</v>
      </c>
    </row>
    <row r="8" spans="1:6" x14ac:dyDescent="0.25">
      <c r="A8" s="23" t="str">
        <f>"3903064"</f>
        <v>3903064</v>
      </c>
      <c r="B8" s="23" t="s">
        <v>1096</v>
      </c>
      <c r="C8" s="260">
        <v>6.94</v>
      </c>
      <c r="D8" s="23">
        <v>366227</v>
      </c>
      <c r="E8" s="24">
        <v>44410.383634259262</v>
      </c>
      <c r="F8" s="221">
        <v>10940</v>
      </c>
    </row>
    <row r="9" spans="1:6" x14ac:dyDescent="0.25">
      <c r="A9" s="23" t="str">
        <f>"3909157"</f>
        <v>3909157</v>
      </c>
      <c r="B9" s="23" t="s">
        <v>3799</v>
      </c>
      <c r="C9" s="260">
        <v>5.14</v>
      </c>
      <c r="D9" s="23">
        <v>366825</v>
      </c>
      <c r="E9" s="24">
        <v>44410.446759259263</v>
      </c>
      <c r="F9" s="221">
        <v>10941</v>
      </c>
    </row>
    <row r="10" spans="1:6" x14ac:dyDescent="0.25">
      <c r="A10" s="23" t="str">
        <f>"3906750"</f>
        <v>3906750</v>
      </c>
      <c r="B10" s="23" t="s">
        <v>616</v>
      </c>
      <c r="C10" s="260">
        <v>7.02</v>
      </c>
      <c r="D10" s="23">
        <v>366678</v>
      </c>
      <c r="E10" s="24">
        <v>44410.517939814818</v>
      </c>
      <c r="F10" s="221">
        <v>10942</v>
      </c>
    </row>
    <row r="11" spans="1:6" x14ac:dyDescent="0.25">
      <c r="A11" s="23" t="str">
        <f>"3930391"</f>
        <v>3930391</v>
      </c>
      <c r="B11" s="23" t="s">
        <v>1100</v>
      </c>
      <c r="C11" s="260">
        <v>2.52</v>
      </c>
      <c r="D11" s="23">
        <v>366854</v>
      </c>
      <c r="E11" s="24">
        <v>44410.561666666668</v>
      </c>
      <c r="F11" s="221">
        <v>10943</v>
      </c>
    </row>
    <row r="12" spans="1:6" x14ac:dyDescent="0.25">
      <c r="A12" s="23" t="str">
        <f>"3909590"</f>
        <v>3909590</v>
      </c>
      <c r="B12" s="23" t="s">
        <v>20147</v>
      </c>
      <c r="C12" s="260">
        <v>1.58</v>
      </c>
      <c r="D12" s="23">
        <v>368031</v>
      </c>
      <c r="E12" s="24">
        <v>44410.653773148151</v>
      </c>
      <c r="F12" s="221">
        <v>10944</v>
      </c>
    </row>
    <row r="13" spans="1:6" x14ac:dyDescent="0.25">
      <c r="A13" s="23" t="str">
        <f>"3900953"</f>
        <v>3900953</v>
      </c>
      <c r="B13" s="23" t="s">
        <v>20148</v>
      </c>
      <c r="C13" s="260">
        <v>5.04</v>
      </c>
      <c r="D13" s="23">
        <v>353846</v>
      </c>
      <c r="E13" s="24">
        <v>44410.789664351854</v>
      </c>
      <c r="F13" s="221">
        <v>10945</v>
      </c>
    </row>
    <row r="14" spans="1:6" x14ac:dyDescent="0.25">
      <c r="A14" s="23" t="str">
        <f>"3930394"</f>
        <v>3930394</v>
      </c>
      <c r="B14" s="23" t="s">
        <v>558</v>
      </c>
      <c r="C14" s="260">
        <v>3.36</v>
      </c>
      <c r="D14" s="23">
        <v>366863</v>
      </c>
      <c r="E14" s="24">
        <v>44410.838807870372</v>
      </c>
      <c r="F14" s="221">
        <v>10946</v>
      </c>
    </row>
    <row r="15" spans="1:6" x14ac:dyDescent="0.25">
      <c r="A15" s="23" t="str">
        <f>"3909564"</f>
        <v>3909564</v>
      </c>
      <c r="B15" s="23" t="s">
        <v>18299</v>
      </c>
      <c r="C15" s="260">
        <v>5.13</v>
      </c>
      <c r="D15" s="23">
        <v>368011</v>
      </c>
      <c r="E15" s="24">
        <v>44410.853668981479</v>
      </c>
      <c r="F15" s="221">
        <v>10947</v>
      </c>
    </row>
    <row r="16" spans="1:6" x14ac:dyDescent="0.25">
      <c r="A16" s="23" t="str">
        <f>"3907330"</f>
        <v>3907330</v>
      </c>
      <c r="B16" s="23" t="s">
        <v>3777</v>
      </c>
      <c r="C16" s="260">
        <v>10.61</v>
      </c>
      <c r="D16" s="23">
        <v>366178</v>
      </c>
      <c r="E16" s="24">
        <v>44410.855046296296</v>
      </c>
      <c r="F16" s="221">
        <v>10948</v>
      </c>
    </row>
    <row r="17" spans="1:6" x14ac:dyDescent="0.25">
      <c r="A17" s="23" t="str">
        <f>"3902041"</f>
        <v>3902041</v>
      </c>
      <c r="B17" s="23" t="s">
        <v>3776</v>
      </c>
      <c r="C17" s="260">
        <v>8.3800000000000008</v>
      </c>
      <c r="D17" s="23">
        <v>366111</v>
      </c>
      <c r="E17" s="24">
        <v>44410.85565972222</v>
      </c>
      <c r="F17" s="221">
        <v>10949</v>
      </c>
    </row>
    <row r="18" spans="1:6" x14ac:dyDescent="0.25">
      <c r="A18" s="23"/>
      <c r="B18" s="221">
        <v>1</v>
      </c>
      <c r="C18" s="261">
        <f>SUM(C3:C17)</f>
        <v>75.859999999999985</v>
      </c>
      <c r="D18" s="23"/>
      <c r="E18" s="24"/>
      <c r="F18" s="221"/>
    </row>
    <row r="19" spans="1:6" x14ac:dyDescent="0.25">
      <c r="A19" s="23" t="str">
        <f>"3908502"</f>
        <v>3908502</v>
      </c>
      <c r="B19" s="23" t="s">
        <v>15937</v>
      </c>
      <c r="C19" s="260">
        <v>1.68</v>
      </c>
      <c r="D19" s="23">
        <v>368556</v>
      </c>
      <c r="E19" s="24">
        <v>44411.56890046296</v>
      </c>
      <c r="F19" s="221">
        <v>11081</v>
      </c>
    </row>
    <row r="20" spans="1:6" x14ac:dyDescent="0.25">
      <c r="A20" s="23" t="str">
        <f>"23923065"</f>
        <v>23923065</v>
      </c>
      <c r="B20" s="23" t="s">
        <v>20149</v>
      </c>
      <c r="C20" s="260">
        <v>9.7899999999999991</v>
      </c>
      <c r="D20" s="23">
        <v>1197</v>
      </c>
      <c r="E20" s="24">
        <v>44411.664027777777</v>
      </c>
      <c r="F20" s="221">
        <v>11082</v>
      </c>
    </row>
    <row r="21" spans="1:6" x14ac:dyDescent="0.25">
      <c r="A21" s="23" t="str">
        <f>"3903061"</f>
        <v>3903061</v>
      </c>
      <c r="B21" s="23" t="s">
        <v>569</v>
      </c>
      <c r="C21" s="260">
        <v>6.94</v>
      </c>
      <c r="D21" s="23">
        <v>366226</v>
      </c>
      <c r="E21" s="24">
        <v>44411.73541666667</v>
      </c>
      <c r="F21" s="221">
        <v>11083</v>
      </c>
    </row>
    <row r="22" spans="1:6" x14ac:dyDescent="0.25">
      <c r="A22" s="23" t="str">
        <f>"3903883"</f>
        <v>3903883</v>
      </c>
      <c r="B22" s="23" t="s">
        <v>1102</v>
      </c>
      <c r="C22" s="260">
        <v>1.68</v>
      </c>
      <c r="D22" s="23">
        <v>367523</v>
      </c>
      <c r="E22" s="24">
        <v>44411.73541666667</v>
      </c>
      <c r="F22" s="221">
        <v>11084</v>
      </c>
    </row>
    <row r="23" spans="1:6" x14ac:dyDescent="0.25">
      <c r="A23" s="23" t="str">
        <f>"3909039"</f>
        <v>3909039</v>
      </c>
      <c r="B23" s="23" t="s">
        <v>570</v>
      </c>
      <c r="C23" s="260">
        <v>0.24</v>
      </c>
      <c r="D23" s="23">
        <v>366716</v>
      </c>
      <c r="E23" s="24">
        <v>44411.73541666667</v>
      </c>
      <c r="F23" s="221">
        <v>11085</v>
      </c>
    </row>
    <row r="24" spans="1:6" x14ac:dyDescent="0.25">
      <c r="A24" s="23" t="str">
        <f>"3945435"</f>
        <v>3945435</v>
      </c>
      <c r="B24" s="23" t="s">
        <v>571</v>
      </c>
      <c r="C24" s="260">
        <v>8.3800000000000008</v>
      </c>
      <c r="D24" s="23">
        <v>366079</v>
      </c>
      <c r="E24" s="24">
        <v>44411.73541666667</v>
      </c>
      <c r="F24" s="221">
        <v>11086</v>
      </c>
    </row>
    <row r="25" spans="1:6" x14ac:dyDescent="0.25">
      <c r="A25" s="23" t="str">
        <f>"3945102"</f>
        <v>3945102</v>
      </c>
      <c r="B25" s="23" t="s">
        <v>572</v>
      </c>
      <c r="C25" s="260">
        <v>8.7200000000000006</v>
      </c>
      <c r="D25" s="23">
        <v>366045</v>
      </c>
      <c r="E25" s="24">
        <v>44411.73541666667</v>
      </c>
      <c r="F25" s="221">
        <v>11087</v>
      </c>
    </row>
    <row r="26" spans="1:6" x14ac:dyDescent="0.25">
      <c r="A26" s="23" t="str">
        <f>"3907239"</f>
        <v>3907239</v>
      </c>
      <c r="B26" s="23" t="s">
        <v>573</v>
      </c>
      <c r="C26" s="260">
        <v>6.94</v>
      </c>
      <c r="D26" s="23">
        <v>366213</v>
      </c>
      <c r="E26" s="24">
        <v>44411.73541666667</v>
      </c>
      <c r="F26" s="221">
        <v>11088</v>
      </c>
    </row>
    <row r="27" spans="1:6" x14ac:dyDescent="0.25">
      <c r="A27" s="23" t="str">
        <f>"3960315"</f>
        <v>3960315</v>
      </c>
      <c r="B27" s="23" t="s">
        <v>565</v>
      </c>
      <c r="C27" s="260">
        <v>4.42</v>
      </c>
      <c r="D27" s="23">
        <v>366098</v>
      </c>
      <c r="E27" s="24">
        <v>44411.73541666667</v>
      </c>
      <c r="F27" s="221">
        <v>11089</v>
      </c>
    </row>
    <row r="28" spans="1:6" x14ac:dyDescent="0.25">
      <c r="A28" s="23" t="str">
        <f>"3900349"</f>
        <v>3900349</v>
      </c>
      <c r="B28" s="23" t="s">
        <v>566</v>
      </c>
      <c r="C28" s="260">
        <v>1.98</v>
      </c>
      <c r="D28" s="23">
        <v>367056</v>
      </c>
      <c r="E28" s="24">
        <v>44411.73541666667</v>
      </c>
      <c r="F28" s="221">
        <v>11090</v>
      </c>
    </row>
    <row r="29" spans="1:6" x14ac:dyDescent="0.25">
      <c r="A29" s="23" t="str">
        <f>"3907942"</f>
        <v>3907942</v>
      </c>
      <c r="B29" s="23" t="s">
        <v>18303</v>
      </c>
      <c r="C29" s="260">
        <v>0.84</v>
      </c>
      <c r="D29" s="23">
        <v>366707</v>
      </c>
      <c r="E29" s="24">
        <v>44411.73541666667</v>
      </c>
      <c r="F29" s="221">
        <v>11091</v>
      </c>
    </row>
    <row r="30" spans="1:6" x14ac:dyDescent="0.25">
      <c r="A30" s="23" t="str">
        <f>"3903127"</f>
        <v>3903127</v>
      </c>
      <c r="B30" s="23" t="s">
        <v>577</v>
      </c>
      <c r="C30" s="260">
        <v>1.68</v>
      </c>
      <c r="D30" s="23">
        <v>366284</v>
      </c>
      <c r="E30" s="24">
        <v>44411.73541666667</v>
      </c>
      <c r="F30" s="221">
        <v>11092</v>
      </c>
    </row>
    <row r="31" spans="1:6" x14ac:dyDescent="0.25">
      <c r="A31" s="23" t="str">
        <f>"3945105"</f>
        <v>3945105</v>
      </c>
      <c r="B31" s="23" t="s">
        <v>1093</v>
      </c>
      <c r="C31" s="260">
        <v>8.3800000000000008</v>
      </c>
      <c r="D31" s="23">
        <v>366051</v>
      </c>
      <c r="E31" s="24">
        <v>44411.73541666667</v>
      </c>
      <c r="F31" s="221">
        <v>11093</v>
      </c>
    </row>
    <row r="32" spans="1:6" x14ac:dyDescent="0.25">
      <c r="A32" s="23" t="str">
        <f>"3900568"</f>
        <v>3900568</v>
      </c>
      <c r="B32" s="23" t="s">
        <v>1118</v>
      </c>
      <c r="C32" s="260">
        <v>1.68</v>
      </c>
      <c r="D32" s="23">
        <v>367113</v>
      </c>
      <c r="E32" s="24">
        <v>44411.73541666667</v>
      </c>
      <c r="F32" s="221">
        <v>11094</v>
      </c>
    </row>
    <row r="33" spans="1:7" x14ac:dyDescent="0.25">
      <c r="A33" s="23" t="str">
        <f>"3901398"</f>
        <v>3901398</v>
      </c>
      <c r="B33" s="23" t="s">
        <v>568</v>
      </c>
      <c r="C33" s="260">
        <v>3.71</v>
      </c>
      <c r="D33" s="23">
        <v>367156</v>
      </c>
      <c r="E33" s="24">
        <v>44411.73541666667</v>
      </c>
      <c r="F33" s="221">
        <v>11095</v>
      </c>
      <c r="G33" s="26"/>
    </row>
    <row r="34" spans="1:7" x14ac:dyDescent="0.25">
      <c r="A34" s="23" t="str">
        <f>"3902419"</f>
        <v>3902419</v>
      </c>
      <c r="B34" s="23" t="s">
        <v>561</v>
      </c>
      <c r="C34" s="260">
        <v>11.74</v>
      </c>
      <c r="D34" s="23">
        <v>366885</v>
      </c>
      <c r="E34" s="24">
        <v>44411.73541666667</v>
      </c>
      <c r="F34" s="221">
        <v>11096</v>
      </c>
    </row>
    <row r="35" spans="1:7" x14ac:dyDescent="0.25">
      <c r="A35" s="23" t="str">
        <f>"3950033"</f>
        <v>3950033</v>
      </c>
      <c r="B35" s="23" t="s">
        <v>567</v>
      </c>
      <c r="C35" s="260">
        <v>8.3800000000000008</v>
      </c>
      <c r="D35" s="23">
        <v>366009</v>
      </c>
      <c r="E35" s="24">
        <v>44411.73541666667</v>
      </c>
      <c r="F35" s="221">
        <v>11097</v>
      </c>
    </row>
    <row r="36" spans="1:7" x14ac:dyDescent="0.25">
      <c r="A36" s="23" t="str">
        <f>"3960277"</f>
        <v>3960277</v>
      </c>
      <c r="B36" s="23" t="s">
        <v>575</v>
      </c>
      <c r="C36" s="260">
        <v>7.82</v>
      </c>
      <c r="D36" s="23">
        <v>366020</v>
      </c>
      <c r="E36" s="24">
        <v>44411.73541666667</v>
      </c>
      <c r="F36" s="221">
        <v>11098</v>
      </c>
    </row>
    <row r="37" spans="1:7" x14ac:dyDescent="0.25">
      <c r="A37" s="23" t="str">
        <f>"3902750"</f>
        <v>3902750</v>
      </c>
      <c r="B37" s="23" t="s">
        <v>563</v>
      </c>
      <c r="C37" s="260">
        <v>4.1900000000000004</v>
      </c>
      <c r="D37" s="23">
        <v>366137</v>
      </c>
      <c r="E37" s="24">
        <v>44411.73541666667</v>
      </c>
      <c r="F37" s="221">
        <v>11099</v>
      </c>
    </row>
    <row r="38" spans="1:7" x14ac:dyDescent="0.25">
      <c r="A38" s="23" t="str">
        <f>"3960364"</f>
        <v>3960364</v>
      </c>
      <c r="B38" s="23" t="s">
        <v>576</v>
      </c>
      <c r="C38" s="260">
        <v>8.3800000000000008</v>
      </c>
      <c r="D38" s="23">
        <v>366057</v>
      </c>
      <c r="E38" s="24">
        <v>44411.73541666667</v>
      </c>
      <c r="F38" s="221">
        <v>11100</v>
      </c>
    </row>
    <row r="39" spans="1:7" x14ac:dyDescent="0.25">
      <c r="A39" s="23" t="str">
        <f>"3903364"</f>
        <v>3903364</v>
      </c>
      <c r="B39" s="23" t="s">
        <v>564</v>
      </c>
      <c r="C39" s="260">
        <v>7.41</v>
      </c>
      <c r="D39" s="23">
        <v>366494</v>
      </c>
      <c r="E39" s="24">
        <v>44411.73541666667</v>
      </c>
      <c r="F39" s="221">
        <v>11101</v>
      </c>
    </row>
    <row r="40" spans="1:7" x14ac:dyDescent="0.25">
      <c r="A40" s="23" t="str">
        <f>"3909936"</f>
        <v>3909936</v>
      </c>
      <c r="B40" s="23" t="s">
        <v>560</v>
      </c>
      <c r="C40" s="260">
        <v>3.16</v>
      </c>
      <c r="D40" s="23">
        <v>366403</v>
      </c>
      <c r="E40" s="24">
        <v>44411.73541666667</v>
      </c>
      <c r="F40" s="221">
        <v>11102</v>
      </c>
    </row>
    <row r="41" spans="1:7" x14ac:dyDescent="0.25">
      <c r="A41" s="23" t="str">
        <f>"3909223"</f>
        <v>3909223</v>
      </c>
      <c r="B41" s="23" t="s">
        <v>583</v>
      </c>
      <c r="C41" s="260">
        <v>2.21</v>
      </c>
      <c r="D41" s="23">
        <v>366932</v>
      </c>
      <c r="E41" s="24">
        <v>44411.73541666667</v>
      </c>
      <c r="F41" s="221">
        <v>11103</v>
      </c>
    </row>
    <row r="42" spans="1:7" x14ac:dyDescent="0.25">
      <c r="A42" s="23" t="str">
        <f>"3903282"</f>
        <v>3903282</v>
      </c>
      <c r="B42" s="23" t="s">
        <v>584</v>
      </c>
      <c r="C42" s="260">
        <v>1.68</v>
      </c>
      <c r="D42" s="23">
        <v>367280</v>
      </c>
      <c r="E42" s="24">
        <v>44411.73541666667</v>
      </c>
      <c r="F42" s="221">
        <v>11104</v>
      </c>
    </row>
    <row r="43" spans="1:7" x14ac:dyDescent="0.25">
      <c r="A43" s="23" t="str">
        <f>"3903098"</f>
        <v>3903098</v>
      </c>
      <c r="B43" s="23" t="s">
        <v>586</v>
      </c>
      <c r="C43" s="260">
        <v>3.47</v>
      </c>
      <c r="D43" s="23">
        <v>366233</v>
      </c>
      <c r="E43" s="24">
        <v>44411.73541666667</v>
      </c>
      <c r="F43" s="221">
        <v>11105</v>
      </c>
    </row>
    <row r="44" spans="1:7" x14ac:dyDescent="0.25">
      <c r="A44" s="23" t="str">
        <f>"3901113"</f>
        <v>3901113</v>
      </c>
      <c r="B44" s="23" t="s">
        <v>592</v>
      </c>
      <c r="C44" s="260">
        <v>2.58</v>
      </c>
      <c r="D44" s="23">
        <v>366534</v>
      </c>
      <c r="E44" s="24">
        <v>44411.73541666667</v>
      </c>
      <c r="F44" s="221">
        <v>11106</v>
      </c>
    </row>
    <row r="45" spans="1:7" x14ac:dyDescent="0.25">
      <c r="A45" s="23" t="str">
        <f>"3909981"</f>
        <v>3909981</v>
      </c>
      <c r="B45" s="23" t="s">
        <v>582</v>
      </c>
      <c r="C45" s="260">
        <v>1.86</v>
      </c>
      <c r="D45" s="23">
        <v>366351</v>
      </c>
      <c r="E45" s="24">
        <v>44411.73541666667</v>
      </c>
      <c r="F45" s="221">
        <v>11107</v>
      </c>
    </row>
    <row r="46" spans="1:7" x14ac:dyDescent="0.25">
      <c r="A46" s="23" t="str">
        <f>"3960264"</f>
        <v>3960264</v>
      </c>
      <c r="B46" s="23" t="s">
        <v>594</v>
      </c>
      <c r="C46" s="260">
        <v>7.82</v>
      </c>
      <c r="D46" s="23">
        <v>366000</v>
      </c>
      <c r="E46" s="24">
        <v>44411.73541666667</v>
      </c>
      <c r="F46" s="221">
        <v>11108</v>
      </c>
    </row>
    <row r="47" spans="1:7" x14ac:dyDescent="0.25">
      <c r="A47" s="23" t="str">
        <f>"3960232"</f>
        <v>3960232</v>
      </c>
      <c r="B47" s="23" t="s">
        <v>595</v>
      </c>
      <c r="C47" s="260">
        <v>12.3</v>
      </c>
      <c r="D47" s="23">
        <v>366046</v>
      </c>
      <c r="E47" s="24">
        <v>44411.73541666667</v>
      </c>
      <c r="F47" s="221">
        <v>11109</v>
      </c>
    </row>
    <row r="48" spans="1:7" x14ac:dyDescent="0.25">
      <c r="A48" s="23" t="str">
        <f>"3906324"</f>
        <v>3906324</v>
      </c>
      <c r="B48" s="23" t="s">
        <v>591</v>
      </c>
      <c r="C48" s="260">
        <v>4.1900000000000004</v>
      </c>
      <c r="D48" s="23">
        <v>366161</v>
      </c>
      <c r="E48" s="24">
        <v>44411.73541666667</v>
      </c>
      <c r="F48" s="221">
        <v>11110</v>
      </c>
    </row>
    <row r="49" spans="1:6" x14ac:dyDescent="0.25">
      <c r="A49" s="23" t="str">
        <f>"3920281"</f>
        <v>3920281</v>
      </c>
      <c r="B49" s="23" t="s">
        <v>588</v>
      </c>
      <c r="C49" s="260">
        <v>7.82</v>
      </c>
      <c r="D49" s="23">
        <v>365994</v>
      </c>
      <c r="E49" s="24">
        <v>44411.73541666667</v>
      </c>
      <c r="F49" s="221">
        <v>11111</v>
      </c>
    </row>
    <row r="50" spans="1:6" x14ac:dyDescent="0.25">
      <c r="A50" s="23" t="str">
        <f>"3945272"</f>
        <v>3945272</v>
      </c>
      <c r="B50" s="23" t="s">
        <v>589</v>
      </c>
      <c r="C50" s="260">
        <v>4.1900000000000004</v>
      </c>
      <c r="D50" s="23">
        <v>366144</v>
      </c>
      <c r="E50" s="24">
        <v>44411.73541666667</v>
      </c>
      <c r="F50" s="221">
        <v>11112</v>
      </c>
    </row>
    <row r="51" spans="1:6" x14ac:dyDescent="0.25">
      <c r="A51" s="23" t="str">
        <f>"3900676"</f>
        <v>3900676</v>
      </c>
      <c r="B51" s="23" t="s">
        <v>1103</v>
      </c>
      <c r="C51" s="260">
        <v>1.68</v>
      </c>
      <c r="D51" s="23">
        <v>367430</v>
      </c>
      <c r="E51" s="24">
        <v>44411.73541666667</v>
      </c>
      <c r="F51" s="221">
        <v>11113</v>
      </c>
    </row>
    <row r="52" spans="1:6" x14ac:dyDescent="0.25">
      <c r="A52" s="23" t="str">
        <f>"3950328"</f>
        <v>3950328</v>
      </c>
      <c r="B52" s="23" t="s">
        <v>585</v>
      </c>
      <c r="C52" s="260">
        <v>8.3800000000000008</v>
      </c>
      <c r="D52" s="23">
        <v>366101</v>
      </c>
      <c r="E52" s="24">
        <v>44411.73541666667</v>
      </c>
      <c r="F52" s="221">
        <v>11114</v>
      </c>
    </row>
    <row r="53" spans="1:6" x14ac:dyDescent="0.25">
      <c r="A53" s="23" t="str">
        <f>"3900963"</f>
        <v>3900963</v>
      </c>
      <c r="B53" s="23" t="s">
        <v>15949</v>
      </c>
      <c r="C53" s="260">
        <v>1.68</v>
      </c>
      <c r="D53" s="23">
        <v>366413</v>
      </c>
      <c r="E53" s="24">
        <v>44411.73541666667</v>
      </c>
      <c r="F53" s="221">
        <v>11115</v>
      </c>
    </row>
    <row r="54" spans="1:6" x14ac:dyDescent="0.25">
      <c r="A54" s="23" t="str">
        <f>"3960256"</f>
        <v>3960256</v>
      </c>
      <c r="B54" s="23" t="s">
        <v>580</v>
      </c>
      <c r="C54" s="260">
        <v>17.899999999999999</v>
      </c>
      <c r="D54" s="23">
        <v>366007</v>
      </c>
      <c r="E54" s="24">
        <v>44411.73541666667</v>
      </c>
      <c r="F54" s="221">
        <v>11116</v>
      </c>
    </row>
    <row r="55" spans="1:6" x14ac:dyDescent="0.25">
      <c r="A55" s="23" t="str">
        <f>"3900389"</f>
        <v>3900389</v>
      </c>
      <c r="B55" s="23" t="s">
        <v>581</v>
      </c>
      <c r="C55" s="260">
        <v>1.68</v>
      </c>
      <c r="D55" s="23">
        <v>367068</v>
      </c>
      <c r="E55" s="24">
        <v>44411.73541666667</v>
      </c>
      <c r="F55" s="221">
        <v>11117</v>
      </c>
    </row>
    <row r="56" spans="1:6" x14ac:dyDescent="0.25">
      <c r="A56" s="23" t="str">
        <f>"3906796"</f>
        <v>3906796</v>
      </c>
      <c r="B56" s="23" t="s">
        <v>596</v>
      </c>
      <c r="C56" s="260">
        <v>1.94</v>
      </c>
      <c r="D56" s="23">
        <v>368350</v>
      </c>
      <c r="E56" s="24">
        <v>44411.73541666667</v>
      </c>
      <c r="F56" s="221">
        <v>11118</v>
      </c>
    </row>
    <row r="57" spans="1:6" x14ac:dyDescent="0.25">
      <c r="A57" s="23" t="str">
        <f>"3908672"</f>
        <v>3908672</v>
      </c>
      <c r="B57" s="23" t="s">
        <v>598</v>
      </c>
      <c r="C57" s="260">
        <v>1.95</v>
      </c>
      <c r="D57" s="23">
        <v>368248</v>
      </c>
      <c r="E57" s="24">
        <v>44411.73541666667</v>
      </c>
      <c r="F57" s="221">
        <v>11119</v>
      </c>
    </row>
    <row r="58" spans="1:6" x14ac:dyDescent="0.25">
      <c r="A58" s="23" t="str">
        <f>"3908716"</f>
        <v>3908716</v>
      </c>
      <c r="B58" s="23" t="s">
        <v>597</v>
      </c>
      <c r="C58" s="260">
        <v>1.94</v>
      </c>
      <c r="D58" s="23">
        <v>368257</v>
      </c>
      <c r="E58" s="24">
        <v>44411.73541666667</v>
      </c>
      <c r="F58" s="221">
        <v>11120</v>
      </c>
    </row>
    <row r="59" spans="1:6" x14ac:dyDescent="0.25">
      <c r="A59" s="23" t="str">
        <f>"3909585"</f>
        <v>3909585</v>
      </c>
      <c r="B59" s="23" t="s">
        <v>18302</v>
      </c>
      <c r="C59" s="260">
        <v>3.71</v>
      </c>
      <c r="D59" s="23">
        <v>368603</v>
      </c>
      <c r="E59" s="24">
        <v>44411.73541666667</v>
      </c>
      <c r="F59" s="221">
        <v>11121</v>
      </c>
    </row>
    <row r="60" spans="1:6" x14ac:dyDescent="0.25">
      <c r="A60" s="23" t="str">
        <f>"3901033"</f>
        <v>3901033</v>
      </c>
      <c r="B60" s="23" t="s">
        <v>601</v>
      </c>
      <c r="C60" s="260">
        <v>35.99</v>
      </c>
      <c r="D60" s="23">
        <v>368169</v>
      </c>
      <c r="E60" s="24">
        <v>44411.73541666667</v>
      </c>
      <c r="F60" s="221">
        <v>11122</v>
      </c>
    </row>
    <row r="61" spans="1:6" x14ac:dyDescent="0.25">
      <c r="A61" s="23" t="str">
        <f>"3900657"</f>
        <v>3900657</v>
      </c>
      <c r="B61" s="23" t="s">
        <v>599</v>
      </c>
      <c r="C61" s="260">
        <v>15.3</v>
      </c>
      <c r="D61" s="23">
        <v>368159</v>
      </c>
      <c r="E61" s="24">
        <v>44411.73541666667</v>
      </c>
      <c r="F61" s="221">
        <v>11123</v>
      </c>
    </row>
    <row r="62" spans="1:6" x14ac:dyDescent="0.25">
      <c r="A62" s="23" t="str">
        <f>"3900340"</f>
        <v>3900340</v>
      </c>
      <c r="B62" s="23" t="s">
        <v>599</v>
      </c>
      <c r="C62" s="260">
        <v>15.3</v>
      </c>
      <c r="D62" s="23">
        <v>368160</v>
      </c>
      <c r="E62" s="24">
        <v>44411.73541666667</v>
      </c>
      <c r="F62" s="221">
        <v>11124</v>
      </c>
    </row>
    <row r="63" spans="1:6" x14ac:dyDescent="0.25">
      <c r="A63" s="23" t="str">
        <f>"3900344"</f>
        <v>3900344</v>
      </c>
      <c r="B63" s="23" t="s">
        <v>599</v>
      </c>
      <c r="C63" s="260">
        <v>15.3</v>
      </c>
      <c r="D63" s="23">
        <v>368161</v>
      </c>
      <c r="E63" s="24">
        <v>44411.73541666667</v>
      </c>
      <c r="F63" s="221">
        <v>11125</v>
      </c>
    </row>
    <row r="64" spans="1:6" x14ac:dyDescent="0.25">
      <c r="A64" s="23" t="str">
        <f>"3909007"</f>
        <v>3909007</v>
      </c>
      <c r="B64" s="23" t="s">
        <v>6080</v>
      </c>
      <c r="C64" s="260">
        <v>1.94</v>
      </c>
      <c r="D64" s="23">
        <v>368318</v>
      </c>
      <c r="E64" s="24">
        <v>44411.73541666667</v>
      </c>
      <c r="F64" s="221">
        <v>11126</v>
      </c>
    </row>
    <row r="65" spans="1:6" x14ac:dyDescent="0.25">
      <c r="A65" s="23" t="str">
        <f>"3930195"</f>
        <v>3930195</v>
      </c>
      <c r="B65" s="23" t="s">
        <v>6080</v>
      </c>
      <c r="C65" s="260">
        <v>1.94</v>
      </c>
      <c r="D65" s="23">
        <v>368365</v>
      </c>
      <c r="E65" s="24">
        <v>44411.73541666667</v>
      </c>
      <c r="F65" s="221">
        <v>11127</v>
      </c>
    </row>
    <row r="66" spans="1:6" x14ac:dyDescent="0.25">
      <c r="A66" s="23" t="str">
        <f>"3945038"</f>
        <v>3945038</v>
      </c>
      <c r="B66" s="23" t="s">
        <v>600</v>
      </c>
      <c r="C66" s="260">
        <v>15.3</v>
      </c>
      <c r="D66" s="23">
        <v>368163</v>
      </c>
      <c r="E66" s="24">
        <v>44411.73541666667</v>
      </c>
      <c r="F66" s="221">
        <v>11128</v>
      </c>
    </row>
    <row r="67" spans="1:6" x14ac:dyDescent="0.25">
      <c r="A67" s="23" t="str">
        <f>"3930053"</f>
        <v>3930053</v>
      </c>
      <c r="B67" s="23" t="s">
        <v>557</v>
      </c>
      <c r="C67" s="260">
        <v>10.29</v>
      </c>
      <c r="D67" s="23">
        <v>368275</v>
      </c>
      <c r="E67" s="24">
        <v>44411.73541666667</v>
      </c>
      <c r="F67" s="221">
        <v>11129</v>
      </c>
    </row>
    <row r="68" spans="1:6" x14ac:dyDescent="0.25">
      <c r="A68" s="23"/>
      <c r="B68" s="221">
        <v>2</v>
      </c>
      <c r="C68" s="261">
        <f>SUM(C19:C67)</f>
        <v>318.48000000000008</v>
      </c>
      <c r="D68" s="23"/>
      <c r="E68" s="24"/>
      <c r="F68" s="221"/>
    </row>
    <row r="69" spans="1:6" x14ac:dyDescent="0.25">
      <c r="A69" s="23" t="str">
        <f>"3900695"</f>
        <v>3900695</v>
      </c>
      <c r="B69" s="23" t="s">
        <v>3763</v>
      </c>
      <c r="C69" s="260">
        <v>8.98</v>
      </c>
      <c r="D69" s="23">
        <v>367145</v>
      </c>
      <c r="E69" s="24">
        <v>44412.358738425923</v>
      </c>
      <c r="F69" s="221">
        <v>11400</v>
      </c>
    </row>
    <row r="70" spans="1:6" x14ac:dyDescent="0.25">
      <c r="A70" s="23" t="str">
        <f>"3908340"</f>
        <v>3908340</v>
      </c>
      <c r="B70" s="23" t="s">
        <v>13189</v>
      </c>
      <c r="C70" s="260">
        <v>3.36</v>
      </c>
      <c r="D70" s="23">
        <v>367602</v>
      </c>
      <c r="E70" s="24">
        <v>44412.366319444445</v>
      </c>
      <c r="F70" s="221">
        <v>11401</v>
      </c>
    </row>
    <row r="71" spans="1:6" x14ac:dyDescent="0.25">
      <c r="A71" s="23" t="str">
        <f>"3909033"</f>
        <v>3909033</v>
      </c>
      <c r="B71" s="23" t="s">
        <v>6091</v>
      </c>
      <c r="C71" s="260">
        <v>1.69</v>
      </c>
      <c r="D71" s="23">
        <v>366834</v>
      </c>
      <c r="E71" s="24">
        <v>44412.437048611115</v>
      </c>
      <c r="F71" s="221">
        <v>11402</v>
      </c>
    </row>
    <row r="72" spans="1:6" x14ac:dyDescent="0.25">
      <c r="A72" s="23" t="str">
        <f>"3907425"</f>
        <v>3907425</v>
      </c>
      <c r="B72" s="23" t="s">
        <v>559</v>
      </c>
      <c r="C72" s="260">
        <v>6.87</v>
      </c>
      <c r="D72" s="23">
        <v>367419</v>
      </c>
      <c r="E72" s="24">
        <v>44412.439120370371</v>
      </c>
      <c r="F72" s="221">
        <v>11403</v>
      </c>
    </row>
    <row r="73" spans="1:6" x14ac:dyDescent="0.25">
      <c r="A73" s="23" t="str">
        <f>"3960276"</f>
        <v>3960276</v>
      </c>
      <c r="B73" s="23" t="s">
        <v>3750</v>
      </c>
      <c r="C73" s="260">
        <v>12.3</v>
      </c>
      <c r="D73" s="23">
        <v>366019</v>
      </c>
      <c r="E73" s="24">
        <v>44412.442476851851</v>
      </c>
      <c r="F73" s="221">
        <v>11404</v>
      </c>
    </row>
    <row r="74" spans="1:6" x14ac:dyDescent="0.25">
      <c r="A74" s="23" t="str">
        <f>"3907489"</f>
        <v>3907489</v>
      </c>
      <c r="B74" s="23" t="s">
        <v>1092</v>
      </c>
      <c r="C74" s="260">
        <v>6.94</v>
      </c>
      <c r="D74" s="23">
        <v>366244</v>
      </c>
      <c r="E74" s="24">
        <v>44412.508263888885</v>
      </c>
      <c r="F74" s="221">
        <v>11405</v>
      </c>
    </row>
    <row r="75" spans="1:6" x14ac:dyDescent="0.25">
      <c r="A75" s="23" t="str">
        <f>"3906995"</f>
        <v>3906995</v>
      </c>
      <c r="B75" s="23" t="s">
        <v>628</v>
      </c>
      <c r="C75" s="260">
        <v>14.16</v>
      </c>
      <c r="D75" s="23">
        <v>368226</v>
      </c>
      <c r="E75" s="24">
        <v>44412.544328703705</v>
      </c>
      <c r="F75" s="221">
        <v>11406</v>
      </c>
    </row>
    <row r="76" spans="1:6" x14ac:dyDescent="0.25">
      <c r="A76" s="23" t="str">
        <f>"3906994"</f>
        <v>3906994</v>
      </c>
      <c r="B76" s="23" t="s">
        <v>628</v>
      </c>
      <c r="C76" s="260">
        <v>14.36</v>
      </c>
      <c r="D76" s="23">
        <v>368225</v>
      </c>
      <c r="E76" s="24">
        <v>44412.544560185182</v>
      </c>
      <c r="F76" s="221">
        <v>11407</v>
      </c>
    </row>
    <row r="77" spans="1:6" x14ac:dyDescent="0.25">
      <c r="A77" s="23" t="str">
        <f>"3909857"</f>
        <v>3909857</v>
      </c>
      <c r="B77" s="23" t="s">
        <v>18300</v>
      </c>
      <c r="C77" s="260">
        <v>4.5199999999999996</v>
      </c>
      <c r="D77" s="23">
        <v>366291</v>
      </c>
      <c r="E77" s="24">
        <v>44412.553148148145</v>
      </c>
      <c r="F77" s="221">
        <v>11408</v>
      </c>
    </row>
    <row r="78" spans="1:6" x14ac:dyDescent="0.25">
      <c r="A78" s="23" t="str">
        <f>"3906914"</f>
        <v>3906914</v>
      </c>
      <c r="B78" s="23" t="s">
        <v>20150</v>
      </c>
      <c r="C78" s="260">
        <v>3.64</v>
      </c>
      <c r="D78" s="23">
        <v>367363</v>
      </c>
      <c r="E78" s="24">
        <v>44412.724618055552</v>
      </c>
      <c r="F78" s="221">
        <v>11409</v>
      </c>
    </row>
    <row r="79" spans="1:6" x14ac:dyDescent="0.25">
      <c r="A79" s="23" t="str">
        <f>"3907541"</f>
        <v>3907541</v>
      </c>
      <c r="B79" s="23" t="s">
        <v>578</v>
      </c>
      <c r="C79" s="260">
        <v>1.71</v>
      </c>
      <c r="D79" s="23">
        <v>366297</v>
      </c>
      <c r="E79" s="24">
        <v>44412.725173611114</v>
      </c>
      <c r="F79" s="221">
        <v>11410</v>
      </c>
    </row>
    <row r="80" spans="1:6" x14ac:dyDescent="0.25">
      <c r="A80" s="23"/>
      <c r="B80" s="221">
        <v>3</v>
      </c>
      <c r="C80" s="261">
        <f>SUM(C69:C79)</f>
        <v>78.529999999999987</v>
      </c>
      <c r="D80" s="23"/>
      <c r="E80" s="24"/>
      <c r="F80" s="221"/>
    </row>
    <row r="81" spans="1:6" x14ac:dyDescent="0.25">
      <c r="A81" s="23" t="str">
        <f>"3908875"</f>
        <v>3908875</v>
      </c>
      <c r="B81" s="23" t="s">
        <v>1095</v>
      </c>
      <c r="C81" s="260">
        <v>2.11</v>
      </c>
      <c r="D81" s="23">
        <v>366484</v>
      </c>
      <c r="E81" s="24">
        <v>44413.420104166667</v>
      </c>
      <c r="F81" s="221">
        <v>11497</v>
      </c>
    </row>
    <row r="82" spans="1:6" x14ac:dyDescent="0.25">
      <c r="A82" s="23" t="str">
        <f>"3909119"</f>
        <v>3909119</v>
      </c>
      <c r="B82" s="23" t="s">
        <v>1124</v>
      </c>
      <c r="C82" s="260">
        <v>35.07</v>
      </c>
      <c r="D82" s="23">
        <v>366812</v>
      </c>
      <c r="E82" s="24">
        <v>44413.533807870372</v>
      </c>
      <c r="F82" s="221">
        <v>11498</v>
      </c>
    </row>
    <row r="83" spans="1:6" x14ac:dyDescent="0.25">
      <c r="A83" s="23" t="str">
        <f>"3908019"</f>
        <v>3908019</v>
      </c>
      <c r="B83" s="23" t="s">
        <v>1094</v>
      </c>
      <c r="C83" s="260">
        <v>22.93</v>
      </c>
      <c r="D83" s="23">
        <v>366817</v>
      </c>
      <c r="E83" s="24">
        <v>44413.550902777781</v>
      </c>
      <c r="F83" s="221">
        <v>11499</v>
      </c>
    </row>
    <row r="84" spans="1:6" x14ac:dyDescent="0.25">
      <c r="A84" s="23" t="str">
        <f>"3906821"</f>
        <v>3906821</v>
      </c>
      <c r="B84" s="23" t="s">
        <v>629</v>
      </c>
      <c r="C84" s="260">
        <v>3.53</v>
      </c>
      <c r="D84" s="23">
        <v>366802</v>
      </c>
      <c r="E84" s="24">
        <v>44413.576331018521</v>
      </c>
      <c r="F84" s="221">
        <v>11500</v>
      </c>
    </row>
    <row r="85" spans="1:6" x14ac:dyDescent="0.25">
      <c r="A85" s="23" t="str">
        <f>"3908230"</f>
        <v>3908230</v>
      </c>
      <c r="B85" s="23" t="s">
        <v>1566</v>
      </c>
      <c r="C85" s="260">
        <v>1.68</v>
      </c>
      <c r="D85" s="23">
        <v>368501</v>
      </c>
      <c r="E85" s="24">
        <v>44413.578310185185</v>
      </c>
      <c r="F85" s="221">
        <v>11501</v>
      </c>
    </row>
    <row r="86" spans="1:6" x14ac:dyDescent="0.25">
      <c r="A86" s="23" t="str">
        <f>"3900593"</f>
        <v>3900593</v>
      </c>
      <c r="B86" s="23" t="s">
        <v>3767</v>
      </c>
      <c r="C86" s="260">
        <v>1.68</v>
      </c>
      <c r="D86" s="23">
        <v>367120</v>
      </c>
      <c r="E86" s="24">
        <v>44413.62804398148</v>
      </c>
      <c r="F86" s="221">
        <v>11502</v>
      </c>
    </row>
    <row r="87" spans="1:6" x14ac:dyDescent="0.25">
      <c r="A87" s="23" t="str">
        <f>"3908657"</f>
        <v>3908657</v>
      </c>
      <c r="B87" s="23" t="s">
        <v>1128</v>
      </c>
      <c r="C87" s="260">
        <v>6.08</v>
      </c>
      <c r="D87" s="23">
        <v>366958</v>
      </c>
      <c r="E87" s="24">
        <v>44413.706736111111</v>
      </c>
      <c r="F87" s="221">
        <v>11503</v>
      </c>
    </row>
    <row r="88" spans="1:6" x14ac:dyDescent="0.25">
      <c r="A88" s="23"/>
      <c r="B88" s="221">
        <v>4</v>
      </c>
      <c r="C88" s="261">
        <f>SUM(C81:C87)</f>
        <v>73.080000000000013</v>
      </c>
      <c r="D88" s="23"/>
      <c r="E88" s="24"/>
      <c r="F88" s="221"/>
    </row>
    <row r="89" spans="1:6" x14ac:dyDescent="0.25">
      <c r="A89" s="23" t="str">
        <f>"3901741"</f>
        <v>3901741</v>
      </c>
      <c r="B89" s="23" t="s">
        <v>3770</v>
      </c>
      <c r="C89" s="260">
        <v>2.64</v>
      </c>
      <c r="D89" s="23">
        <v>367502</v>
      </c>
      <c r="E89" s="24">
        <v>44414.311168981483</v>
      </c>
      <c r="F89" s="221">
        <v>11591</v>
      </c>
    </row>
    <row r="90" spans="1:6" x14ac:dyDescent="0.25">
      <c r="A90" s="23" t="str">
        <f>"3901940"</f>
        <v>3901940</v>
      </c>
      <c r="B90" s="23" t="s">
        <v>547</v>
      </c>
      <c r="C90" s="260">
        <v>3.73</v>
      </c>
      <c r="D90" s="23">
        <v>366292</v>
      </c>
      <c r="E90" s="24">
        <v>44414.367395833331</v>
      </c>
      <c r="F90" s="221">
        <v>11592</v>
      </c>
    </row>
    <row r="91" spans="1:6" x14ac:dyDescent="0.25">
      <c r="A91" s="23" t="str">
        <f>"3960363"</f>
        <v>3960363</v>
      </c>
      <c r="B91" s="23" t="s">
        <v>11652</v>
      </c>
      <c r="C91" s="260">
        <v>25.36</v>
      </c>
      <c r="D91" s="23">
        <v>366056</v>
      </c>
      <c r="E91" s="24">
        <v>44414.430486111109</v>
      </c>
      <c r="F91" s="221">
        <v>11593</v>
      </c>
    </row>
    <row r="92" spans="1:6" x14ac:dyDescent="0.25">
      <c r="A92" s="23" t="str">
        <f>"3907994"</f>
        <v>3907994</v>
      </c>
      <c r="B92" s="23" t="s">
        <v>1110</v>
      </c>
      <c r="C92" s="260">
        <v>5.04</v>
      </c>
      <c r="D92" s="23">
        <v>356753</v>
      </c>
      <c r="E92" s="24">
        <v>44414.469293981485</v>
      </c>
      <c r="F92" s="221">
        <v>11594</v>
      </c>
    </row>
    <row r="93" spans="1:6" x14ac:dyDescent="0.25">
      <c r="A93" s="23" t="str">
        <f>"3960257"</f>
        <v>3960257</v>
      </c>
      <c r="B93" s="23" t="s">
        <v>605</v>
      </c>
      <c r="C93" s="260">
        <v>15.3</v>
      </c>
      <c r="D93" s="23">
        <v>368620</v>
      </c>
      <c r="E93" s="24">
        <v>44414.536400462966</v>
      </c>
      <c r="F93" s="221">
        <v>11595</v>
      </c>
    </row>
    <row r="94" spans="1:6" x14ac:dyDescent="0.25">
      <c r="A94" s="23" t="str">
        <f>"3960275"</f>
        <v>3960275</v>
      </c>
      <c r="B94" s="23" t="s">
        <v>605</v>
      </c>
      <c r="C94" s="260">
        <v>15.3</v>
      </c>
      <c r="D94" s="23">
        <v>368619</v>
      </c>
      <c r="E94" s="24">
        <v>44414.536851851852</v>
      </c>
      <c r="F94" s="221">
        <v>11596</v>
      </c>
    </row>
    <row r="95" spans="1:6" x14ac:dyDescent="0.25">
      <c r="A95" s="23"/>
      <c r="B95" s="221">
        <v>5</v>
      </c>
      <c r="C95" s="261">
        <f>SUM(C89:C94)</f>
        <v>67.37</v>
      </c>
      <c r="D95" s="23"/>
      <c r="E95" s="24"/>
      <c r="F95" s="221"/>
    </row>
    <row r="96" spans="1:6" x14ac:dyDescent="0.25">
      <c r="A96" s="23" t="str">
        <f>"3903497"</f>
        <v>3903497</v>
      </c>
      <c r="B96" s="23" t="s">
        <v>1117</v>
      </c>
      <c r="C96" s="260">
        <v>3.92</v>
      </c>
      <c r="D96" s="23">
        <v>368510</v>
      </c>
      <c r="E96" s="24">
        <v>44418.41747685185</v>
      </c>
      <c r="F96" s="221">
        <v>11660</v>
      </c>
    </row>
    <row r="97" spans="1:6" x14ac:dyDescent="0.25">
      <c r="A97" s="23" t="str">
        <f>"3960313"</f>
        <v>3960313</v>
      </c>
      <c r="B97" s="23" t="s">
        <v>3744</v>
      </c>
      <c r="C97" s="260">
        <v>23.46</v>
      </c>
      <c r="D97" s="23">
        <v>366099</v>
      </c>
      <c r="E97" s="24">
        <v>44418.477164351854</v>
      </c>
      <c r="F97" s="221">
        <v>11661</v>
      </c>
    </row>
    <row r="98" spans="1:6" x14ac:dyDescent="0.25">
      <c r="A98" s="23" t="str">
        <f>"3930382"</f>
        <v>3930382</v>
      </c>
      <c r="B98" s="23" t="s">
        <v>11650</v>
      </c>
      <c r="C98" s="260">
        <v>6.18</v>
      </c>
      <c r="D98" s="23">
        <v>368373</v>
      </c>
      <c r="E98" s="24">
        <v>44418.553900462961</v>
      </c>
      <c r="F98" s="221">
        <v>11662</v>
      </c>
    </row>
    <row r="99" spans="1:6" x14ac:dyDescent="0.25">
      <c r="A99" s="23" t="str">
        <f>"3930383"</f>
        <v>3930383</v>
      </c>
      <c r="B99" s="23" t="s">
        <v>11650</v>
      </c>
      <c r="C99" s="260">
        <v>5.59</v>
      </c>
      <c r="D99" s="23">
        <v>368374</v>
      </c>
      <c r="E99" s="24">
        <v>44418.554062499999</v>
      </c>
      <c r="F99" s="221">
        <v>11663</v>
      </c>
    </row>
    <row r="100" spans="1:6" x14ac:dyDescent="0.25">
      <c r="A100" s="23" t="str">
        <f>"23923029"</f>
        <v>23923029</v>
      </c>
      <c r="B100" s="23" t="s">
        <v>621</v>
      </c>
      <c r="C100" s="260">
        <v>16.600000000000001</v>
      </c>
      <c r="D100" s="23">
        <v>4959</v>
      </c>
      <c r="E100" s="24">
        <v>44418.588935185187</v>
      </c>
      <c r="F100" s="221">
        <v>11664</v>
      </c>
    </row>
    <row r="101" spans="1:6" x14ac:dyDescent="0.25">
      <c r="A101" s="23" t="str">
        <f>"3909287"</f>
        <v>3909287</v>
      </c>
      <c r="B101" s="23" t="s">
        <v>20151</v>
      </c>
      <c r="C101" s="260">
        <v>4.6100000000000003</v>
      </c>
      <c r="D101" s="23">
        <v>362735</v>
      </c>
      <c r="E101" s="24">
        <v>44418.606724537036</v>
      </c>
      <c r="F101" s="221">
        <v>11665</v>
      </c>
    </row>
    <row r="102" spans="1:6" x14ac:dyDescent="0.25">
      <c r="A102" s="23" t="str">
        <f>"3900463"</f>
        <v>3900463</v>
      </c>
      <c r="B102" s="23" t="s">
        <v>20151</v>
      </c>
      <c r="C102" s="260">
        <v>15.2</v>
      </c>
      <c r="D102" s="23">
        <v>367085</v>
      </c>
      <c r="E102" s="24">
        <v>44418.610648148147</v>
      </c>
      <c r="F102" s="221">
        <v>11666</v>
      </c>
    </row>
    <row r="103" spans="1:6" x14ac:dyDescent="0.25">
      <c r="A103" s="23"/>
      <c r="B103" s="221">
        <v>6</v>
      </c>
      <c r="C103" s="261">
        <f>SUM(C96:C102)</f>
        <v>75.56</v>
      </c>
      <c r="D103" s="23"/>
      <c r="E103" s="24"/>
      <c r="F103" s="221"/>
    </row>
    <row r="104" spans="1:6" x14ac:dyDescent="0.25">
      <c r="A104" s="23" t="str">
        <f>"3945281"</f>
        <v>3945281</v>
      </c>
      <c r="B104" s="23" t="s">
        <v>1125</v>
      </c>
      <c r="C104" s="260">
        <v>8.3800000000000008</v>
      </c>
      <c r="D104" s="23">
        <v>366145</v>
      </c>
      <c r="E104" s="24">
        <v>44419.336458333331</v>
      </c>
      <c r="F104" s="221">
        <v>11700</v>
      </c>
    </row>
    <row r="105" spans="1:6" x14ac:dyDescent="0.25">
      <c r="A105" s="23" t="str">
        <f>"3920065"</f>
        <v>3920065</v>
      </c>
      <c r="B105" s="23" t="s">
        <v>610</v>
      </c>
      <c r="C105" s="260">
        <v>15.3</v>
      </c>
      <c r="D105" s="23">
        <v>368156</v>
      </c>
      <c r="E105" s="24">
        <v>44419.407673611109</v>
      </c>
      <c r="F105" s="221">
        <v>11701</v>
      </c>
    </row>
    <row r="106" spans="1:6" x14ac:dyDescent="0.25">
      <c r="A106" s="23" t="str">
        <f>"3902009"</f>
        <v>3902009</v>
      </c>
      <c r="B106" s="23" t="s">
        <v>608</v>
      </c>
      <c r="C106" s="260">
        <v>3.36</v>
      </c>
      <c r="D106" s="23">
        <v>368288</v>
      </c>
      <c r="E106" s="24">
        <v>44419.409942129627</v>
      </c>
      <c r="F106" s="221">
        <v>11702</v>
      </c>
    </row>
    <row r="107" spans="1:6" x14ac:dyDescent="0.25">
      <c r="A107" s="23" t="str">
        <f>"3945455"</f>
        <v>3945455</v>
      </c>
      <c r="B107" s="23" t="s">
        <v>1127</v>
      </c>
      <c r="C107" s="260">
        <v>8.3800000000000008</v>
      </c>
      <c r="D107" s="23">
        <v>366081</v>
      </c>
      <c r="E107" s="24">
        <v>44419.437268518515</v>
      </c>
      <c r="F107" s="221">
        <v>11703</v>
      </c>
    </row>
    <row r="108" spans="1:6" x14ac:dyDescent="0.25">
      <c r="A108" s="23" t="str">
        <f>"3903080"</f>
        <v>3903080</v>
      </c>
      <c r="B108" s="23" t="s">
        <v>3772</v>
      </c>
      <c r="C108" s="260">
        <v>3.36</v>
      </c>
      <c r="D108" s="23">
        <v>367274</v>
      </c>
      <c r="E108" s="24">
        <v>44419.529803240737</v>
      </c>
      <c r="F108" s="221">
        <v>11704</v>
      </c>
    </row>
    <row r="109" spans="1:6" x14ac:dyDescent="0.25">
      <c r="A109" s="23" t="str">
        <f>"3909922"</f>
        <v>3909922</v>
      </c>
      <c r="B109" s="23" t="s">
        <v>1090</v>
      </c>
      <c r="C109" s="260">
        <v>5.3</v>
      </c>
      <c r="D109" s="23">
        <v>368254</v>
      </c>
      <c r="E109" s="24">
        <v>44419.548217592594</v>
      </c>
      <c r="F109" s="221">
        <v>11705</v>
      </c>
    </row>
    <row r="110" spans="1:6" x14ac:dyDescent="0.25">
      <c r="A110" s="23" t="str">
        <f>"3907525"</f>
        <v>3907525</v>
      </c>
      <c r="B110" s="23" t="s">
        <v>3786</v>
      </c>
      <c r="C110" s="260">
        <v>3.09</v>
      </c>
      <c r="D110" s="23">
        <v>368251</v>
      </c>
      <c r="E110" s="24">
        <v>44419.560381944444</v>
      </c>
      <c r="F110" s="221">
        <v>11706</v>
      </c>
    </row>
    <row r="111" spans="1:6" x14ac:dyDescent="0.25">
      <c r="A111" s="23" t="str">
        <f>"3907544"</f>
        <v>3907544</v>
      </c>
      <c r="B111" s="23" t="s">
        <v>3786</v>
      </c>
      <c r="C111" s="260">
        <v>1.94</v>
      </c>
      <c r="D111" s="23">
        <v>368250</v>
      </c>
      <c r="E111" s="24">
        <v>44419.561168981483</v>
      </c>
      <c r="F111" s="221">
        <v>11707</v>
      </c>
    </row>
    <row r="112" spans="1:6" x14ac:dyDescent="0.25">
      <c r="A112" s="23" t="str">
        <f>"3907169"</f>
        <v>3907169</v>
      </c>
      <c r="B112" s="23" t="s">
        <v>1134</v>
      </c>
      <c r="C112" s="260">
        <v>13.69</v>
      </c>
      <c r="D112" s="23">
        <v>368538</v>
      </c>
      <c r="E112" s="24">
        <v>44419.711122685185</v>
      </c>
      <c r="F112" s="221">
        <v>11708</v>
      </c>
    </row>
    <row r="113" spans="1:6" x14ac:dyDescent="0.25">
      <c r="A113" s="23" t="str">
        <f>"3900329"</f>
        <v>3900329</v>
      </c>
      <c r="B113" s="23" t="s">
        <v>1097</v>
      </c>
      <c r="C113" s="260">
        <v>2.0699999999999998</v>
      </c>
      <c r="D113" s="23">
        <v>367050</v>
      </c>
      <c r="E113" s="24">
        <v>44419.743171296293</v>
      </c>
      <c r="F113" s="221">
        <v>11709</v>
      </c>
    </row>
    <row r="114" spans="1:6" x14ac:dyDescent="0.25">
      <c r="A114" s="23" t="str">
        <f>"3909239"</f>
        <v>3909239</v>
      </c>
      <c r="B114" s="23" t="s">
        <v>1087</v>
      </c>
      <c r="C114" s="260">
        <v>1.68</v>
      </c>
      <c r="D114" s="23">
        <v>366939</v>
      </c>
      <c r="E114" s="24">
        <v>44419.786458333336</v>
      </c>
      <c r="F114" s="221">
        <v>11710</v>
      </c>
    </row>
    <row r="115" spans="1:6" x14ac:dyDescent="0.25">
      <c r="A115" s="23"/>
      <c r="B115" s="221">
        <v>7</v>
      </c>
      <c r="C115" s="261">
        <f>SUM(C104:C114)</f>
        <v>66.55</v>
      </c>
      <c r="D115" s="23"/>
      <c r="E115" s="24"/>
      <c r="F115" s="221"/>
    </row>
    <row r="116" spans="1:6" x14ac:dyDescent="0.25">
      <c r="A116" s="23" t="s">
        <v>15943</v>
      </c>
      <c r="B116" s="23" t="s">
        <v>604</v>
      </c>
      <c r="C116" s="260">
        <v>1.8</v>
      </c>
      <c r="D116" s="23">
        <v>366962</v>
      </c>
      <c r="E116" s="24">
        <v>44420.392766203702</v>
      </c>
      <c r="F116" s="221">
        <v>11787</v>
      </c>
    </row>
    <row r="117" spans="1:6" x14ac:dyDescent="0.25">
      <c r="A117" s="23" t="s">
        <v>15929</v>
      </c>
      <c r="B117" s="23" t="s">
        <v>1084</v>
      </c>
      <c r="C117" s="260">
        <v>1.68</v>
      </c>
      <c r="D117" s="23">
        <v>366505</v>
      </c>
      <c r="E117" s="24">
        <v>44420.446122685185</v>
      </c>
      <c r="F117" s="221">
        <v>11788</v>
      </c>
    </row>
    <row r="118" spans="1:6" x14ac:dyDescent="0.25">
      <c r="A118" s="23" t="s">
        <v>20152</v>
      </c>
      <c r="B118" s="23" t="s">
        <v>622</v>
      </c>
      <c r="C118" s="260">
        <v>30.6</v>
      </c>
      <c r="D118" s="23">
        <v>368174</v>
      </c>
      <c r="E118" s="24">
        <v>44420.536226851851</v>
      </c>
      <c r="F118" s="221">
        <v>11789</v>
      </c>
    </row>
    <row r="119" spans="1:6" x14ac:dyDescent="0.25">
      <c r="A119" s="23" t="s">
        <v>20153</v>
      </c>
      <c r="B119" s="23" t="s">
        <v>6087</v>
      </c>
      <c r="C119" s="260">
        <v>7.82</v>
      </c>
      <c r="D119" s="23">
        <v>366119</v>
      </c>
      <c r="E119" s="24">
        <v>44420.708333333336</v>
      </c>
      <c r="F119" s="221">
        <v>11790</v>
      </c>
    </row>
    <row r="120" spans="1:6" x14ac:dyDescent="0.25">
      <c r="A120" s="23"/>
      <c r="B120" s="221">
        <v>8</v>
      </c>
      <c r="C120" s="261">
        <f>SUM(C116:C119)</f>
        <v>41.9</v>
      </c>
      <c r="D120" s="23"/>
      <c r="E120" s="24"/>
      <c r="F120" s="221"/>
    </row>
    <row r="121" spans="1:6" x14ac:dyDescent="0.25">
      <c r="A121" s="23" t="str">
        <f>"3908390"</f>
        <v>3908390</v>
      </c>
      <c r="B121" s="23" t="s">
        <v>15938</v>
      </c>
      <c r="C121" s="260">
        <v>3.87</v>
      </c>
      <c r="D121" s="23">
        <v>367641</v>
      </c>
      <c r="E121" s="24">
        <v>44421.267627314817</v>
      </c>
      <c r="F121" s="221">
        <v>11953</v>
      </c>
    </row>
    <row r="122" spans="1:6" x14ac:dyDescent="0.25">
      <c r="A122" s="23" t="str">
        <f>"3930042"</f>
        <v>3930042</v>
      </c>
      <c r="B122" s="23" t="s">
        <v>620</v>
      </c>
      <c r="C122" s="260">
        <v>5.03</v>
      </c>
      <c r="D122" s="23">
        <v>368271</v>
      </c>
      <c r="E122" s="24">
        <v>44421.365694444445</v>
      </c>
      <c r="F122" s="221">
        <v>11954</v>
      </c>
    </row>
    <row r="123" spans="1:6" x14ac:dyDescent="0.25">
      <c r="A123" s="23" t="str">
        <f>"3908364"</f>
        <v>3908364</v>
      </c>
      <c r="B123" s="23" t="s">
        <v>6084</v>
      </c>
      <c r="C123" s="260">
        <v>1.68</v>
      </c>
      <c r="D123" s="23">
        <v>367625</v>
      </c>
      <c r="E123" s="24">
        <v>44421.480069444442</v>
      </c>
      <c r="F123" s="221">
        <v>11955</v>
      </c>
    </row>
    <row r="124" spans="1:6" x14ac:dyDescent="0.25">
      <c r="A124" s="23" t="str">
        <f>"3960241"</f>
        <v>3960241</v>
      </c>
      <c r="B124" s="23" t="s">
        <v>13204</v>
      </c>
      <c r="C124" s="260">
        <v>15.3</v>
      </c>
      <c r="D124" s="23">
        <v>368166</v>
      </c>
      <c r="E124" s="24">
        <v>44421.584189814814</v>
      </c>
      <c r="F124" s="221">
        <v>11956</v>
      </c>
    </row>
    <row r="125" spans="1:6" x14ac:dyDescent="0.25">
      <c r="A125" s="23" t="str">
        <f>"3907384"</f>
        <v>3907384</v>
      </c>
      <c r="B125" s="23" t="s">
        <v>20154</v>
      </c>
      <c r="C125" s="260">
        <v>16.96</v>
      </c>
      <c r="D125" s="23">
        <v>347958</v>
      </c>
      <c r="E125" s="24">
        <v>44421.591967592591</v>
      </c>
      <c r="F125" s="221">
        <v>11957</v>
      </c>
    </row>
    <row r="126" spans="1:6" x14ac:dyDescent="0.25">
      <c r="A126" s="23" t="str">
        <f>"3940887"</f>
        <v>3940887</v>
      </c>
      <c r="B126" s="23" t="s">
        <v>623</v>
      </c>
      <c r="C126" s="260">
        <v>17.899999999999999</v>
      </c>
      <c r="D126" s="23">
        <v>366023</v>
      </c>
      <c r="E126" s="24">
        <v>44421.624062499999</v>
      </c>
      <c r="F126" s="221">
        <v>11958</v>
      </c>
    </row>
    <row r="127" spans="1:6" x14ac:dyDescent="0.25">
      <c r="A127" s="23" t="str">
        <f>"3903217"</f>
        <v>3903217</v>
      </c>
      <c r="B127" s="23" t="s">
        <v>3743</v>
      </c>
      <c r="C127" s="260">
        <v>1.7</v>
      </c>
      <c r="D127" s="23">
        <v>366364</v>
      </c>
      <c r="E127" s="24">
        <v>44421.779386574075</v>
      </c>
      <c r="F127" s="221">
        <v>11959</v>
      </c>
    </row>
    <row r="128" spans="1:6" x14ac:dyDescent="0.25">
      <c r="A128" s="23" t="str">
        <f>"3903841"</f>
        <v>3903841</v>
      </c>
      <c r="B128" s="23" t="s">
        <v>3743</v>
      </c>
      <c r="C128" s="260">
        <v>3.34</v>
      </c>
      <c r="D128" s="23">
        <v>367296</v>
      </c>
      <c r="E128" s="24">
        <v>44421.780289351853</v>
      </c>
      <c r="F128" s="221">
        <v>11960</v>
      </c>
    </row>
    <row r="129" spans="1:6" x14ac:dyDescent="0.25">
      <c r="A129" s="23" t="str">
        <f>"3960269"</f>
        <v>3960269</v>
      </c>
      <c r="B129" s="23" t="s">
        <v>3745</v>
      </c>
      <c r="C129" s="260">
        <v>12.3</v>
      </c>
      <c r="D129" s="23">
        <v>366003</v>
      </c>
      <c r="E129" s="24">
        <v>44421.822094907409</v>
      </c>
      <c r="F129" s="221">
        <v>11961</v>
      </c>
    </row>
    <row r="130" spans="1:6" x14ac:dyDescent="0.25">
      <c r="A130" s="23"/>
      <c r="B130" s="221">
        <v>9</v>
      </c>
      <c r="C130" s="261">
        <f>SUM(C121:C129)</f>
        <v>78.08</v>
      </c>
      <c r="D130" s="23"/>
      <c r="E130" s="24"/>
      <c r="F130" s="221"/>
    </row>
    <row r="131" spans="1:6" x14ac:dyDescent="0.25">
      <c r="A131" s="23" t="s">
        <v>20155</v>
      </c>
      <c r="B131" s="23" t="s">
        <v>1113</v>
      </c>
      <c r="C131" s="260">
        <v>16.489999999999998</v>
      </c>
      <c r="D131" s="23">
        <v>368364</v>
      </c>
      <c r="E131" s="24">
        <v>44424.82230324074</v>
      </c>
      <c r="F131" s="221">
        <v>11947</v>
      </c>
    </row>
    <row r="132" spans="1:6" x14ac:dyDescent="0.25">
      <c r="A132" s="23" t="s">
        <v>20156</v>
      </c>
      <c r="B132" s="23" t="s">
        <v>613</v>
      </c>
      <c r="C132" s="260">
        <v>5.82</v>
      </c>
      <c r="D132" s="23">
        <v>368399</v>
      </c>
      <c r="E132" s="24">
        <v>44424.441284722219</v>
      </c>
      <c r="F132" s="221">
        <v>11948</v>
      </c>
    </row>
    <row r="133" spans="1:6" x14ac:dyDescent="0.25">
      <c r="A133" s="23" t="s">
        <v>20157</v>
      </c>
      <c r="B133" s="23" t="s">
        <v>615</v>
      </c>
      <c r="C133" s="260">
        <v>18.760000000000002</v>
      </c>
      <c r="D133" s="23">
        <v>366535</v>
      </c>
      <c r="E133" s="24">
        <v>44424.599328703705</v>
      </c>
      <c r="F133" s="221">
        <v>11949</v>
      </c>
    </row>
    <row r="134" spans="1:6" x14ac:dyDescent="0.25">
      <c r="A134" s="23" t="s">
        <v>20158</v>
      </c>
      <c r="B134" s="23" t="s">
        <v>13205</v>
      </c>
      <c r="C134" s="260">
        <v>3.88</v>
      </c>
      <c r="D134" s="23">
        <v>368496</v>
      </c>
      <c r="E134" s="24">
        <v>44424.626250000001</v>
      </c>
      <c r="F134" s="221">
        <v>11950</v>
      </c>
    </row>
    <row r="135" spans="1:6" x14ac:dyDescent="0.25">
      <c r="A135" s="23"/>
      <c r="B135" s="221">
        <v>10</v>
      </c>
      <c r="C135" s="261">
        <f>SUM(C131:C134)</f>
        <v>44.95</v>
      </c>
      <c r="D135" s="23"/>
      <c r="E135" s="24"/>
      <c r="F135" s="221"/>
    </row>
    <row r="136" spans="1:6" x14ac:dyDescent="0.25">
      <c r="A136" s="23" t="s">
        <v>20159</v>
      </c>
      <c r="B136" s="23" t="s">
        <v>6090</v>
      </c>
      <c r="C136" s="260">
        <v>4.78</v>
      </c>
      <c r="D136" s="23">
        <v>367767</v>
      </c>
      <c r="E136" s="24">
        <v>44425.397592592592</v>
      </c>
      <c r="F136" s="221">
        <v>11951</v>
      </c>
    </row>
    <row r="137" spans="1:6" x14ac:dyDescent="0.25">
      <c r="A137" s="23" t="s">
        <v>20160</v>
      </c>
      <c r="B137" s="23" t="s">
        <v>1101</v>
      </c>
      <c r="C137" s="260">
        <v>11.42</v>
      </c>
      <c r="D137" s="23">
        <v>366353</v>
      </c>
      <c r="E137" s="24">
        <v>44425.667592592596</v>
      </c>
      <c r="F137" s="221">
        <v>11952</v>
      </c>
    </row>
    <row r="138" spans="1:6" x14ac:dyDescent="0.25">
      <c r="A138" s="23"/>
      <c r="B138" s="221">
        <v>11</v>
      </c>
      <c r="C138" s="261">
        <f>SUM(C136:C137)</f>
        <v>16.2</v>
      </c>
      <c r="D138" s="23"/>
      <c r="E138" s="24"/>
      <c r="F138" s="221"/>
    </row>
    <row r="139" spans="1:6" x14ac:dyDescent="0.25">
      <c r="A139" s="23" t="str">
        <f>"3909521"</f>
        <v>3909521</v>
      </c>
      <c r="B139" s="23" t="s">
        <v>18286</v>
      </c>
      <c r="C139" s="260">
        <v>2.58</v>
      </c>
      <c r="D139" s="23">
        <v>367985</v>
      </c>
      <c r="E139" s="24">
        <v>44426.455069444448</v>
      </c>
      <c r="F139" s="221">
        <v>11990</v>
      </c>
    </row>
    <row r="140" spans="1:6" x14ac:dyDescent="0.25">
      <c r="A140" s="23" t="str">
        <f>"3909620"</f>
        <v>3909620</v>
      </c>
      <c r="B140" s="23" t="s">
        <v>20161</v>
      </c>
      <c r="C140" s="260">
        <v>11.14</v>
      </c>
      <c r="D140" s="23">
        <v>368058</v>
      </c>
      <c r="E140" s="24">
        <v>44426.569988425923</v>
      </c>
      <c r="F140" s="221">
        <v>11991</v>
      </c>
    </row>
    <row r="141" spans="1:6" x14ac:dyDescent="0.25">
      <c r="A141" s="23"/>
      <c r="B141" s="221">
        <v>12</v>
      </c>
      <c r="C141" s="261">
        <f>SUM(C139:C140)</f>
        <v>13.72</v>
      </c>
      <c r="D141" s="23"/>
      <c r="E141" s="24"/>
      <c r="F141" s="221"/>
    </row>
    <row r="142" spans="1:6" x14ac:dyDescent="0.25">
      <c r="A142" s="23" t="str">
        <f>"3960373"</f>
        <v>3960373</v>
      </c>
      <c r="B142" s="23" t="s">
        <v>626</v>
      </c>
      <c r="C142" s="260">
        <v>8.3800000000000008</v>
      </c>
      <c r="D142" s="23">
        <v>366070</v>
      </c>
      <c r="E142" s="24">
        <v>44427.455324074072</v>
      </c>
      <c r="F142" s="221">
        <v>12024</v>
      </c>
    </row>
    <row r="143" spans="1:6" x14ac:dyDescent="0.25">
      <c r="A143" s="23"/>
      <c r="B143" s="221">
        <v>13</v>
      </c>
      <c r="C143" s="261">
        <f>SUM(C142)</f>
        <v>8.3800000000000008</v>
      </c>
      <c r="D143" s="23"/>
      <c r="E143" s="24"/>
      <c r="F143" s="221"/>
    </row>
    <row r="144" spans="1:6" x14ac:dyDescent="0.25">
      <c r="A144" s="23" t="str">
        <f>"3960369"</f>
        <v>3960369</v>
      </c>
      <c r="B144" s="23" t="s">
        <v>6108</v>
      </c>
      <c r="C144" s="260">
        <v>16.760000000000002</v>
      </c>
      <c r="D144" s="23">
        <v>366061</v>
      </c>
      <c r="E144" s="24">
        <v>44428.381574074076</v>
      </c>
      <c r="F144" s="221">
        <v>12063</v>
      </c>
    </row>
    <row r="145" spans="1:7" x14ac:dyDescent="0.25">
      <c r="A145" s="23" t="str">
        <f>"3903545"</f>
        <v>3903545</v>
      </c>
      <c r="B145" s="23" t="s">
        <v>603</v>
      </c>
      <c r="C145" s="260">
        <v>2.0299999999999998</v>
      </c>
      <c r="D145" s="23">
        <v>366662</v>
      </c>
      <c r="E145" s="24">
        <v>44428.472824074073</v>
      </c>
      <c r="F145" s="221">
        <v>12064</v>
      </c>
    </row>
    <row r="146" spans="1:7" x14ac:dyDescent="0.25">
      <c r="A146" s="23" t="str">
        <f>"3908411"</f>
        <v>3908411</v>
      </c>
      <c r="B146" s="23" t="s">
        <v>15931</v>
      </c>
      <c r="C146" s="260">
        <v>1.68</v>
      </c>
      <c r="D146" s="23">
        <v>367657</v>
      </c>
      <c r="E146" s="24">
        <v>44428.520810185182</v>
      </c>
      <c r="F146" s="221">
        <v>12065</v>
      </c>
    </row>
    <row r="147" spans="1:7" x14ac:dyDescent="0.25">
      <c r="A147" s="23" t="str">
        <f>"3900176"</f>
        <v>3900176</v>
      </c>
      <c r="B147" s="23" t="s">
        <v>1114</v>
      </c>
      <c r="C147" s="260">
        <v>3.38</v>
      </c>
      <c r="D147" s="23">
        <v>368502</v>
      </c>
      <c r="E147" s="24">
        <v>44428.560057870367</v>
      </c>
      <c r="F147" s="221">
        <v>12066</v>
      </c>
    </row>
    <row r="148" spans="1:7" x14ac:dyDescent="0.25">
      <c r="A148" s="23" t="str">
        <f>"3900049"</f>
        <v>3900049</v>
      </c>
      <c r="B148" s="23" t="s">
        <v>20162</v>
      </c>
      <c r="C148" s="260">
        <v>2.62</v>
      </c>
      <c r="D148" s="23">
        <v>366628</v>
      </c>
      <c r="E148" s="24">
        <v>44428.669039351851</v>
      </c>
      <c r="F148" s="221">
        <v>12067</v>
      </c>
    </row>
    <row r="149" spans="1:7" x14ac:dyDescent="0.25">
      <c r="A149" s="23"/>
      <c r="B149" s="221">
        <v>14</v>
      </c>
      <c r="C149" s="261">
        <f>SUM(C144:C148)</f>
        <v>26.470000000000002</v>
      </c>
      <c r="D149" s="23"/>
      <c r="E149" s="24"/>
      <c r="F149" s="221"/>
    </row>
    <row r="150" spans="1:7" x14ac:dyDescent="0.25">
      <c r="A150" s="23" t="str">
        <f>"3909381"</f>
        <v>3909381</v>
      </c>
      <c r="B150" s="23" t="s">
        <v>20163</v>
      </c>
      <c r="C150" s="260">
        <v>4.24</v>
      </c>
      <c r="D150" s="23">
        <v>368582</v>
      </c>
      <c r="E150" s="24">
        <v>44431.449872685182</v>
      </c>
      <c r="F150" s="221">
        <v>12093</v>
      </c>
    </row>
    <row r="151" spans="1:7" x14ac:dyDescent="0.25">
      <c r="A151" s="23" t="str">
        <f>"3945114"</f>
        <v>3945114</v>
      </c>
      <c r="B151" s="23" t="s">
        <v>627</v>
      </c>
      <c r="C151" s="260">
        <v>9.48</v>
      </c>
      <c r="D151" s="23">
        <v>366058</v>
      </c>
      <c r="E151" s="24">
        <v>44431.460057870368</v>
      </c>
      <c r="F151" s="221">
        <v>12094</v>
      </c>
    </row>
    <row r="152" spans="1:7" x14ac:dyDescent="0.25">
      <c r="A152" s="23" t="str">
        <f>"3945204"</f>
        <v>3945204</v>
      </c>
      <c r="B152" s="23" t="s">
        <v>555</v>
      </c>
      <c r="C152" s="260">
        <v>8.3800000000000008</v>
      </c>
      <c r="D152" s="23">
        <v>366121</v>
      </c>
      <c r="E152" s="24">
        <v>44431.42527777778</v>
      </c>
      <c r="F152" s="221">
        <v>12095</v>
      </c>
    </row>
    <row r="153" spans="1:7" x14ac:dyDescent="0.25">
      <c r="A153" s="23" t="str">
        <f>"3960357"</f>
        <v>3960357</v>
      </c>
      <c r="B153" s="23" t="s">
        <v>1086</v>
      </c>
      <c r="C153" s="260">
        <v>8.3800000000000008</v>
      </c>
      <c r="D153" s="23">
        <v>366095</v>
      </c>
      <c r="E153" s="24">
        <v>44431.434363425928</v>
      </c>
      <c r="F153" s="221">
        <v>12096</v>
      </c>
    </row>
    <row r="154" spans="1:7" x14ac:dyDescent="0.25">
      <c r="B154" s="220">
        <v>15</v>
      </c>
      <c r="C154" s="262">
        <f>SUM(C150:C153)</f>
        <v>30.480000000000004</v>
      </c>
    </row>
    <row r="155" spans="1:7" x14ac:dyDescent="0.25">
      <c r="A155" s="23" t="str">
        <f>"3950310"</f>
        <v>3950310</v>
      </c>
      <c r="B155" s="23" t="s">
        <v>3753</v>
      </c>
      <c r="C155" s="260">
        <v>8.3800000000000008</v>
      </c>
      <c r="D155" s="23">
        <v>368743</v>
      </c>
      <c r="E155" s="24">
        <v>44433.369108796294</v>
      </c>
      <c r="F155" s="221">
        <v>12176</v>
      </c>
    </row>
    <row r="156" spans="1:7" x14ac:dyDescent="0.25">
      <c r="A156" s="23" t="str">
        <f>"3908524"</f>
        <v>3908524</v>
      </c>
      <c r="B156" s="23" t="s">
        <v>18306</v>
      </c>
      <c r="C156" s="260">
        <v>31.17</v>
      </c>
      <c r="D156" s="23">
        <v>370335</v>
      </c>
      <c r="E156" s="24">
        <v>44433.432002314818</v>
      </c>
      <c r="F156" s="221">
        <v>12177</v>
      </c>
    </row>
    <row r="157" spans="1:7" x14ac:dyDescent="0.25">
      <c r="A157" s="23" t="str">
        <f>"3920083"</f>
        <v>3920083</v>
      </c>
      <c r="B157" s="23" t="s">
        <v>630</v>
      </c>
      <c r="C157" s="260">
        <v>6.18</v>
      </c>
      <c r="D157" s="23">
        <v>368673</v>
      </c>
      <c r="E157" s="24">
        <v>44433.436874999999</v>
      </c>
      <c r="F157" s="221">
        <v>12178</v>
      </c>
    </row>
    <row r="158" spans="1:7" x14ac:dyDescent="0.25">
      <c r="A158" s="23" t="str">
        <f>"3904232"</f>
        <v>3904232</v>
      </c>
      <c r="B158" s="23" t="s">
        <v>1122</v>
      </c>
      <c r="C158" s="260">
        <v>12.34</v>
      </c>
      <c r="D158" s="23">
        <v>368181</v>
      </c>
      <c r="E158" s="24">
        <v>44433.458472222221</v>
      </c>
      <c r="F158" s="221">
        <v>12179</v>
      </c>
      <c r="G158">
        <v>13413</v>
      </c>
    </row>
    <row r="159" spans="1:7" x14ac:dyDescent="0.25">
      <c r="A159" s="23" t="str">
        <f>"3909479"</f>
        <v>3909479</v>
      </c>
      <c r="B159" s="23" t="s">
        <v>11659</v>
      </c>
      <c r="C159" s="260">
        <v>2.5</v>
      </c>
      <c r="D159" s="23">
        <v>370574</v>
      </c>
      <c r="E159" s="24">
        <v>44433.475266203706</v>
      </c>
      <c r="F159" s="221">
        <v>12180</v>
      </c>
    </row>
    <row r="160" spans="1:7" x14ac:dyDescent="0.25">
      <c r="A160" s="23" t="str">
        <f>"3903101"</f>
        <v>3903101</v>
      </c>
      <c r="B160" s="23" t="s">
        <v>6122</v>
      </c>
      <c r="C160" s="260">
        <v>3.47</v>
      </c>
      <c r="D160" s="23">
        <v>368878</v>
      </c>
      <c r="E160" s="24">
        <v>44433.487233796295</v>
      </c>
      <c r="F160" s="221">
        <v>12181</v>
      </c>
    </row>
    <row r="161" spans="1:6" x14ac:dyDescent="0.25">
      <c r="A161" s="23" t="str">
        <f>"3908292"</f>
        <v>3908292</v>
      </c>
      <c r="B161" s="23" t="s">
        <v>1567</v>
      </c>
      <c r="C161" s="260">
        <v>2.46</v>
      </c>
      <c r="D161" s="23">
        <v>370164</v>
      </c>
      <c r="E161" s="24">
        <v>44433.635439814818</v>
      </c>
      <c r="F161" s="221">
        <v>12182</v>
      </c>
    </row>
    <row r="162" spans="1:6" x14ac:dyDescent="0.25">
      <c r="A162" s="23" t="str">
        <f>"3945401"</f>
        <v>3945401</v>
      </c>
      <c r="B162" s="23" t="s">
        <v>633</v>
      </c>
      <c r="C162" s="260">
        <v>8.3800000000000008</v>
      </c>
      <c r="D162" s="23">
        <v>368721</v>
      </c>
      <c r="E162" s="24">
        <v>44433.836087962962</v>
      </c>
      <c r="F162" s="221">
        <v>12183</v>
      </c>
    </row>
    <row r="163" spans="1:6" x14ac:dyDescent="0.25">
      <c r="A163" s="23"/>
      <c r="B163" s="221">
        <v>16</v>
      </c>
      <c r="C163" s="261">
        <f>SUM(C155:C162)</f>
        <v>74.88</v>
      </c>
      <c r="D163" s="23"/>
      <c r="E163" s="24"/>
      <c r="F163" s="221"/>
    </row>
    <row r="164" spans="1:6" x14ac:dyDescent="0.25">
      <c r="A164" s="23" t="str">
        <f>"3908209"</f>
        <v>3908209</v>
      </c>
      <c r="B164" s="23" t="s">
        <v>1129</v>
      </c>
      <c r="C164" s="260">
        <v>1.9</v>
      </c>
      <c r="D164" s="23">
        <v>370121</v>
      </c>
      <c r="E164" s="24">
        <v>44434.344259259262</v>
      </c>
      <c r="F164" s="221">
        <v>12279</v>
      </c>
    </row>
    <row r="165" spans="1:6" x14ac:dyDescent="0.25">
      <c r="A165" s="23" t="str">
        <f>"3903866"</f>
        <v>3903866</v>
      </c>
      <c r="B165" s="23" t="s">
        <v>3775</v>
      </c>
      <c r="C165" s="260">
        <v>1.68</v>
      </c>
      <c r="D165" s="23">
        <v>369919</v>
      </c>
      <c r="E165" s="24">
        <v>44434.764722222222</v>
      </c>
      <c r="F165" s="221">
        <v>12280</v>
      </c>
    </row>
    <row r="166" spans="1:6" x14ac:dyDescent="0.25">
      <c r="A166" s="23"/>
      <c r="B166" s="221">
        <v>17</v>
      </c>
      <c r="C166" s="261">
        <f>SUM(C164:C165)</f>
        <v>3.58</v>
      </c>
      <c r="D166" s="23"/>
      <c r="E166" s="24"/>
      <c r="F166" s="221"/>
    </row>
    <row r="167" spans="1:6" x14ac:dyDescent="0.25">
      <c r="A167" s="23" t="str">
        <f>"3908129"</f>
        <v>3908129</v>
      </c>
      <c r="B167" s="23" t="s">
        <v>1105</v>
      </c>
      <c r="C167" s="260">
        <v>1.79</v>
      </c>
      <c r="D167" s="23">
        <v>370088</v>
      </c>
      <c r="E167" s="24">
        <v>44435.278819444444</v>
      </c>
      <c r="F167" s="221">
        <v>12303</v>
      </c>
    </row>
    <row r="168" spans="1:6" x14ac:dyDescent="0.25">
      <c r="A168" s="23" t="str">
        <f>"3960265"</f>
        <v>3960265</v>
      </c>
      <c r="B168" s="23" t="s">
        <v>638</v>
      </c>
      <c r="C168" s="260">
        <v>12.3</v>
      </c>
      <c r="D168" s="23">
        <v>368651</v>
      </c>
      <c r="E168" s="24">
        <v>44435.777025462965</v>
      </c>
      <c r="F168" s="221">
        <v>12304</v>
      </c>
    </row>
    <row r="169" spans="1:6" x14ac:dyDescent="0.25">
      <c r="A169" s="23"/>
      <c r="B169" s="221">
        <v>18</v>
      </c>
      <c r="C169" s="261">
        <f>SUM(C167:C168)</f>
        <v>14.09</v>
      </c>
      <c r="D169" s="23"/>
      <c r="E169" s="24"/>
      <c r="F169" s="221"/>
    </row>
    <row r="170" spans="1:6" x14ac:dyDescent="0.25">
      <c r="A170" s="23" t="str">
        <f>"3908057"</f>
        <v>3908057</v>
      </c>
      <c r="B170" s="23" t="s">
        <v>15947</v>
      </c>
      <c r="C170" s="260">
        <v>5.49</v>
      </c>
      <c r="D170" s="23">
        <v>369539</v>
      </c>
      <c r="E170" s="24">
        <v>44438.292662037034</v>
      </c>
      <c r="F170" s="221">
        <v>12400</v>
      </c>
    </row>
    <row r="171" spans="1:6" x14ac:dyDescent="0.25">
      <c r="A171" s="23" t="str">
        <f>"3945455"</f>
        <v>3945455</v>
      </c>
      <c r="B171" s="23" t="s">
        <v>1127</v>
      </c>
      <c r="C171" s="260">
        <v>8.3800000000000008</v>
      </c>
      <c r="D171" s="23">
        <v>368728</v>
      </c>
      <c r="E171" s="24">
        <v>44438.39167824074</v>
      </c>
      <c r="F171" s="221">
        <v>12401</v>
      </c>
    </row>
    <row r="172" spans="1:6" x14ac:dyDescent="0.25">
      <c r="A172" s="23" t="str">
        <f>"3907618"</f>
        <v>3907618</v>
      </c>
      <c r="B172" s="23" t="s">
        <v>550</v>
      </c>
      <c r="C172" s="260">
        <v>2.4</v>
      </c>
      <c r="D172" s="23">
        <v>370056</v>
      </c>
      <c r="E172" s="24">
        <v>44438.455995370372</v>
      </c>
      <c r="F172" s="221">
        <v>12402</v>
      </c>
    </row>
    <row r="173" spans="1:6" x14ac:dyDescent="0.25">
      <c r="A173" s="23" t="str">
        <f>"3908344"</f>
        <v>3908344</v>
      </c>
      <c r="B173" s="23" t="s">
        <v>1130</v>
      </c>
      <c r="C173" s="260">
        <v>0.03</v>
      </c>
      <c r="D173" s="23">
        <v>370213</v>
      </c>
      <c r="E173" s="24">
        <v>44438.456469907411</v>
      </c>
      <c r="F173" s="221">
        <v>12403</v>
      </c>
    </row>
    <row r="174" spans="1:6" x14ac:dyDescent="0.25">
      <c r="A174" s="23" t="str">
        <f>"3903105"</f>
        <v>3903105</v>
      </c>
      <c r="B174" s="23" t="s">
        <v>611</v>
      </c>
      <c r="C174" s="260">
        <v>1.94</v>
      </c>
      <c r="D174" s="23">
        <v>368401</v>
      </c>
      <c r="E174" s="24">
        <v>44438.46539351852</v>
      </c>
      <c r="F174" s="221">
        <v>12404</v>
      </c>
    </row>
    <row r="175" spans="1:6" x14ac:dyDescent="0.25">
      <c r="A175" s="23" t="str">
        <f>"3908188"</f>
        <v>3908188</v>
      </c>
      <c r="B175" s="23" t="s">
        <v>20164</v>
      </c>
      <c r="C175" s="260">
        <v>4.03</v>
      </c>
      <c r="D175" s="23">
        <v>370110</v>
      </c>
      <c r="E175" s="24">
        <v>44438.653078703705</v>
      </c>
      <c r="F175" s="221">
        <v>12405</v>
      </c>
    </row>
    <row r="176" spans="1:6" x14ac:dyDescent="0.25">
      <c r="A176" s="23" t="str">
        <f>"3908534"</f>
        <v>3908534</v>
      </c>
      <c r="B176" s="23" t="s">
        <v>3773</v>
      </c>
      <c r="C176" s="260">
        <v>4.32</v>
      </c>
      <c r="D176" s="23">
        <v>370343</v>
      </c>
      <c r="E176" s="24">
        <v>44438.760613425926</v>
      </c>
      <c r="F176" s="221">
        <v>12406</v>
      </c>
    </row>
    <row r="177" spans="1:9" x14ac:dyDescent="0.25">
      <c r="A177" s="23" t="str">
        <f>"3903487"</f>
        <v>3903487</v>
      </c>
      <c r="B177" s="23" t="s">
        <v>11647</v>
      </c>
      <c r="C177" s="260">
        <v>5.66</v>
      </c>
      <c r="D177" s="23">
        <v>369322</v>
      </c>
      <c r="E177" s="24">
        <v>44438.851307870369</v>
      </c>
      <c r="F177" s="221">
        <v>12407</v>
      </c>
    </row>
    <row r="178" spans="1:9" x14ac:dyDescent="0.25">
      <c r="A178" s="23"/>
      <c r="B178" s="221">
        <v>19</v>
      </c>
      <c r="C178" s="261">
        <f>SUM(C170:C177)</f>
        <v>32.25</v>
      </c>
      <c r="D178" s="23"/>
      <c r="E178" s="24"/>
      <c r="F178" s="221"/>
    </row>
    <row r="179" spans="1:9" x14ac:dyDescent="0.25">
      <c r="A179" s="23" t="str">
        <f>"3909055"</f>
        <v>3909055</v>
      </c>
      <c r="B179" s="23" t="s">
        <v>6094</v>
      </c>
      <c r="C179" s="260">
        <v>5.47</v>
      </c>
      <c r="D179" s="23">
        <v>369358</v>
      </c>
      <c r="E179" s="24">
        <v>44439.356898148151</v>
      </c>
      <c r="F179" s="221">
        <v>12511</v>
      </c>
    </row>
    <row r="180" spans="1:9" x14ac:dyDescent="0.25">
      <c r="A180" s="23" t="str">
        <f>"3901950"</f>
        <v>3901950</v>
      </c>
      <c r="B180" s="23" t="s">
        <v>20165</v>
      </c>
      <c r="C180" s="260">
        <v>3.51</v>
      </c>
      <c r="D180" s="23">
        <v>368519</v>
      </c>
      <c r="E180" s="24">
        <v>44439.390081018515</v>
      </c>
      <c r="F180" s="221">
        <v>12512</v>
      </c>
    </row>
    <row r="181" spans="1:9" x14ac:dyDescent="0.25">
      <c r="A181" s="23" t="str">
        <f>"3930280"</f>
        <v>3930280</v>
      </c>
      <c r="B181" s="23" t="s">
        <v>637</v>
      </c>
      <c r="C181" s="260">
        <v>3.36</v>
      </c>
      <c r="D181" s="23">
        <v>369374</v>
      </c>
      <c r="E181" s="24">
        <v>44439.395300925928</v>
      </c>
      <c r="F181" s="221">
        <v>12513</v>
      </c>
    </row>
    <row r="182" spans="1:9" x14ac:dyDescent="0.25">
      <c r="A182" s="23" t="str">
        <f>"3908998"</f>
        <v>3908998</v>
      </c>
      <c r="B182" s="23" t="s">
        <v>20166</v>
      </c>
      <c r="C182" s="260">
        <v>4.74</v>
      </c>
      <c r="D182" s="23">
        <v>370414</v>
      </c>
      <c r="E182" s="24">
        <v>44439.39707175926</v>
      </c>
      <c r="F182" s="221">
        <v>12514</v>
      </c>
    </row>
    <row r="183" spans="1:9" x14ac:dyDescent="0.25">
      <c r="A183" s="23" t="str">
        <f>"3908527"</f>
        <v>3908527</v>
      </c>
      <c r="B183" s="23" t="s">
        <v>20167</v>
      </c>
      <c r="C183" s="260">
        <v>6.94</v>
      </c>
      <c r="D183" s="23">
        <v>368565</v>
      </c>
      <c r="E183" s="24">
        <v>44439.419247685182</v>
      </c>
      <c r="F183" s="221">
        <v>12515</v>
      </c>
    </row>
    <row r="184" spans="1:9" x14ac:dyDescent="0.25">
      <c r="A184" s="23" t="str">
        <f>"3908195"</f>
        <v>3908195</v>
      </c>
      <c r="B184" s="23" t="s">
        <v>20146</v>
      </c>
      <c r="C184" s="260">
        <v>2.2799999999999998</v>
      </c>
      <c r="D184" s="23">
        <v>370116</v>
      </c>
      <c r="E184" s="24">
        <v>44439.423576388886</v>
      </c>
      <c r="F184" s="221">
        <v>12516</v>
      </c>
    </row>
    <row r="185" spans="1:9" x14ac:dyDescent="0.25">
      <c r="A185" s="23" t="str">
        <f>"3908204"</f>
        <v>3908204</v>
      </c>
      <c r="B185" s="23" t="s">
        <v>3796</v>
      </c>
      <c r="C185" s="260">
        <v>11.55</v>
      </c>
      <c r="D185" s="23">
        <v>370118</v>
      </c>
      <c r="E185" s="24">
        <v>44439.438437500001</v>
      </c>
      <c r="F185" s="221">
        <v>12517</v>
      </c>
    </row>
    <row r="186" spans="1:9" x14ac:dyDescent="0.25">
      <c r="A186" s="23" t="str">
        <f>"3960276"</f>
        <v>3960276</v>
      </c>
      <c r="B186" s="23" t="s">
        <v>3750</v>
      </c>
      <c r="C186" s="260">
        <v>12.3</v>
      </c>
      <c r="D186" s="23">
        <v>368667</v>
      </c>
      <c r="E186" s="24">
        <v>44439.455879629626</v>
      </c>
      <c r="F186" s="221">
        <v>12518</v>
      </c>
    </row>
    <row r="187" spans="1:9" x14ac:dyDescent="0.25">
      <c r="A187" s="23" t="str">
        <f>"3908320"</f>
        <v>3908320</v>
      </c>
      <c r="B187" s="23" t="s">
        <v>3797</v>
      </c>
      <c r="C187" s="260">
        <v>4.18</v>
      </c>
      <c r="D187" s="23">
        <v>370192</v>
      </c>
      <c r="E187" s="24">
        <v>44439.581458333334</v>
      </c>
      <c r="F187" s="221">
        <v>12519</v>
      </c>
      <c r="I187" s="263"/>
    </row>
    <row r="188" spans="1:9" x14ac:dyDescent="0.25">
      <c r="A188" s="23" t="str">
        <f>"3920348"</f>
        <v>3920348</v>
      </c>
      <c r="B188" s="23" t="s">
        <v>3746</v>
      </c>
      <c r="C188" s="260">
        <v>16.760000000000002</v>
      </c>
      <c r="D188" s="23">
        <v>368675</v>
      </c>
      <c r="E188" s="24">
        <v>44439.61346064815</v>
      </c>
      <c r="F188" s="221">
        <v>12520</v>
      </c>
      <c r="I188" s="263"/>
    </row>
    <row r="189" spans="1:9" x14ac:dyDescent="0.25">
      <c r="A189" s="23" t="str">
        <f>"3909474"</f>
        <v>3909474</v>
      </c>
      <c r="B189" s="23" t="s">
        <v>20168</v>
      </c>
      <c r="C189" s="260">
        <v>0.27</v>
      </c>
      <c r="D189" s="23">
        <v>370572</v>
      </c>
      <c r="E189" s="24">
        <v>44439.644872685189</v>
      </c>
      <c r="F189" s="221">
        <v>12521</v>
      </c>
      <c r="I189" s="263"/>
    </row>
    <row r="190" spans="1:9" x14ac:dyDescent="0.25">
      <c r="A190" s="23" t="str">
        <f>"3930030"</f>
        <v>3930030</v>
      </c>
      <c r="B190" s="23" t="s">
        <v>1111</v>
      </c>
      <c r="C190" s="260">
        <v>3.81</v>
      </c>
      <c r="D190" s="23">
        <v>369112</v>
      </c>
      <c r="E190" s="24">
        <v>44439.677488425928</v>
      </c>
      <c r="F190" s="221">
        <v>12522</v>
      </c>
      <c r="I190" s="263"/>
    </row>
    <row r="191" spans="1:9" x14ac:dyDescent="0.25">
      <c r="A191" s="23" t="str">
        <f>"3908496"</f>
        <v>3908496</v>
      </c>
      <c r="B191" s="23" t="s">
        <v>18279</v>
      </c>
      <c r="C191" s="260">
        <v>2.2200000000000002</v>
      </c>
      <c r="D191" s="23">
        <v>370317</v>
      </c>
      <c r="E191" s="24">
        <v>44439.694953703707</v>
      </c>
      <c r="F191" s="221">
        <v>12523</v>
      </c>
      <c r="I191" s="263"/>
    </row>
    <row r="192" spans="1:9" x14ac:dyDescent="0.25">
      <c r="A192" s="23"/>
      <c r="B192" s="221">
        <v>20</v>
      </c>
      <c r="C192" s="261">
        <f>SUM(C179:C191)</f>
        <v>77.39</v>
      </c>
      <c r="D192" s="23"/>
      <c r="E192" s="24"/>
      <c r="F192" s="221"/>
      <c r="I192" s="263"/>
    </row>
    <row r="193" spans="1:9" x14ac:dyDescent="0.25">
      <c r="A193" s="23"/>
      <c r="B193" s="23"/>
      <c r="C193" s="23"/>
      <c r="D193" s="23"/>
      <c r="E193" s="24"/>
      <c r="F193" s="221"/>
      <c r="I193" s="264"/>
    </row>
    <row r="194" spans="1:9" x14ac:dyDescent="0.25">
      <c r="A194" s="23"/>
      <c r="B194" s="23"/>
      <c r="C194" s="23"/>
      <c r="D194" s="23"/>
      <c r="E194" s="24"/>
      <c r="F194" s="221"/>
      <c r="I194" s="264"/>
    </row>
    <row r="195" spans="1:9" x14ac:dyDescent="0.25">
      <c r="A195" s="23"/>
      <c r="B195" s="23"/>
      <c r="C195" s="23"/>
      <c r="D195" s="23"/>
      <c r="E195" s="24"/>
      <c r="F195" s="221"/>
      <c r="I195" s="264"/>
    </row>
    <row r="196" spans="1:9" x14ac:dyDescent="0.25">
      <c r="A196" s="23"/>
      <c r="B196" s="23"/>
      <c r="C196" s="23"/>
      <c r="D196" s="23"/>
      <c r="E196" s="24"/>
      <c r="F196" s="221"/>
      <c r="I196" s="264"/>
    </row>
    <row r="197" spans="1:9" x14ac:dyDescent="0.25">
      <c r="A197" s="23"/>
      <c r="B197" s="23"/>
      <c r="C197" s="23"/>
      <c r="D197" s="23"/>
      <c r="E197" s="24"/>
      <c r="F197" s="221"/>
      <c r="I197" s="264"/>
    </row>
    <row r="198" spans="1:9" x14ac:dyDescent="0.25">
      <c r="A198" s="23"/>
      <c r="B198" s="23"/>
      <c r="C198" s="23"/>
      <c r="D198" s="23"/>
      <c r="E198" s="24"/>
      <c r="F198" s="221"/>
      <c r="I198" s="264"/>
    </row>
    <row r="199" spans="1:9" x14ac:dyDescent="0.25">
      <c r="A199" s="23"/>
      <c r="B199" s="23"/>
      <c r="C199" s="23"/>
      <c r="D199" s="23"/>
      <c r="E199" s="24"/>
      <c r="F199" s="221"/>
      <c r="I199" s="264"/>
    </row>
    <row r="200" spans="1:9" x14ac:dyDescent="0.25">
      <c r="A200" s="23"/>
      <c r="B200" s="23"/>
      <c r="C200" s="23"/>
      <c r="D200" s="23"/>
      <c r="E200" s="24"/>
      <c r="F200" s="221"/>
      <c r="I200" s="218"/>
    </row>
    <row r="201" spans="1:9" x14ac:dyDescent="0.25">
      <c r="A201" s="23"/>
      <c r="B201" s="23"/>
      <c r="C201" s="23"/>
      <c r="D201" s="23"/>
      <c r="E201" s="24"/>
      <c r="F201" s="221"/>
      <c r="I201" s="218"/>
    </row>
    <row r="202" spans="1:9" x14ac:dyDescent="0.25">
      <c r="A202" s="23"/>
      <c r="B202" s="23"/>
      <c r="C202" s="23"/>
      <c r="D202" s="23"/>
      <c r="E202" s="24"/>
      <c r="F202" s="221"/>
      <c r="I202" s="218"/>
    </row>
    <row r="203" spans="1:9" x14ac:dyDescent="0.25">
      <c r="A203" s="23"/>
      <c r="B203" s="23"/>
      <c r="C203" s="23"/>
      <c r="D203" s="23"/>
      <c r="E203" s="24"/>
      <c r="F203" s="221"/>
      <c r="I203" s="218"/>
    </row>
    <row r="204" spans="1:9" x14ac:dyDescent="0.25">
      <c r="A204" s="23"/>
      <c r="B204" s="23"/>
      <c r="C204" s="23"/>
      <c r="D204" s="23"/>
      <c r="E204" s="24"/>
      <c r="F204" s="221"/>
      <c r="I204" s="218"/>
    </row>
    <row r="205" spans="1:9" x14ac:dyDescent="0.25">
      <c r="A205" s="23"/>
      <c r="B205" s="23"/>
      <c r="C205" s="23"/>
      <c r="D205" s="23"/>
      <c r="E205" s="24"/>
      <c r="F205" s="221"/>
    </row>
    <row r="206" spans="1:9" x14ac:dyDescent="0.25">
      <c r="A206" s="23"/>
      <c r="B206" s="23"/>
      <c r="C206" s="23"/>
      <c r="D206" s="23"/>
      <c r="E206" s="24"/>
      <c r="F206" s="221"/>
    </row>
    <row r="207" spans="1:9" x14ac:dyDescent="0.25">
      <c r="A207" s="23"/>
      <c r="B207" s="23"/>
      <c r="C207" s="23"/>
      <c r="D207" s="23"/>
      <c r="E207" s="24"/>
      <c r="F207" s="221"/>
    </row>
    <row r="208" spans="1:9" x14ac:dyDescent="0.25">
      <c r="A208" s="23"/>
      <c r="B208" s="23"/>
      <c r="C208" s="23"/>
      <c r="D208" s="23"/>
      <c r="E208" s="24"/>
      <c r="F208" s="221"/>
    </row>
    <row r="209" spans="1:6" x14ac:dyDescent="0.25">
      <c r="A209" s="23"/>
      <c r="B209" s="23"/>
      <c r="C209" s="23"/>
      <c r="D209" s="23"/>
      <c r="E209" s="24"/>
      <c r="F209" s="221"/>
    </row>
    <row r="210" spans="1:6" x14ac:dyDescent="0.25">
      <c r="A210" s="23"/>
      <c r="B210" s="23"/>
      <c r="C210" s="23"/>
      <c r="D210" s="23"/>
      <c r="E210" s="24"/>
      <c r="F210" s="221"/>
    </row>
    <row r="211" spans="1:6" x14ac:dyDescent="0.25">
      <c r="A211" s="23"/>
      <c r="B211" s="23"/>
      <c r="C211" s="23"/>
      <c r="D211" s="23"/>
      <c r="E211" s="24"/>
      <c r="F211" s="221"/>
    </row>
    <row r="212" spans="1:6" x14ac:dyDescent="0.25">
      <c r="A212" s="23"/>
      <c r="B212" s="23"/>
      <c r="C212" s="23"/>
      <c r="D212" s="23"/>
      <c r="E212" s="24"/>
      <c r="F212" s="221"/>
    </row>
    <row r="213" spans="1:6" x14ac:dyDescent="0.25">
      <c r="A213" s="23"/>
      <c r="B213" s="23"/>
      <c r="C213" s="23"/>
      <c r="D213" s="23"/>
      <c r="E213" s="24"/>
      <c r="F213" s="221"/>
    </row>
    <row r="214" spans="1:6" x14ac:dyDescent="0.25">
      <c r="A214" s="23"/>
      <c r="B214" s="23"/>
      <c r="C214" s="23"/>
      <c r="D214" s="23"/>
      <c r="E214" s="24"/>
      <c r="F214" s="221"/>
    </row>
    <row r="215" spans="1:6" x14ac:dyDescent="0.25">
      <c r="A215" s="23"/>
      <c r="B215" s="23"/>
      <c r="C215" s="23"/>
      <c r="D215" s="23"/>
      <c r="E215" s="24"/>
      <c r="F215" s="221"/>
    </row>
    <row r="216" spans="1:6" x14ac:dyDescent="0.25">
      <c r="A216" s="23"/>
      <c r="B216" s="23"/>
      <c r="C216" s="23"/>
      <c r="D216" s="23"/>
      <c r="E216" s="24"/>
      <c r="F216" s="221"/>
    </row>
    <row r="217" spans="1:6" x14ac:dyDescent="0.25">
      <c r="A217" s="23"/>
      <c r="B217" s="23"/>
      <c r="C217" s="23"/>
      <c r="D217" s="23"/>
      <c r="E217" s="24"/>
      <c r="F217" s="221"/>
    </row>
    <row r="218" spans="1:6" x14ac:dyDescent="0.25">
      <c r="A218" s="23"/>
      <c r="B218" s="23"/>
      <c r="C218" s="23"/>
      <c r="D218" s="23"/>
      <c r="E218" s="24"/>
      <c r="F218" s="221"/>
    </row>
    <row r="219" spans="1:6" x14ac:dyDescent="0.25">
      <c r="A219" s="23"/>
      <c r="B219" s="23"/>
      <c r="C219" s="23"/>
      <c r="D219" s="23"/>
      <c r="E219" s="24"/>
      <c r="F219" s="221"/>
    </row>
    <row r="220" spans="1:6" x14ac:dyDescent="0.25">
      <c r="A220" s="23"/>
      <c r="B220" s="23"/>
      <c r="C220" s="23"/>
      <c r="D220" s="23"/>
      <c r="E220" s="24"/>
      <c r="F220" s="221"/>
    </row>
    <row r="221" spans="1:6" x14ac:dyDescent="0.25">
      <c r="A221" s="23"/>
      <c r="B221" s="23"/>
      <c r="C221" s="23"/>
      <c r="D221" s="23"/>
      <c r="E221" s="24"/>
      <c r="F221" s="221"/>
    </row>
    <row r="222" spans="1:6" x14ac:dyDescent="0.25">
      <c r="A222" s="23"/>
      <c r="B222" s="23"/>
      <c r="C222" s="23"/>
      <c r="D222" s="23"/>
      <c r="E222" s="24"/>
      <c r="F222" s="221"/>
    </row>
    <row r="223" spans="1:6" x14ac:dyDescent="0.25">
      <c r="A223" s="23"/>
      <c r="B223" s="23"/>
      <c r="C223" s="23"/>
      <c r="D223" s="23"/>
      <c r="E223" s="24"/>
      <c r="F223" s="221"/>
    </row>
    <row r="224" spans="1:6" x14ac:dyDescent="0.25">
      <c r="A224" s="23"/>
      <c r="B224" s="23"/>
      <c r="C224" s="23"/>
      <c r="D224" s="23"/>
      <c r="E224" s="24"/>
      <c r="F224" s="221"/>
    </row>
    <row r="225" spans="1:6" x14ac:dyDescent="0.25">
      <c r="A225" s="23"/>
      <c r="B225" s="23"/>
      <c r="C225" s="23"/>
      <c r="D225" s="23"/>
      <c r="E225" s="24"/>
      <c r="F225" s="221"/>
    </row>
    <row r="226" spans="1:6" x14ac:dyDescent="0.25">
      <c r="A226" s="23"/>
      <c r="B226" s="23"/>
      <c r="C226" s="23"/>
      <c r="D226" s="23"/>
      <c r="E226" s="24"/>
      <c r="F226" s="221"/>
    </row>
    <row r="227" spans="1:6" x14ac:dyDescent="0.25">
      <c r="A227" s="23"/>
      <c r="B227" s="23"/>
      <c r="C227" s="23"/>
      <c r="D227" s="23"/>
      <c r="E227" s="24"/>
      <c r="F227" s="221"/>
    </row>
    <row r="228" spans="1:6" x14ac:dyDescent="0.25">
      <c r="A228" s="23"/>
      <c r="B228" s="23"/>
      <c r="C228" s="23"/>
      <c r="D228" s="23"/>
      <c r="E228" s="24"/>
      <c r="F228" s="221"/>
    </row>
    <row r="229" spans="1:6" x14ac:dyDescent="0.25">
      <c r="A229" s="23"/>
      <c r="B229" s="23"/>
      <c r="C229" s="23"/>
      <c r="D229" s="23"/>
      <c r="E229" s="24"/>
      <c r="F229" s="221"/>
    </row>
    <row r="230" spans="1:6" x14ac:dyDescent="0.25">
      <c r="A230" s="23"/>
      <c r="B230" s="23"/>
      <c r="C230" s="23"/>
      <c r="D230" s="23"/>
      <c r="E230" s="24"/>
      <c r="F230" s="221"/>
    </row>
    <row r="231" spans="1:6" x14ac:dyDescent="0.25">
      <c r="A231" s="23"/>
      <c r="B231" s="23"/>
      <c r="C231" s="23"/>
      <c r="D231" s="23"/>
      <c r="E231" s="24"/>
      <c r="F231" s="221"/>
    </row>
    <row r="232" spans="1:6" x14ac:dyDescent="0.25">
      <c r="A232" s="23"/>
      <c r="B232" s="23"/>
      <c r="C232" s="23"/>
      <c r="D232" s="23"/>
      <c r="E232" s="24"/>
      <c r="F232" s="221"/>
    </row>
    <row r="233" spans="1:6" x14ac:dyDescent="0.25">
      <c r="A233" s="23"/>
      <c r="B233" s="23"/>
      <c r="C233" s="23"/>
      <c r="D233" s="23"/>
      <c r="E233" s="24"/>
      <c r="F233" s="221"/>
    </row>
    <row r="234" spans="1:6" x14ac:dyDescent="0.25">
      <c r="A234" s="23"/>
      <c r="B234" s="23"/>
      <c r="C234" s="23"/>
      <c r="D234" s="23"/>
      <c r="E234" s="24"/>
      <c r="F234" s="221"/>
    </row>
    <row r="235" spans="1:6" x14ac:dyDescent="0.25">
      <c r="A235" s="23"/>
      <c r="B235" s="23"/>
      <c r="C235" s="23"/>
      <c r="D235" s="23"/>
      <c r="E235" s="24"/>
      <c r="F235" s="221"/>
    </row>
    <row r="236" spans="1:6" x14ac:dyDescent="0.25">
      <c r="A236" s="23"/>
      <c r="B236" s="23"/>
      <c r="C236" s="23"/>
      <c r="D236" s="23"/>
      <c r="E236" s="24"/>
      <c r="F236" s="221"/>
    </row>
    <row r="237" spans="1:6" x14ac:dyDescent="0.25">
      <c r="A237" s="23"/>
      <c r="B237" s="23"/>
      <c r="C237" s="23"/>
      <c r="D237" s="23"/>
      <c r="E237" s="24"/>
      <c r="F237" s="221"/>
    </row>
    <row r="238" spans="1:6" x14ac:dyDescent="0.25">
      <c r="A238" s="23"/>
      <c r="B238" s="23"/>
      <c r="C238" s="23"/>
      <c r="D238" s="23"/>
      <c r="E238" s="24"/>
      <c r="F238" s="221"/>
    </row>
    <row r="239" spans="1:6" x14ac:dyDescent="0.25">
      <c r="A239" s="23"/>
      <c r="B239" s="23"/>
      <c r="C239" s="23"/>
      <c r="D239" s="23"/>
      <c r="E239" s="24"/>
      <c r="F239" s="221"/>
    </row>
    <row r="240" spans="1:6" x14ac:dyDescent="0.25">
      <c r="A240" s="23"/>
      <c r="B240" s="23"/>
      <c r="C240" s="23"/>
      <c r="D240" s="23"/>
      <c r="E240" s="24"/>
      <c r="F240" s="221"/>
    </row>
    <row r="241" spans="1:6" x14ac:dyDescent="0.25">
      <c r="A241" s="23"/>
      <c r="B241" s="23"/>
      <c r="C241" s="23"/>
      <c r="D241" s="23"/>
      <c r="E241" s="24"/>
      <c r="F241" s="221"/>
    </row>
    <row r="242" spans="1:6" x14ac:dyDescent="0.25">
      <c r="A242" s="23"/>
      <c r="B242" s="23"/>
      <c r="C242" s="23"/>
      <c r="D242" s="23"/>
      <c r="E242" s="24"/>
      <c r="F242" s="221"/>
    </row>
    <row r="243" spans="1:6" x14ac:dyDescent="0.25">
      <c r="A243" s="23"/>
      <c r="B243" s="23"/>
      <c r="C243" s="23"/>
      <c r="D243" s="23"/>
      <c r="E243" s="24"/>
      <c r="F243" s="221"/>
    </row>
    <row r="244" spans="1:6" x14ac:dyDescent="0.25">
      <c r="A244" s="23"/>
      <c r="B244" s="23"/>
      <c r="C244" s="23"/>
      <c r="D244" s="23"/>
      <c r="E244" s="24"/>
      <c r="F244" s="221"/>
    </row>
    <row r="245" spans="1:6" x14ac:dyDescent="0.25">
      <c r="A245" s="23"/>
      <c r="B245" s="23"/>
      <c r="C245" s="23"/>
      <c r="D245" s="23"/>
      <c r="E245" s="24"/>
      <c r="F245" s="221"/>
    </row>
    <row r="246" spans="1:6" x14ac:dyDescent="0.25">
      <c r="A246" s="23"/>
      <c r="B246" s="23"/>
      <c r="C246" s="23"/>
      <c r="D246" s="23"/>
      <c r="E246" s="24"/>
      <c r="F246" s="221"/>
    </row>
    <row r="247" spans="1:6" x14ac:dyDescent="0.25">
      <c r="A247" s="23"/>
      <c r="B247" s="23"/>
      <c r="C247" s="23"/>
      <c r="D247" s="23"/>
      <c r="E247" s="24"/>
      <c r="F247" s="221"/>
    </row>
    <row r="248" spans="1:6" x14ac:dyDescent="0.25">
      <c r="A248" s="23"/>
      <c r="B248" s="23"/>
      <c r="C248" s="23"/>
      <c r="D248" s="23"/>
      <c r="E248" s="24"/>
      <c r="F248" s="221"/>
    </row>
    <row r="249" spans="1:6" x14ac:dyDescent="0.25">
      <c r="A249" s="23"/>
      <c r="B249" s="23"/>
      <c r="C249" s="23"/>
      <c r="D249" s="23"/>
      <c r="E249" s="24"/>
      <c r="F249" s="221"/>
    </row>
    <row r="250" spans="1:6" x14ac:dyDescent="0.25">
      <c r="A250" s="23"/>
      <c r="B250" s="23"/>
      <c r="C250" s="23"/>
      <c r="D250" s="23"/>
      <c r="E250" s="24"/>
      <c r="F250" s="221"/>
    </row>
    <row r="251" spans="1:6" x14ac:dyDescent="0.25">
      <c r="A251" s="23"/>
      <c r="B251" s="23"/>
      <c r="C251" s="23"/>
      <c r="D251" s="23"/>
      <c r="E251" s="24"/>
      <c r="F251" s="221"/>
    </row>
    <row r="252" spans="1:6" x14ac:dyDescent="0.25">
      <c r="A252" s="23"/>
      <c r="B252" s="23"/>
      <c r="C252" s="23"/>
      <c r="D252" s="23"/>
      <c r="E252" s="24"/>
      <c r="F252" s="221"/>
    </row>
    <row r="253" spans="1:6" x14ac:dyDescent="0.25">
      <c r="A253" s="23"/>
      <c r="B253" s="23"/>
      <c r="C253" s="23"/>
      <c r="D253" s="23"/>
      <c r="E253" s="24"/>
      <c r="F253" s="221"/>
    </row>
    <row r="254" spans="1:6" x14ac:dyDescent="0.25">
      <c r="A254" s="23"/>
      <c r="B254" s="23"/>
      <c r="C254" s="23"/>
      <c r="D254" s="23"/>
      <c r="E254" s="24"/>
      <c r="F254" s="221"/>
    </row>
    <row r="255" spans="1:6" x14ac:dyDescent="0.25">
      <c r="A255" s="23"/>
      <c r="B255" s="23"/>
      <c r="C255" s="23"/>
      <c r="D255" s="23"/>
      <c r="E255" s="24"/>
      <c r="F255" s="221"/>
    </row>
    <row r="256" spans="1:6" x14ac:dyDescent="0.25">
      <c r="A256" s="23"/>
      <c r="B256" s="23"/>
      <c r="C256" s="23"/>
      <c r="D256" s="23"/>
      <c r="E256" s="24"/>
      <c r="F256" s="221"/>
    </row>
    <row r="257" spans="1:6" x14ac:dyDescent="0.25">
      <c r="A257" s="23"/>
      <c r="B257" s="23"/>
      <c r="C257" s="23"/>
      <c r="D257" s="23"/>
      <c r="E257" s="24"/>
      <c r="F257" s="221"/>
    </row>
    <row r="258" spans="1:6" x14ac:dyDescent="0.25">
      <c r="A258" s="23"/>
      <c r="B258" s="23"/>
      <c r="C258" s="23"/>
      <c r="D258" s="23"/>
      <c r="E258" s="24"/>
      <c r="F258" s="221"/>
    </row>
    <row r="259" spans="1:6" x14ac:dyDescent="0.25">
      <c r="A259" s="23"/>
      <c r="B259" s="23"/>
      <c r="C259" s="23"/>
      <c r="D259" s="23"/>
      <c r="E259" s="24"/>
      <c r="F259" s="221"/>
    </row>
    <row r="260" spans="1:6" x14ac:dyDescent="0.25">
      <c r="A260" s="23"/>
      <c r="B260" s="23"/>
      <c r="C260" s="23"/>
      <c r="D260" s="23"/>
      <c r="E260" s="24"/>
      <c r="F260" s="221"/>
    </row>
    <row r="261" spans="1:6" x14ac:dyDescent="0.25">
      <c r="A261" s="23"/>
      <c r="B261" s="23"/>
      <c r="C261" s="23"/>
      <c r="D261" s="23"/>
      <c r="E261" s="24"/>
      <c r="F261" s="221"/>
    </row>
    <row r="262" spans="1:6" x14ac:dyDescent="0.25">
      <c r="A262" s="23"/>
      <c r="B262" s="23"/>
      <c r="C262" s="23"/>
      <c r="D262" s="23"/>
      <c r="E262" s="24"/>
      <c r="F262" s="221"/>
    </row>
    <row r="263" spans="1:6" x14ac:dyDescent="0.25">
      <c r="A263" s="23"/>
      <c r="B263" s="23"/>
      <c r="C263" s="23"/>
      <c r="D263" s="23"/>
      <c r="E263" s="24"/>
      <c r="F263" s="221"/>
    </row>
    <row r="264" spans="1:6" x14ac:dyDescent="0.25">
      <c r="A264" s="23"/>
      <c r="B264" s="23"/>
      <c r="C264" s="23"/>
      <c r="D264" s="23"/>
      <c r="E264" s="24"/>
      <c r="F264" s="221"/>
    </row>
    <row r="265" spans="1:6" x14ac:dyDescent="0.25">
      <c r="A265" s="23"/>
      <c r="B265" s="23"/>
      <c r="C265" s="23"/>
      <c r="D265" s="23"/>
      <c r="E265" s="24"/>
      <c r="F265" s="221"/>
    </row>
    <row r="266" spans="1:6" x14ac:dyDescent="0.25">
      <c r="A266" s="23"/>
      <c r="B266" s="23"/>
      <c r="C266" s="23"/>
      <c r="D266" s="23"/>
      <c r="E266" s="24"/>
      <c r="F266" s="221"/>
    </row>
    <row r="267" spans="1:6" x14ac:dyDescent="0.25">
      <c r="A267" s="23"/>
      <c r="B267" s="23"/>
      <c r="C267" s="23"/>
      <c r="D267" s="23"/>
      <c r="E267" s="24"/>
      <c r="F267" s="221"/>
    </row>
    <row r="268" spans="1:6" x14ac:dyDescent="0.25">
      <c r="A268" s="23"/>
      <c r="B268" s="23"/>
      <c r="C268" s="23"/>
      <c r="D268" s="23"/>
      <c r="E268" s="24"/>
      <c r="F268" s="221"/>
    </row>
    <row r="269" spans="1:6" x14ac:dyDescent="0.25">
      <c r="A269" s="23"/>
      <c r="B269" s="23"/>
      <c r="C269" s="23"/>
      <c r="D269" s="23"/>
      <c r="E269" s="24"/>
      <c r="F269" s="221"/>
    </row>
    <row r="270" spans="1:6" x14ac:dyDescent="0.25">
      <c r="A270" s="23"/>
      <c r="B270" s="23"/>
      <c r="C270" s="23"/>
      <c r="D270" s="23"/>
      <c r="E270" s="24"/>
      <c r="F270" s="221"/>
    </row>
    <row r="271" spans="1:6" x14ac:dyDescent="0.25">
      <c r="A271" s="23"/>
      <c r="B271" s="23"/>
      <c r="C271" s="23"/>
      <c r="D271" s="23"/>
      <c r="E271" s="24"/>
      <c r="F271" s="221"/>
    </row>
    <row r="272" spans="1:6" x14ac:dyDescent="0.25">
      <c r="A272" s="23"/>
      <c r="B272" s="23"/>
      <c r="C272" s="23"/>
      <c r="D272" s="23"/>
      <c r="E272" s="24"/>
      <c r="F272" s="221"/>
    </row>
    <row r="273" spans="1:6" x14ac:dyDescent="0.25">
      <c r="A273" s="23"/>
      <c r="B273" s="23"/>
      <c r="C273" s="23"/>
      <c r="D273" s="23"/>
      <c r="E273" s="24"/>
      <c r="F273" s="221"/>
    </row>
    <row r="274" spans="1:6" x14ac:dyDescent="0.25">
      <c r="A274" s="23"/>
      <c r="B274" s="23"/>
      <c r="C274" s="23"/>
      <c r="D274" s="23"/>
      <c r="E274" s="24"/>
      <c r="F274" s="221"/>
    </row>
    <row r="275" spans="1:6" x14ac:dyDescent="0.25">
      <c r="A275" s="23"/>
      <c r="B275" s="23"/>
      <c r="C275" s="23"/>
      <c r="D275" s="23"/>
      <c r="E275" s="24"/>
      <c r="F275" s="221"/>
    </row>
    <row r="276" spans="1:6" x14ac:dyDescent="0.25">
      <c r="A276" s="23"/>
      <c r="B276" s="23"/>
      <c r="C276" s="23"/>
      <c r="D276" s="23"/>
      <c r="E276" s="24"/>
      <c r="F276" s="221"/>
    </row>
    <row r="277" spans="1:6" x14ac:dyDescent="0.25">
      <c r="A277" s="23"/>
      <c r="B277" s="23"/>
      <c r="C277" s="23"/>
      <c r="D277" s="23"/>
      <c r="E277" s="24"/>
      <c r="F277" s="221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CBE16-1DC8-484B-B46C-2647878E1A8F}">
  <dimension ref="A1:O714"/>
  <sheetViews>
    <sheetView topLeftCell="A393" zoomScaleNormal="100" workbookViewId="0">
      <selection activeCell="C6" sqref="C6"/>
    </sheetView>
  </sheetViews>
  <sheetFormatPr baseColWidth="10" defaultRowHeight="15" x14ac:dyDescent="0.25"/>
  <cols>
    <col min="1" max="2" width="11.42578125" customWidth="1"/>
    <col min="3" max="3" width="22.7109375" customWidth="1"/>
    <col min="4" max="4" width="11.42578125" customWidth="1"/>
    <col min="5" max="5" width="11.42578125" style="259" customWidth="1"/>
    <col min="6" max="6" width="16.140625" customWidth="1"/>
    <col min="7" max="8" width="11.42578125" customWidth="1"/>
    <col min="259" max="259" width="22.7109375" customWidth="1"/>
    <col min="515" max="515" width="22.7109375" customWidth="1"/>
    <col min="771" max="771" width="22.7109375" customWidth="1"/>
    <col min="1027" max="1027" width="22.7109375" customWidth="1"/>
    <col min="1283" max="1283" width="22.7109375" customWidth="1"/>
    <col min="1539" max="1539" width="22.7109375" customWidth="1"/>
    <col min="1795" max="1795" width="22.7109375" customWidth="1"/>
    <col min="2051" max="2051" width="22.7109375" customWidth="1"/>
    <col min="2307" max="2307" width="22.7109375" customWidth="1"/>
    <col min="2563" max="2563" width="22.7109375" customWidth="1"/>
    <col min="2819" max="2819" width="22.7109375" customWidth="1"/>
    <col min="3075" max="3075" width="22.7109375" customWidth="1"/>
    <col min="3331" max="3331" width="22.7109375" customWidth="1"/>
    <col min="3587" max="3587" width="22.7109375" customWidth="1"/>
    <col min="3843" max="3843" width="22.7109375" customWidth="1"/>
    <col min="4099" max="4099" width="22.7109375" customWidth="1"/>
    <col min="4355" max="4355" width="22.7109375" customWidth="1"/>
    <col min="4611" max="4611" width="22.7109375" customWidth="1"/>
    <col min="4867" max="4867" width="22.7109375" customWidth="1"/>
    <col min="5123" max="5123" width="22.7109375" customWidth="1"/>
    <col min="5379" max="5379" width="22.7109375" customWidth="1"/>
    <col min="5635" max="5635" width="22.7109375" customWidth="1"/>
    <col min="5891" max="5891" width="22.7109375" customWidth="1"/>
    <col min="6147" max="6147" width="22.7109375" customWidth="1"/>
    <col min="6403" max="6403" width="22.7109375" customWidth="1"/>
    <col min="6659" max="6659" width="22.7109375" customWidth="1"/>
    <col min="6915" max="6915" width="22.7109375" customWidth="1"/>
    <col min="7171" max="7171" width="22.7109375" customWidth="1"/>
    <col min="7427" max="7427" width="22.7109375" customWidth="1"/>
    <col min="7683" max="7683" width="22.7109375" customWidth="1"/>
    <col min="7939" max="7939" width="22.7109375" customWidth="1"/>
    <col min="8195" max="8195" width="22.7109375" customWidth="1"/>
    <col min="8451" max="8451" width="22.7109375" customWidth="1"/>
    <col min="8707" max="8707" width="22.7109375" customWidth="1"/>
    <col min="8963" max="8963" width="22.7109375" customWidth="1"/>
    <col min="9219" max="9219" width="22.7109375" customWidth="1"/>
    <col min="9475" max="9475" width="22.7109375" customWidth="1"/>
    <col min="9731" max="9731" width="22.7109375" customWidth="1"/>
    <col min="9987" max="9987" width="22.7109375" customWidth="1"/>
    <col min="10243" max="10243" width="22.7109375" customWidth="1"/>
    <col min="10499" max="10499" width="22.7109375" customWidth="1"/>
    <col min="10755" max="10755" width="22.7109375" customWidth="1"/>
    <col min="11011" max="11011" width="22.7109375" customWidth="1"/>
    <col min="11267" max="11267" width="22.7109375" customWidth="1"/>
    <col min="11523" max="11523" width="22.7109375" customWidth="1"/>
    <col min="11779" max="11779" width="22.7109375" customWidth="1"/>
    <col min="12035" max="12035" width="22.7109375" customWidth="1"/>
    <col min="12291" max="12291" width="22.7109375" customWidth="1"/>
    <col min="12547" max="12547" width="22.7109375" customWidth="1"/>
    <col min="12803" max="12803" width="22.7109375" customWidth="1"/>
    <col min="13059" max="13059" width="22.7109375" customWidth="1"/>
    <col min="13315" max="13315" width="22.7109375" customWidth="1"/>
    <col min="13571" max="13571" width="22.7109375" customWidth="1"/>
    <col min="13827" max="13827" width="22.7109375" customWidth="1"/>
    <col min="14083" max="14083" width="22.7109375" customWidth="1"/>
    <col min="14339" max="14339" width="22.7109375" customWidth="1"/>
    <col min="14595" max="14595" width="22.7109375" customWidth="1"/>
    <col min="14851" max="14851" width="22.7109375" customWidth="1"/>
    <col min="15107" max="15107" width="22.7109375" customWidth="1"/>
    <col min="15363" max="15363" width="22.7109375" customWidth="1"/>
    <col min="15619" max="15619" width="22.7109375" customWidth="1"/>
    <col min="15875" max="15875" width="22.7109375" customWidth="1"/>
    <col min="16131" max="16131" width="22.7109375" customWidth="1"/>
  </cols>
  <sheetData>
    <row r="1" spans="1:8" x14ac:dyDescent="0.25">
      <c r="A1" s="297" t="s">
        <v>19282</v>
      </c>
      <c r="B1" s="297"/>
      <c r="C1" s="297"/>
      <c r="D1" s="297"/>
      <c r="E1" s="297"/>
      <c r="F1" s="297"/>
    </row>
    <row r="2" spans="1:8" x14ac:dyDescent="0.25">
      <c r="A2" s="282" t="s">
        <v>1080</v>
      </c>
      <c r="B2" s="282" t="s">
        <v>1079</v>
      </c>
      <c r="C2" s="282" t="s">
        <v>1078</v>
      </c>
      <c r="D2" s="282" t="s">
        <v>525</v>
      </c>
      <c r="E2" s="283" t="s">
        <v>1077</v>
      </c>
      <c r="F2" s="282" t="s">
        <v>1076</v>
      </c>
      <c r="G2" s="282" t="s">
        <v>1075</v>
      </c>
      <c r="H2" s="282" t="s">
        <v>545</v>
      </c>
    </row>
    <row r="3" spans="1:8" ht="14.25" customHeight="1" x14ac:dyDescent="0.25">
      <c r="A3" s="252" t="s">
        <v>19283</v>
      </c>
      <c r="B3" s="252" t="s">
        <v>19284</v>
      </c>
      <c r="C3" s="252" t="s">
        <v>19285</v>
      </c>
      <c r="D3" s="252" t="s">
        <v>4475</v>
      </c>
      <c r="E3" s="253">
        <v>14.24</v>
      </c>
      <c r="F3" s="252" t="s">
        <v>4476</v>
      </c>
      <c r="G3" s="252" t="s">
        <v>640</v>
      </c>
      <c r="H3" s="254">
        <v>10878</v>
      </c>
    </row>
    <row r="4" spans="1:8" ht="14.25" customHeight="1" x14ac:dyDescent="0.25">
      <c r="A4" s="252" t="s">
        <v>19283</v>
      </c>
      <c r="B4" s="252" t="s">
        <v>19286</v>
      </c>
      <c r="C4" s="252" t="s">
        <v>19287</v>
      </c>
      <c r="D4" s="252" t="s">
        <v>3000</v>
      </c>
      <c r="E4" s="253">
        <v>1.75</v>
      </c>
      <c r="F4" s="252" t="s">
        <v>3001</v>
      </c>
      <c r="G4" s="252" t="s">
        <v>640</v>
      </c>
      <c r="H4" s="254">
        <v>10879</v>
      </c>
    </row>
    <row r="5" spans="1:8" ht="14.25" customHeight="1" x14ac:dyDescent="0.25">
      <c r="A5" s="252" t="s">
        <v>19283</v>
      </c>
      <c r="B5" s="252" t="s">
        <v>19288</v>
      </c>
      <c r="C5" s="252" t="s">
        <v>19289</v>
      </c>
      <c r="D5" s="252" t="s">
        <v>1034</v>
      </c>
      <c r="E5" s="253">
        <v>11.67</v>
      </c>
      <c r="F5" s="252" t="s">
        <v>1033</v>
      </c>
      <c r="G5" s="252" t="s">
        <v>640</v>
      </c>
      <c r="H5" s="254">
        <v>10880</v>
      </c>
    </row>
    <row r="6" spans="1:8" ht="14.25" customHeight="1" x14ac:dyDescent="0.25">
      <c r="A6" s="252" t="s">
        <v>19283</v>
      </c>
      <c r="B6" s="252" t="s">
        <v>19290</v>
      </c>
      <c r="C6" s="252" t="s">
        <v>19291</v>
      </c>
      <c r="D6" s="252" t="s">
        <v>729</v>
      </c>
      <c r="E6" s="253">
        <v>1.68</v>
      </c>
      <c r="F6" s="252" t="s">
        <v>728</v>
      </c>
      <c r="G6" s="252" t="s">
        <v>640</v>
      </c>
      <c r="H6" s="254">
        <v>10881</v>
      </c>
    </row>
    <row r="7" spans="1:8" ht="14.25" customHeight="1" x14ac:dyDescent="0.25">
      <c r="A7" s="252" t="s">
        <v>19283</v>
      </c>
      <c r="B7" s="252" t="s">
        <v>19292</v>
      </c>
      <c r="C7" s="252" t="s">
        <v>19293</v>
      </c>
      <c r="D7" s="252" t="s">
        <v>3985</v>
      </c>
      <c r="E7" s="253">
        <v>24.21</v>
      </c>
      <c r="F7" s="252" t="s">
        <v>3986</v>
      </c>
      <c r="G7" s="252" t="s">
        <v>640</v>
      </c>
      <c r="H7" s="254">
        <v>10882</v>
      </c>
    </row>
    <row r="8" spans="1:8" ht="14.25" customHeight="1" x14ac:dyDescent="0.25">
      <c r="A8" s="252" t="s">
        <v>19283</v>
      </c>
      <c r="B8" s="252" t="s">
        <v>15961</v>
      </c>
      <c r="C8" s="252" t="s">
        <v>19294</v>
      </c>
      <c r="D8" s="252" t="s">
        <v>3877</v>
      </c>
      <c r="E8" s="253">
        <v>2.15</v>
      </c>
      <c r="F8" s="252" t="s">
        <v>3878</v>
      </c>
      <c r="G8" s="252" t="s">
        <v>640</v>
      </c>
      <c r="H8" s="254">
        <v>10883</v>
      </c>
    </row>
    <row r="9" spans="1:8" ht="14.25" customHeight="1" x14ac:dyDescent="0.25">
      <c r="A9" s="252" t="s">
        <v>19283</v>
      </c>
      <c r="B9" s="252" t="s">
        <v>19295</v>
      </c>
      <c r="C9" s="252" t="s">
        <v>19296</v>
      </c>
      <c r="D9" s="252" t="s">
        <v>1186</v>
      </c>
      <c r="E9" s="253">
        <v>3.61</v>
      </c>
      <c r="F9" s="252" t="s">
        <v>1185</v>
      </c>
      <c r="G9" s="252" t="s">
        <v>640</v>
      </c>
      <c r="H9" s="254">
        <v>10884</v>
      </c>
    </row>
    <row r="10" spans="1:8" ht="14.25" customHeight="1" x14ac:dyDescent="0.25">
      <c r="A10" s="252" t="s">
        <v>19283</v>
      </c>
      <c r="B10" s="252" t="s">
        <v>19297</v>
      </c>
      <c r="C10" s="252" t="s">
        <v>19298</v>
      </c>
      <c r="D10" s="252" t="s">
        <v>4026</v>
      </c>
      <c r="E10" s="253">
        <v>7.64</v>
      </c>
      <c r="F10" s="252" t="s">
        <v>4027</v>
      </c>
      <c r="G10" s="252" t="s">
        <v>640</v>
      </c>
      <c r="H10" s="254">
        <v>10885</v>
      </c>
    </row>
    <row r="11" spans="1:8" ht="14.25" customHeight="1" x14ac:dyDescent="0.25">
      <c r="A11" s="252" t="s">
        <v>19283</v>
      </c>
      <c r="B11" s="252" t="s">
        <v>19299</v>
      </c>
      <c r="C11" s="252" t="s">
        <v>19300</v>
      </c>
      <c r="D11" s="252" t="s">
        <v>1507</v>
      </c>
      <c r="E11" s="253">
        <v>1.27</v>
      </c>
      <c r="F11" s="252" t="s">
        <v>1506</v>
      </c>
      <c r="G11" s="252" t="s">
        <v>640</v>
      </c>
      <c r="H11" s="254">
        <v>10886</v>
      </c>
    </row>
    <row r="12" spans="1:8" ht="14.25" customHeight="1" x14ac:dyDescent="0.25">
      <c r="A12" s="252" t="s">
        <v>19283</v>
      </c>
      <c r="B12" s="252" t="s">
        <v>19301</v>
      </c>
      <c r="C12" s="252" t="s">
        <v>19302</v>
      </c>
      <c r="D12" s="252" t="s">
        <v>5924</v>
      </c>
      <c r="E12" s="253">
        <v>3.94</v>
      </c>
      <c r="F12" s="252" t="s">
        <v>5925</v>
      </c>
      <c r="G12" s="252" t="s">
        <v>640</v>
      </c>
      <c r="H12" s="254">
        <v>10887</v>
      </c>
    </row>
    <row r="13" spans="1:8" ht="14.25" customHeight="1" x14ac:dyDescent="0.25">
      <c r="A13" s="252" t="s">
        <v>19283</v>
      </c>
      <c r="B13" s="252" t="s">
        <v>19303</v>
      </c>
      <c r="C13" s="252" t="s">
        <v>19304</v>
      </c>
      <c r="D13" s="252" t="s">
        <v>13418</v>
      </c>
      <c r="E13" s="253">
        <v>0.19</v>
      </c>
      <c r="F13" s="252" t="s">
        <v>13417</v>
      </c>
      <c r="G13" s="252" t="s">
        <v>640</v>
      </c>
      <c r="H13" s="254">
        <v>10888</v>
      </c>
    </row>
    <row r="14" spans="1:8" ht="14.25" customHeight="1" x14ac:dyDescent="0.25">
      <c r="A14" s="252" t="s">
        <v>19283</v>
      </c>
      <c r="B14" s="252" t="s">
        <v>19305</v>
      </c>
      <c r="C14" s="252" t="s">
        <v>19306</v>
      </c>
      <c r="D14" s="252" t="s">
        <v>13422</v>
      </c>
      <c r="E14" s="253">
        <v>4.8499999999999996</v>
      </c>
      <c r="F14" s="252" t="s">
        <v>13421</v>
      </c>
      <c r="G14" s="252" t="s">
        <v>640</v>
      </c>
      <c r="H14" s="254">
        <v>10889</v>
      </c>
    </row>
    <row r="15" spans="1:8" ht="14.25" customHeight="1" x14ac:dyDescent="0.25">
      <c r="A15" s="252"/>
      <c r="B15" s="252"/>
      <c r="C15" s="255" t="s">
        <v>3738</v>
      </c>
      <c r="D15" s="252"/>
      <c r="E15" s="258">
        <f>SUM(E3:E14)</f>
        <v>77.199999999999974</v>
      </c>
      <c r="F15" s="252"/>
      <c r="G15" s="252"/>
      <c r="H15" s="254"/>
    </row>
    <row r="16" spans="1:8" ht="14.25" customHeight="1" x14ac:dyDescent="0.25">
      <c r="A16" s="252" t="s">
        <v>19307</v>
      </c>
      <c r="B16" s="252" t="s">
        <v>19308</v>
      </c>
      <c r="C16" s="252" t="s">
        <v>19309</v>
      </c>
      <c r="D16" s="252" t="s">
        <v>19071</v>
      </c>
      <c r="E16" s="253">
        <v>1.81</v>
      </c>
      <c r="F16" s="252" t="s">
        <v>19070</v>
      </c>
      <c r="G16" s="252" t="s">
        <v>640</v>
      </c>
      <c r="H16" s="254">
        <v>10973</v>
      </c>
    </row>
    <row r="17" spans="1:8" ht="14.25" customHeight="1" x14ac:dyDescent="0.25">
      <c r="A17" s="252" t="s">
        <v>19307</v>
      </c>
      <c r="B17" s="252" t="s">
        <v>19310</v>
      </c>
      <c r="C17" s="252" t="s">
        <v>19311</v>
      </c>
      <c r="D17" s="252" t="s">
        <v>5052</v>
      </c>
      <c r="E17" s="253">
        <v>4</v>
      </c>
      <c r="F17" s="252" t="s">
        <v>5053</v>
      </c>
      <c r="G17" s="252" t="s">
        <v>640</v>
      </c>
      <c r="H17" s="254">
        <v>10974</v>
      </c>
    </row>
    <row r="18" spans="1:8" ht="14.25" customHeight="1" x14ac:dyDescent="0.25">
      <c r="A18" s="252" t="s">
        <v>19307</v>
      </c>
      <c r="B18" s="252" t="s">
        <v>19312</v>
      </c>
      <c r="C18" s="252" t="s">
        <v>19313</v>
      </c>
      <c r="D18" s="252" t="s">
        <v>2945</v>
      </c>
      <c r="E18" s="253">
        <v>0.23</v>
      </c>
      <c r="F18" s="252" t="s">
        <v>2946</v>
      </c>
      <c r="G18" s="252" t="s">
        <v>640</v>
      </c>
      <c r="H18" s="254">
        <v>10975</v>
      </c>
    </row>
    <row r="19" spans="1:8" ht="14.25" customHeight="1" x14ac:dyDescent="0.25">
      <c r="A19" s="252" t="s">
        <v>19307</v>
      </c>
      <c r="B19" s="252" t="s">
        <v>19314</v>
      </c>
      <c r="C19" s="252" t="s">
        <v>19315</v>
      </c>
      <c r="D19" s="252" t="s">
        <v>1592</v>
      </c>
      <c r="E19" s="253">
        <v>3.17</v>
      </c>
      <c r="F19" s="252" t="s">
        <v>1593</v>
      </c>
      <c r="G19" s="252" t="s">
        <v>640</v>
      </c>
      <c r="H19" s="254">
        <v>10976</v>
      </c>
    </row>
    <row r="20" spans="1:8" ht="14.25" customHeight="1" x14ac:dyDescent="0.25">
      <c r="A20" s="252" t="s">
        <v>19307</v>
      </c>
      <c r="B20" s="252" t="s">
        <v>19316</v>
      </c>
      <c r="C20" s="252" t="s">
        <v>19317</v>
      </c>
      <c r="D20" s="252" t="s">
        <v>720</v>
      </c>
      <c r="E20" s="253">
        <v>1.76</v>
      </c>
      <c r="F20" s="252" t="s">
        <v>719</v>
      </c>
      <c r="G20" s="252" t="s">
        <v>640</v>
      </c>
      <c r="H20" s="254">
        <v>10977</v>
      </c>
    </row>
    <row r="21" spans="1:8" ht="14.25" customHeight="1" x14ac:dyDescent="0.25">
      <c r="A21" s="252" t="s">
        <v>19307</v>
      </c>
      <c r="B21" s="252" t="s">
        <v>19318</v>
      </c>
      <c r="C21" s="252" t="s">
        <v>19319</v>
      </c>
      <c r="D21" s="252" t="s">
        <v>4105</v>
      </c>
      <c r="E21" s="253">
        <v>6.07</v>
      </c>
      <c r="F21" s="252" t="s">
        <v>4106</v>
      </c>
      <c r="G21" s="252" t="s">
        <v>640</v>
      </c>
      <c r="H21" s="254">
        <v>10978</v>
      </c>
    </row>
    <row r="22" spans="1:8" ht="14.25" customHeight="1" x14ac:dyDescent="0.25">
      <c r="A22" s="252" t="s">
        <v>19307</v>
      </c>
      <c r="B22" s="252" t="s">
        <v>19320</v>
      </c>
      <c r="C22" s="252" t="s">
        <v>19321</v>
      </c>
      <c r="D22" s="252" t="s">
        <v>1164</v>
      </c>
      <c r="E22" s="253">
        <v>2.16</v>
      </c>
      <c r="F22" s="252" t="s">
        <v>1163</v>
      </c>
      <c r="G22" s="252" t="s">
        <v>640</v>
      </c>
      <c r="H22" s="254">
        <v>10979</v>
      </c>
    </row>
    <row r="23" spans="1:8" ht="14.25" customHeight="1" x14ac:dyDescent="0.25">
      <c r="A23" s="252" t="s">
        <v>19307</v>
      </c>
      <c r="B23" s="252" t="s">
        <v>19322</v>
      </c>
      <c r="C23" s="252" t="s">
        <v>19323</v>
      </c>
      <c r="D23" s="252" t="s">
        <v>1405</v>
      </c>
      <c r="E23" s="253">
        <v>3.67</v>
      </c>
      <c r="F23" s="252" t="s">
        <v>1404</v>
      </c>
      <c r="G23" s="252" t="s">
        <v>640</v>
      </c>
      <c r="H23" s="254">
        <v>10980</v>
      </c>
    </row>
    <row r="24" spans="1:8" ht="14.25" customHeight="1" x14ac:dyDescent="0.25">
      <c r="A24" s="252" t="s">
        <v>19307</v>
      </c>
      <c r="B24" s="252" t="s">
        <v>19324</v>
      </c>
      <c r="C24" s="252" t="s">
        <v>19325</v>
      </c>
      <c r="D24" s="252" t="s">
        <v>4309</v>
      </c>
      <c r="E24" s="253">
        <v>3.36</v>
      </c>
      <c r="F24" s="252" t="s">
        <v>4310</v>
      </c>
      <c r="G24" s="252" t="s">
        <v>640</v>
      </c>
      <c r="H24" s="254">
        <v>10981</v>
      </c>
    </row>
    <row r="25" spans="1:8" ht="14.25" customHeight="1" x14ac:dyDescent="0.25">
      <c r="A25" s="252" t="s">
        <v>19307</v>
      </c>
      <c r="B25" s="252" t="s">
        <v>14323</v>
      </c>
      <c r="C25" s="252" t="s">
        <v>19326</v>
      </c>
      <c r="D25" s="252" t="s">
        <v>1028</v>
      </c>
      <c r="E25" s="253">
        <v>9.09</v>
      </c>
      <c r="F25" s="252" t="s">
        <v>1027</v>
      </c>
      <c r="G25" s="252" t="s">
        <v>640</v>
      </c>
      <c r="H25" s="254">
        <v>10982</v>
      </c>
    </row>
    <row r="26" spans="1:8" ht="14.25" customHeight="1" x14ac:dyDescent="0.25">
      <c r="A26" s="252" t="s">
        <v>19307</v>
      </c>
      <c r="B26" s="252" t="s">
        <v>19327</v>
      </c>
      <c r="C26" s="252" t="s">
        <v>19328</v>
      </c>
      <c r="D26" s="252" t="s">
        <v>3962</v>
      </c>
      <c r="E26" s="253">
        <v>20.45</v>
      </c>
      <c r="F26" s="252" t="s">
        <v>3963</v>
      </c>
      <c r="G26" s="252" t="s">
        <v>640</v>
      </c>
      <c r="H26" s="254">
        <v>10983</v>
      </c>
    </row>
    <row r="27" spans="1:8" ht="14.25" customHeight="1" x14ac:dyDescent="0.25">
      <c r="A27" s="252" t="s">
        <v>19307</v>
      </c>
      <c r="B27" s="252" t="s">
        <v>19329</v>
      </c>
      <c r="C27" s="252" t="s">
        <v>19330</v>
      </c>
      <c r="D27" s="252" t="s">
        <v>851</v>
      </c>
      <c r="E27" s="253">
        <v>6.36</v>
      </c>
      <c r="F27" s="252" t="s">
        <v>850</v>
      </c>
      <c r="G27" s="252" t="s">
        <v>640</v>
      </c>
      <c r="H27" s="254">
        <v>10984</v>
      </c>
    </row>
    <row r="28" spans="1:8" ht="14.25" customHeight="1" x14ac:dyDescent="0.25">
      <c r="A28" s="252" t="s">
        <v>19307</v>
      </c>
      <c r="B28" s="252" t="s">
        <v>19331</v>
      </c>
      <c r="C28" s="252" t="s">
        <v>19332</v>
      </c>
      <c r="D28" s="252" t="s">
        <v>936</v>
      </c>
      <c r="E28" s="253">
        <v>2.36</v>
      </c>
      <c r="F28" s="252" t="s">
        <v>935</v>
      </c>
      <c r="G28" s="252" t="s">
        <v>640</v>
      </c>
      <c r="H28" s="254">
        <v>10985</v>
      </c>
    </row>
    <row r="29" spans="1:8" ht="14.25" customHeight="1" x14ac:dyDescent="0.25">
      <c r="A29" s="252" t="s">
        <v>19307</v>
      </c>
      <c r="B29" s="252" t="s">
        <v>19333</v>
      </c>
      <c r="C29" s="252" t="s">
        <v>19334</v>
      </c>
      <c r="D29" s="252" t="s">
        <v>19335</v>
      </c>
      <c r="E29" s="253">
        <v>10.94</v>
      </c>
      <c r="F29" s="252" t="s">
        <v>19336</v>
      </c>
      <c r="G29" s="252" t="s">
        <v>640</v>
      </c>
      <c r="H29" s="254">
        <v>10986</v>
      </c>
    </row>
    <row r="30" spans="1:8" ht="14.25" customHeight="1" x14ac:dyDescent="0.25">
      <c r="A30" s="252" t="s">
        <v>19307</v>
      </c>
      <c r="B30" s="252" t="s">
        <v>19337</v>
      </c>
      <c r="C30" s="252" t="s">
        <v>19338</v>
      </c>
      <c r="D30" s="252" t="s">
        <v>1433</v>
      </c>
      <c r="E30" s="253">
        <v>2.37</v>
      </c>
      <c r="F30" s="252" t="s">
        <v>1432</v>
      </c>
      <c r="G30" s="252" t="s">
        <v>640</v>
      </c>
      <c r="H30" s="254">
        <v>10987</v>
      </c>
    </row>
    <row r="31" spans="1:8" ht="14.25" customHeight="1" x14ac:dyDescent="0.25">
      <c r="A31" s="252" t="s">
        <v>19307</v>
      </c>
      <c r="B31" s="252" t="s">
        <v>19339</v>
      </c>
      <c r="C31" s="252" t="s">
        <v>19340</v>
      </c>
      <c r="D31" s="252" t="s">
        <v>5192</v>
      </c>
      <c r="E31" s="253">
        <v>3.11</v>
      </c>
      <c r="F31" s="252" t="s">
        <v>5193</v>
      </c>
      <c r="G31" s="252" t="s">
        <v>640</v>
      </c>
      <c r="H31" s="254">
        <v>10988</v>
      </c>
    </row>
    <row r="32" spans="1:8" ht="14.25" customHeight="1" x14ac:dyDescent="0.25">
      <c r="A32" s="252" t="s">
        <v>19307</v>
      </c>
      <c r="B32" s="252" t="s">
        <v>16570</v>
      </c>
      <c r="C32" s="252" t="s">
        <v>19341</v>
      </c>
      <c r="D32" s="252" t="s">
        <v>1411</v>
      </c>
      <c r="E32" s="253">
        <v>5.6</v>
      </c>
      <c r="F32" s="252" t="s">
        <v>1410</v>
      </c>
      <c r="G32" s="252" t="s">
        <v>640</v>
      </c>
      <c r="H32" s="254">
        <v>10989</v>
      </c>
    </row>
    <row r="33" spans="1:11" ht="14.25" customHeight="1" x14ac:dyDescent="0.25">
      <c r="A33" s="252" t="s">
        <v>19307</v>
      </c>
      <c r="B33" s="252" t="s">
        <v>19342</v>
      </c>
      <c r="C33" s="252" t="s">
        <v>19343</v>
      </c>
      <c r="D33" s="252" t="s">
        <v>689</v>
      </c>
      <c r="E33" s="253">
        <v>1.68</v>
      </c>
      <c r="F33" s="252" t="s">
        <v>688</v>
      </c>
      <c r="G33" s="252" t="s">
        <v>640</v>
      </c>
      <c r="H33" s="254">
        <v>10990</v>
      </c>
    </row>
    <row r="34" spans="1:11" ht="14.25" customHeight="1" x14ac:dyDescent="0.25">
      <c r="A34" s="252" t="s">
        <v>19307</v>
      </c>
      <c r="B34" s="252" t="s">
        <v>19344</v>
      </c>
      <c r="C34" s="252" t="s">
        <v>19345</v>
      </c>
      <c r="D34" s="252" t="s">
        <v>838</v>
      </c>
      <c r="E34" s="253">
        <v>4.3600000000000003</v>
      </c>
      <c r="F34" s="252" t="s">
        <v>837</v>
      </c>
      <c r="G34" s="252" t="s">
        <v>640</v>
      </c>
      <c r="H34" s="254">
        <v>10991</v>
      </c>
    </row>
    <row r="35" spans="1:11" ht="14.25" customHeight="1" x14ac:dyDescent="0.25">
      <c r="A35" s="252" t="s">
        <v>19307</v>
      </c>
      <c r="B35" s="252" t="s">
        <v>16205</v>
      </c>
      <c r="C35" s="252" t="s">
        <v>19346</v>
      </c>
      <c r="D35" s="252" t="s">
        <v>5636</v>
      </c>
      <c r="E35" s="253">
        <v>2.77</v>
      </c>
      <c r="F35" s="252" t="s">
        <v>5637</v>
      </c>
      <c r="G35" s="252" t="s">
        <v>640</v>
      </c>
      <c r="H35" s="254">
        <v>10992</v>
      </c>
    </row>
    <row r="36" spans="1:11" ht="14.25" customHeight="1" x14ac:dyDescent="0.25">
      <c r="A36" s="252" t="s">
        <v>19307</v>
      </c>
      <c r="B36" s="252" t="s">
        <v>19347</v>
      </c>
      <c r="C36" s="252" t="s">
        <v>19348</v>
      </c>
      <c r="D36" s="252" t="s">
        <v>1137</v>
      </c>
      <c r="E36" s="253">
        <v>1.68</v>
      </c>
      <c r="F36" s="252" t="s">
        <v>1136</v>
      </c>
      <c r="G36" s="252" t="s">
        <v>640</v>
      </c>
      <c r="H36" s="254">
        <v>10993</v>
      </c>
    </row>
    <row r="37" spans="1:11" ht="14.25" customHeight="1" x14ac:dyDescent="0.25">
      <c r="A37" s="252" t="s">
        <v>19307</v>
      </c>
      <c r="B37" s="252" t="s">
        <v>19349</v>
      </c>
      <c r="C37" s="252" t="s">
        <v>19350</v>
      </c>
      <c r="D37" s="252" t="s">
        <v>1408</v>
      </c>
      <c r="E37" s="253">
        <v>6.94</v>
      </c>
      <c r="F37" s="252" t="s">
        <v>1407</v>
      </c>
      <c r="G37" s="252" t="s">
        <v>640</v>
      </c>
      <c r="H37" s="254">
        <v>10994</v>
      </c>
    </row>
    <row r="38" spans="1:11" ht="14.25" customHeight="1" x14ac:dyDescent="0.25">
      <c r="A38" s="252" t="s">
        <v>19307</v>
      </c>
      <c r="B38" s="252" t="s">
        <v>19351</v>
      </c>
      <c r="C38" s="252" t="s">
        <v>19352</v>
      </c>
      <c r="D38" s="252" t="s">
        <v>18945</v>
      </c>
      <c r="E38" s="253">
        <v>0.06</v>
      </c>
      <c r="F38" s="252" t="s">
        <v>18944</v>
      </c>
      <c r="G38" s="252" t="s">
        <v>640</v>
      </c>
      <c r="H38" s="254">
        <v>10995</v>
      </c>
    </row>
    <row r="39" spans="1:11" ht="14.25" customHeight="1" x14ac:dyDescent="0.25">
      <c r="A39" s="252" t="s">
        <v>19307</v>
      </c>
      <c r="B39" s="252" t="s">
        <v>19353</v>
      </c>
      <c r="C39" s="252" t="s">
        <v>19354</v>
      </c>
      <c r="D39" s="252" t="s">
        <v>19355</v>
      </c>
      <c r="E39" s="253">
        <v>1.7</v>
      </c>
      <c r="F39" s="252" t="s">
        <v>19356</v>
      </c>
      <c r="G39" s="252" t="s">
        <v>640</v>
      </c>
      <c r="H39" s="254">
        <v>10996</v>
      </c>
    </row>
    <row r="40" spans="1:11" ht="14.25" customHeight="1" x14ac:dyDescent="0.25">
      <c r="A40" s="252" t="s">
        <v>19307</v>
      </c>
      <c r="B40" s="252" t="s">
        <v>1406</v>
      </c>
      <c r="C40" s="252" t="s">
        <v>19357</v>
      </c>
      <c r="D40" s="252" t="s">
        <v>4735</v>
      </c>
      <c r="E40" s="253">
        <v>1.68</v>
      </c>
      <c r="F40" s="252" t="s">
        <v>4736</v>
      </c>
      <c r="G40" s="252" t="s">
        <v>640</v>
      </c>
      <c r="H40" s="254">
        <v>10997</v>
      </c>
    </row>
    <row r="41" spans="1:11" ht="14.25" customHeight="1" x14ac:dyDescent="0.25">
      <c r="A41" s="252" t="s">
        <v>19307</v>
      </c>
      <c r="B41" s="252" t="s">
        <v>19358</v>
      </c>
      <c r="C41" s="252" t="s">
        <v>19359</v>
      </c>
      <c r="D41" s="252" t="s">
        <v>1022</v>
      </c>
      <c r="E41" s="253">
        <v>5.71</v>
      </c>
      <c r="F41" s="252" t="s">
        <v>1021</v>
      </c>
      <c r="G41" s="252" t="s">
        <v>640</v>
      </c>
      <c r="H41" s="254">
        <v>10998</v>
      </c>
    </row>
    <row r="42" spans="1:11" ht="14.25" customHeight="1" x14ac:dyDescent="0.25">
      <c r="A42" s="252" t="s">
        <v>19307</v>
      </c>
      <c r="B42" s="252" t="s">
        <v>19360</v>
      </c>
      <c r="C42" s="252" t="s">
        <v>19361</v>
      </c>
      <c r="D42" s="252" t="s">
        <v>997</v>
      </c>
      <c r="E42" s="253">
        <v>8.1199999999999992</v>
      </c>
      <c r="F42" s="252" t="s">
        <v>996</v>
      </c>
      <c r="G42" s="252" t="s">
        <v>640</v>
      </c>
      <c r="H42" s="254">
        <v>10999</v>
      </c>
    </row>
    <row r="43" spans="1:11" ht="14.25" customHeight="1" x14ac:dyDescent="0.25">
      <c r="A43" s="252" t="s">
        <v>19307</v>
      </c>
      <c r="B43" s="252" t="s">
        <v>19362</v>
      </c>
      <c r="C43" s="252" t="s">
        <v>19363</v>
      </c>
      <c r="D43" s="252" t="s">
        <v>1431</v>
      </c>
      <c r="E43" s="253">
        <v>1.42</v>
      </c>
      <c r="F43" s="252" t="s">
        <v>1430</v>
      </c>
      <c r="G43" s="252" t="s">
        <v>640</v>
      </c>
      <c r="H43" s="254">
        <v>11000</v>
      </c>
    </row>
    <row r="44" spans="1:11" ht="14.25" customHeight="1" x14ac:dyDescent="0.25">
      <c r="A44" s="252"/>
      <c r="B44" s="252"/>
      <c r="C44" s="255" t="s">
        <v>3738</v>
      </c>
      <c r="D44" s="252"/>
      <c r="E44" s="258">
        <f>SUM(E16:E43)</f>
        <v>122.63000000000001</v>
      </c>
      <c r="F44" s="252"/>
      <c r="G44" s="252"/>
      <c r="H44" s="254"/>
    </row>
    <row r="45" spans="1:11" ht="14.25" customHeight="1" x14ac:dyDescent="0.25">
      <c r="A45" s="252" t="s">
        <v>19364</v>
      </c>
      <c r="B45" s="252" t="s">
        <v>19365</v>
      </c>
      <c r="C45" s="252" t="s">
        <v>19366</v>
      </c>
      <c r="D45" s="252" t="s">
        <v>757</v>
      </c>
      <c r="E45" s="253">
        <v>8.51</v>
      </c>
      <c r="F45" s="252" t="s">
        <v>756</v>
      </c>
      <c r="G45" s="252" t="s">
        <v>640</v>
      </c>
      <c r="H45" s="254">
        <v>11133</v>
      </c>
    </row>
    <row r="46" spans="1:11" ht="14.25" customHeight="1" x14ac:dyDescent="0.25">
      <c r="A46" s="252" t="s">
        <v>19364</v>
      </c>
      <c r="B46" s="252" t="s">
        <v>19367</v>
      </c>
      <c r="C46" s="252" t="s">
        <v>19368</v>
      </c>
      <c r="D46" s="252" t="s">
        <v>814</v>
      </c>
      <c r="E46" s="253">
        <v>6.45</v>
      </c>
      <c r="F46" s="252" t="s">
        <v>813</v>
      </c>
      <c r="G46" s="252" t="s">
        <v>640</v>
      </c>
      <c r="H46" s="254">
        <v>11134</v>
      </c>
    </row>
    <row r="47" spans="1:11" ht="14.25" customHeight="1" x14ac:dyDescent="0.25">
      <c r="A47" s="252" t="s">
        <v>19364</v>
      </c>
      <c r="B47" s="252" t="s">
        <v>19369</v>
      </c>
      <c r="C47" s="252" t="s">
        <v>19370</v>
      </c>
      <c r="D47" s="252" t="s">
        <v>1066</v>
      </c>
      <c r="E47" s="253">
        <v>2.13</v>
      </c>
      <c r="F47" s="252" t="s">
        <v>1065</v>
      </c>
      <c r="G47" s="252" t="s">
        <v>640</v>
      </c>
      <c r="H47" s="254">
        <v>11135</v>
      </c>
    </row>
    <row r="48" spans="1:11" ht="14.25" customHeight="1" x14ac:dyDescent="0.25">
      <c r="A48" s="252" t="s">
        <v>19364</v>
      </c>
      <c r="B48" s="252" t="s">
        <v>10812</v>
      </c>
      <c r="C48" s="252" t="s">
        <v>19371</v>
      </c>
      <c r="D48" s="252" t="s">
        <v>4403</v>
      </c>
      <c r="E48" s="253">
        <v>1.02</v>
      </c>
      <c r="F48" s="252" t="s">
        <v>4404</v>
      </c>
      <c r="G48" s="252" t="s">
        <v>640</v>
      </c>
      <c r="H48" s="254">
        <v>11136</v>
      </c>
      <c r="K48" t="s">
        <v>1053</v>
      </c>
    </row>
    <row r="49" spans="1:15" ht="14.25" customHeight="1" x14ac:dyDescent="0.25">
      <c r="A49" s="252" t="s">
        <v>19364</v>
      </c>
      <c r="B49" s="252" t="s">
        <v>19372</v>
      </c>
      <c r="C49" s="252" t="s">
        <v>19373</v>
      </c>
      <c r="D49" s="252" t="s">
        <v>922</v>
      </c>
      <c r="E49" s="253">
        <v>8.3800000000000008</v>
      </c>
      <c r="F49" s="252" t="s">
        <v>921</v>
      </c>
      <c r="G49" s="252" t="s">
        <v>640</v>
      </c>
      <c r="H49" s="254">
        <v>11137</v>
      </c>
    </row>
    <row r="50" spans="1:15" ht="14.25" customHeight="1" x14ac:dyDescent="0.25">
      <c r="A50" s="252" t="s">
        <v>19364</v>
      </c>
      <c r="B50" s="252" t="s">
        <v>19374</v>
      </c>
      <c r="C50" s="252" t="s">
        <v>19375</v>
      </c>
      <c r="D50" s="252" t="s">
        <v>16042</v>
      </c>
      <c r="E50" s="253">
        <v>0.24</v>
      </c>
      <c r="F50" s="252" t="s">
        <v>16041</v>
      </c>
      <c r="G50" s="252" t="s">
        <v>640</v>
      </c>
      <c r="H50" s="254">
        <v>11138</v>
      </c>
    </row>
    <row r="51" spans="1:15" ht="14.25" customHeight="1" x14ac:dyDescent="0.25">
      <c r="A51" s="252" t="s">
        <v>19364</v>
      </c>
      <c r="B51" s="252" t="s">
        <v>19376</v>
      </c>
      <c r="C51" s="252" t="s">
        <v>19377</v>
      </c>
      <c r="D51" s="252" t="s">
        <v>19378</v>
      </c>
      <c r="E51" s="253">
        <v>0.03</v>
      </c>
      <c r="F51" s="252" t="s">
        <v>19379</v>
      </c>
      <c r="G51" s="252" t="s">
        <v>640</v>
      </c>
      <c r="H51" s="254" t="s">
        <v>19380</v>
      </c>
    </row>
    <row r="52" spans="1:15" ht="14.25" customHeight="1" x14ac:dyDescent="0.25">
      <c r="A52" s="252" t="s">
        <v>19364</v>
      </c>
      <c r="B52" s="252" t="s">
        <v>19381</v>
      </c>
      <c r="C52" s="252" t="s">
        <v>19382</v>
      </c>
      <c r="D52" s="252" t="s">
        <v>999</v>
      </c>
      <c r="E52" s="253">
        <v>1.8</v>
      </c>
      <c r="F52" s="252" t="s">
        <v>998</v>
      </c>
      <c r="G52" s="252" t="s">
        <v>640</v>
      </c>
      <c r="H52" s="254">
        <v>11139</v>
      </c>
    </row>
    <row r="53" spans="1:15" ht="14.25" customHeight="1" x14ac:dyDescent="0.25">
      <c r="A53" s="252" t="s">
        <v>19364</v>
      </c>
      <c r="B53" s="252" t="s">
        <v>19383</v>
      </c>
      <c r="C53" s="252" t="s">
        <v>19384</v>
      </c>
      <c r="D53" s="252" t="s">
        <v>5098</v>
      </c>
      <c r="E53" s="253">
        <v>4.79</v>
      </c>
      <c r="F53" s="252" t="s">
        <v>5099</v>
      </c>
      <c r="G53" s="252" t="s">
        <v>640</v>
      </c>
      <c r="H53" s="254">
        <v>11140</v>
      </c>
    </row>
    <row r="54" spans="1:15" ht="14.25" customHeight="1" x14ac:dyDescent="0.25">
      <c r="A54" s="252" t="s">
        <v>19364</v>
      </c>
      <c r="B54" s="252" t="s">
        <v>19385</v>
      </c>
      <c r="C54" s="252" t="s">
        <v>19386</v>
      </c>
      <c r="D54" s="252" t="s">
        <v>10528</v>
      </c>
      <c r="E54" s="253">
        <v>10.43</v>
      </c>
      <c r="F54" s="252" t="s">
        <v>10527</v>
      </c>
      <c r="G54" s="252" t="s">
        <v>640</v>
      </c>
      <c r="H54" s="254">
        <v>11141</v>
      </c>
    </row>
    <row r="55" spans="1:15" ht="14.25" customHeight="1" x14ac:dyDescent="0.25">
      <c r="A55" s="252" t="s">
        <v>19364</v>
      </c>
      <c r="B55" s="252" t="s">
        <v>19387</v>
      </c>
      <c r="C55" s="252" t="s">
        <v>19388</v>
      </c>
      <c r="D55" s="252" t="s">
        <v>6052</v>
      </c>
      <c r="E55" s="253">
        <v>3.36</v>
      </c>
      <c r="F55" s="252" t="s">
        <v>6053</v>
      </c>
      <c r="G55" s="252" t="s">
        <v>640</v>
      </c>
      <c r="H55" s="254">
        <v>11142</v>
      </c>
    </row>
    <row r="56" spans="1:15" ht="14.25" customHeight="1" x14ac:dyDescent="0.25">
      <c r="A56" s="252" t="s">
        <v>19364</v>
      </c>
      <c r="B56" s="252" t="s">
        <v>19389</v>
      </c>
      <c r="C56" s="252" t="s">
        <v>19390</v>
      </c>
      <c r="D56" s="252" t="s">
        <v>1220</v>
      </c>
      <c r="E56" s="253">
        <v>5.75</v>
      </c>
      <c r="F56" s="252" t="s">
        <v>1219</v>
      </c>
      <c r="G56" s="252" t="s">
        <v>640</v>
      </c>
      <c r="H56" s="254">
        <v>11143</v>
      </c>
      <c r="J56" t="s">
        <v>1529</v>
      </c>
      <c r="M56" t="s">
        <v>1528</v>
      </c>
    </row>
    <row r="57" spans="1:15" ht="14.25" customHeight="1" x14ac:dyDescent="0.25">
      <c r="A57" s="252" t="s">
        <v>19364</v>
      </c>
      <c r="B57" s="252" t="s">
        <v>19391</v>
      </c>
      <c r="C57" s="252" t="s">
        <v>19392</v>
      </c>
      <c r="D57" s="252" t="s">
        <v>950</v>
      </c>
      <c r="E57" s="253">
        <v>2.27</v>
      </c>
      <c r="F57" s="252" t="s">
        <v>949</v>
      </c>
      <c r="G57" s="252" t="s">
        <v>640</v>
      </c>
      <c r="H57" s="254">
        <v>11144</v>
      </c>
    </row>
    <row r="58" spans="1:15" ht="14.25" customHeight="1" x14ac:dyDescent="0.25">
      <c r="A58" s="252" t="s">
        <v>19364</v>
      </c>
      <c r="B58" s="252" t="s">
        <v>19393</v>
      </c>
      <c r="C58" s="252" t="s">
        <v>19394</v>
      </c>
      <c r="D58" s="252" t="s">
        <v>4739</v>
      </c>
      <c r="E58" s="253">
        <v>19.07</v>
      </c>
      <c r="F58" s="252" t="s">
        <v>4740</v>
      </c>
      <c r="G58" s="252" t="s">
        <v>640</v>
      </c>
      <c r="H58" s="254">
        <v>11145</v>
      </c>
    </row>
    <row r="59" spans="1:15" ht="14.25" customHeight="1" x14ac:dyDescent="0.25">
      <c r="A59" s="252" t="s">
        <v>19364</v>
      </c>
      <c r="B59" s="252" t="s">
        <v>19395</v>
      </c>
      <c r="C59" s="252" t="s">
        <v>19396</v>
      </c>
      <c r="D59" s="252" t="s">
        <v>13430</v>
      </c>
      <c r="E59" s="253">
        <v>2.41</v>
      </c>
      <c r="F59" s="252" t="s">
        <v>13429</v>
      </c>
      <c r="G59" s="252" t="s">
        <v>640</v>
      </c>
      <c r="H59" s="254">
        <v>11146</v>
      </c>
    </row>
    <row r="60" spans="1:15" ht="14.25" customHeight="1" x14ac:dyDescent="0.25">
      <c r="A60" s="252" t="s">
        <v>19364</v>
      </c>
      <c r="B60" s="252" t="s">
        <v>4909</v>
      </c>
      <c r="C60" s="252" t="s">
        <v>19397</v>
      </c>
      <c r="D60" s="252" t="s">
        <v>4755</v>
      </c>
      <c r="E60" s="253">
        <v>1.69</v>
      </c>
      <c r="F60" s="252" t="s">
        <v>4756</v>
      </c>
      <c r="G60" s="252" t="s">
        <v>640</v>
      </c>
      <c r="H60" s="254">
        <v>11147</v>
      </c>
    </row>
    <row r="61" spans="1:15" ht="14.25" customHeight="1" x14ac:dyDescent="0.25">
      <c r="A61" s="252" t="s">
        <v>19364</v>
      </c>
      <c r="B61" s="252" t="s">
        <v>19398</v>
      </c>
      <c r="C61" s="252" t="s">
        <v>19399</v>
      </c>
      <c r="D61" s="252" t="s">
        <v>4419</v>
      </c>
      <c r="E61" s="253">
        <v>11.58</v>
      </c>
      <c r="F61" s="252" t="s">
        <v>4420</v>
      </c>
      <c r="G61" s="252" t="s">
        <v>640</v>
      </c>
      <c r="H61" s="254">
        <v>11148</v>
      </c>
      <c r="L61" t="s">
        <v>1527</v>
      </c>
      <c r="O61" t="s">
        <v>1526</v>
      </c>
    </row>
    <row r="62" spans="1:15" ht="14.25" customHeight="1" x14ac:dyDescent="0.25">
      <c r="A62" s="252" t="s">
        <v>19364</v>
      </c>
      <c r="B62" s="252" t="s">
        <v>19400</v>
      </c>
      <c r="C62" s="252" t="s">
        <v>19401</v>
      </c>
      <c r="D62" s="252" t="s">
        <v>11556</v>
      </c>
      <c r="E62" s="253">
        <v>3.47</v>
      </c>
      <c r="F62" s="252" t="s">
        <v>11555</v>
      </c>
      <c r="G62" s="252" t="s">
        <v>640</v>
      </c>
      <c r="H62" s="254">
        <v>11149</v>
      </c>
    </row>
    <row r="63" spans="1:15" ht="14.25" customHeight="1" x14ac:dyDescent="0.25">
      <c r="A63" s="252" t="s">
        <v>19364</v>
      </c>
      <c r="B63" s="252" t="s">
        <v>13414</v>
      </c>
      <c r="C63" s="252" t="s">
        <v>19402</v>
      </c>
      <c r="D63" s="252" t="s">
        <v>1442</v>
      </c>
      <c r="E63" s="253">
        <v>8.85</v>
      </c>
      <c r="F63" s="252" t="s">
        <v>1441</v>
      </c>
      <c r="G63" s="252" t="s">
        <v>640</v>
      </c>
      <c r="H63" s="254">
        <v>11150</v>
      </c>
    </row>
    <row r="64" spans="1:15" ht="14.25" customHeight="1" x14ac:dyDescent="0.3">
      <c r="A64" s="252" t="s">
        <v>19364</v>
      </c>
      <c r="B64" s="252" t="s">
        <v>13855</v>
      </c>
      <c r="C64" s="252" t="s">
        <v>19403</v>
      </c>
      <c r="D64" s="252" t="s">
        <v>4897</v>
      </c>
      <c r="E64" s="253">
        <v>3.56</v>
      </c>
      <c r="F64" s="252" t="s">
        <v>4898</v>
      </c>
      <c r="G64" s="252" t="s">
        <v>640</v>
      </c>
      <c r="H64" s="254">
        <v>11151</v>
      </c>
      <c r="K64" s="256"/>
    </row>
    <row r="65" spans="1:8" ht="14.25" customHeight="1" x14ac:dyDescent="0.25">
      <c r="A65" s="252" t="s">
        <v>19364</v>
      </c>
      <c r="B65" s="252" t="s">
        <v>19404</v>
      </c>
      <c r="C65" s="252" t="s">
        <v>19405</v>
      </c>
      <c r="D65" s="252" t="s">
        <v>15966</v>
      </c>
      <c r="E65" s="253">
        <v>0.57999999999999996</v>
      </c>
      <c r="F65" s="252" t="s">
        <v>15965</v>
      </c>
      <c r="G65" s="252" t="s">
        <v>640</v>
      </c>
      <c r="H65" s="254">
        <v>11152</v>
      </c>
    </row>
    <row r="66" spans="1:8" ht="14.25" customHeight="1" x14ac:dyDescent="0.25">
      <c r="A66" s="252" t="s">
        <v>19364</v>
      </c>
      <c r="B66" s="252" t="s">
        <v>19406</v>
      </c>
      <c r="C66" s="252" t="s">
        <v>19407</v>
      </c>
      <c r="D66" s="252" t="s">
        <v>1475</v>
      </c>
      <c r="E66" s="253">
        <v>1.9</v>
      </c>
      <c r="F66" s="252" t="s">
        <v>1474</v>
      </c>
      <c r="G66" s="252" t="s">
        <v>640</v>
      </c>
      <c r="H66" s="254">
        <v>11153</v>
      </c>
    </row>
    <row r="67" spans="1:8" ht="14.25" customHeight="1" x14ac:dyDescent="0.25">
      <c r="A67" s="252" t="s">
        <v>19364</v>
      </c>
      <c r="B67" s="252" t="s">
        <v>19408</v>
      </c>
      <c r="C67" s="252" t="s">
        <v>19409</v>
      </c>
      <c r="D67" s="252" t="s">
        <v>960</v>
      </c>
      <c r="E67" s="253">
        <v>10.51</v>
      </c>
      <c r="F67" s="252" t="s">
        <v>959</v>
      </c>
      <c r="G67" s="252" t="s">
        <v>640</v>
      </c>
      <c r="H67" s="254">
        <v>11154</v>
      </c>
    </row>
    <row r="68" spans="1:8" ht="14.25" customHeight="1" x14ac:dyDescent="0.25">
      <c r="A68" s="252" t="s">
        <v>19364</v>
      </c>
      <c r="B68" s="252" t="s">
        <v>19410</v>
      </c>
      <c r="C68" s="252" t="s">
        <v>19411</v>
      </c>
      <c r="D68" s="252" t="s">
        <v>16209</v>
      </c>
      <c r="E68" s="253">
        <v>2.39</v>
      </c>
      <c r="F68" s="252" t="s">
        <v>16208</v>
      </c>
      <c r="G68" s="252" t="s">
        <v>640</v>
      </c>
      <c r="H68" s="254">
        <v>11155</v>
      </c>
    </row>
    <row r="69" spans="1:8" ht="14.25" customHeight="1" x14ac:dyDescent="0.25">
      <c r="A69" s="252" t="s">
        <v>19364</v>
      </c>
      <c r="B69" s="252" t="s">
        <v>19412</v>
      </c>
      <c r="C69" s="252" t="s">
        <v>19413</v>
      </c>
      <c r="D69" s="252" t="s">
        <v>1060</v>
      </c>
      <c r="E69" s="253">
        <v>0.84</v>
      </c>
      <c r="F69" s="252" t="s">
        <v>1059</v>
      </c>
      <c r="G69" s="252" t="s">
        <v>640</v>
      </c>
      <c r="H69" s="254">
        <v>11156</v>
      </c>
    </row>
    <row r="70" spans="1:8" ht="14.25" customHeight="1" x14ac:dyDescent="0.25">
      <c r="A70" s="252" t="s">
        <v>19364</v>
      </c>
      <c r="B70" s="252" t="s">
        <v>19414</v>
      </c>
      <c r="C70" s="252" t="s">
        <v>19415</v>
      </c>
      <c r="D70" s="252" t="s">
        <v>1522</v>
      </c>
      <c r="E70" s="253">
        <v>8.61</v>
      </c>
      <c r="F70" s="252" t="s">
        <v>1521</v>
      </c>
      <c r="G70" s="252" t="s">
        <v>640</v>
      </c>
      <c r="H70" s="254">
        <v>11157</v>
      </c>
    </row>
    <row r="71" spans="1:8" ht="14.25" customHeight="1" x14ac:dyDescent="0.25">
      <c r="A71" s="252" t="s">
        <v>19364</v>
      </c>
      <c r="B71" s="252" t="s">
        <v>18550</v>
      </c>
      <c r="C71" s="252" t="s">
        <v>19416</v>
      </c>
      <c r="D71" s="252" t="s">
        <v>19417</v>
      </c>
      <c r="E71" s="253">
        <v>1.06</v>
      </c>
      <c r="F71" s="252" t="s">
        <v>19418</v>
      </c>
      <c r="G71" s="252" t="s">
        <v>640</v>
      </c>
      <c r="H71" s="254">
        <v>11158</v>
      </c>
    </row>
    <row r="72" spans="1:8" ht="14.25" customHeight="1" x14ac:dyDescent="0.25">
      <c r="A72" s="252" t="s">
        <v>19364</v>
      </c>
      <c r="B72" s="252" t="s">
        <v>19419</v>
      </c>
      <c r="C72" s="252" t="s">
        <v>19420</v>
      </c>
      <c r="D72" s="252" t="s">
        <v>5981</v>
      </c>
      <c r="E72" s="253">
        <v>43.42</v>
      </c>
      <c r="F72" s="252" t="s">
        <v>5982</v>
      </c>
      <c r="G72" s="252" t="s">
        <v>640</v>
      </c>
      <c r="H72" s="254">
        <v>11159</v>
      </c>
    </row>
    <row r="73" spans="1:8" ht="14.25" customHeight="1" x14ac:dyDescent="0.25">
      <c r="A73" s="252" t="s">
        <v>19364</v>
      </c>
      <c r="B73" s="252" t="s">
        <v>19421</v>
      </c>
      <c r="C73" s="252" t="s">
        <v>19422</v>
      </c>
      <c r="D73" s="252" t="s">
        <v>13962</v>
      </c>
      <c r="E73" s="253">
        <v>2.06</v>
      </c>
      <c r="F73" s="252" t="s">
        <v>13961</v>
      </c>
      <c r="G73" s="252" t="s">
        <v>640</v>
      </c>
      <c r="H73" s="254">
        <v>11160</v>
      </c>
    </row>
    <row r="74" spans="1:8" ht="14.25" customHeight="1" x14ac:dyDescent="0.25">
      <c r="A74" s="252" t="s">
        <v>19364</v>
      </c>
      <c r="B74" s="252" t="s">
        <v>19423</v>
      </c>
      <c r="C74" s="252" t="s">
        <v>19424</v>
      </c>
      <c r="D74" s="252" t="s">
        <v>3433</v>
      </c>
      <c r="E74" s="253">
        <v>7.59</v>
      </c>
      <c r="F74" s="252" t="s">
        <v>3434</v>
      </c>
      <c r="G74" s="252" t="s">
        <v>640</v>
      </c>
      <c r="H74" s="254">
        <v>11161</v>
      </c>
    </row>
    <row r="75" spans="1:8" ht="14.25" customHeight="1" x14ac:dyDescent="0.25">
      <c r="A75" s="252" t="s">
        <v>19364</v>
      </c>
      <c r="B75" s="252" t="s">
        <v>19425</v>
      </c>
      <c r="C75" s="252" t="s">
        <v>19426</v>
      </c>
      <c r="D75" s="252" t="s">
        <v>1064</v>
      </c>
      <c r="E75" s="253">
        <v>1.68</v>
      </c>
      <c r="F75" s="252" t="s">
        <v>1063</v>
      </c>
      <c r="G75" s="252" t="s">
        <v>640</v>
      </c>
      <c r="H75" s="254">
        <v>11162</v>
      </c>
    </row>
    <row r="76" spans="1:8" ht="14.25" customHeight="1" x14ac:dyDescent="0.25">
      <c r="A76" s="252" t="s">
        <v>19364</v>
      </c>
      <c r="B76" s="252" t="s">
        <v>19427</v>
      </c>
      <c r="C76" s="252" t="s">
        <v>19428</v>
      </c>
      <c r="D76" s="252" t="s">
        <v>14028</v>
      </c>
      <c r="E76" s="253">
        <v>5.08</v>
      </c>
      <c r="F76" s="252" t="s">
        <v>14027</v>
      </c>
      <c r="G76" s="252" t="s">
        <v>640</v>
      </c>
      <c r="H76" s="254">
        <v>11163</v>
      </c>
    </row>
    <row r="77" spans="1:8" ht="14.25" customHeight="1" x14ac:dyDescent="0.25">
      <c r="A77" s="252" t="s">
        <v>19364</v>
      </c>
      <c r="B77" s="252" t="s">
        <v>19429</v>
      </c>
      <c r="C77" s="252" t="s">
        <v>19430</v>
      </c>
      <c r="D77" s="252" t="s">
        <v>995</v>
      </c>
      <c r="E77" s="253">
        <v>3.66</v>
      </c>
      <c r="F77" s="252" t="s">
        <v>994</v>
      </c>
      <c r="G77" s="252" t="s">
        <v>640</v>
      </c>
      <c r="H77" s="254">
        <v>11164</v>
      </c>
    </row>
    <row r="78" spans="1:8" ht="14.25" customHeight="1" x14ac:dyDescent="0.25">
      <c r="A78" s="252"/>
      <c r="B78" s="252"/>
      <c r="C78" s="255" t="s">
        <v>3738</v>
      </c>
      <c r="D78" s="252"/>
      <c r="E78" s="258">
        <f>SUM(E45:E77)</f>
        <v>195.17000000000004</v>
      </c>
      <c r="F78" s="252"/>
      <c r="G78" s="252"/>
      <c r="H78" s="254"/>
    </row>
    <row r="79" spans="1:8" ht="14.25" customHeight="1" x14ac:dyDescent="0.25">
      <c r="A79" s="252" t="s">
        <v>19431</v>
      </c>
      <c r="B79" s="252" t="s">
        <v>19432</v>
      </c>
      <c r="C79" s="252" t="s">
        <v>19433</v>
      </c>
      <c r="D79" s="252" t="s">
        <v>16338</v>
      </c>
      <c r="E79" s="253">
        <v>9.59</v>
      </c>
      <c r="F79" s="252" t="s">
        <v>16337</v>
      </c>
      <c r="G79" s="252" t="s">
        <v>640</v>
      </c>
      <c r="H79" s="254">
        <v>11372</v>
      </c>
    </row>
    <row r="80" spans="1:8" ht="14.25" customHeight="1" x14ac:dyDescent="0.25">
      <c r="A80" s="252" t="s">
        <v>19431</v>
      </c>
      <c r="B80" s="252" t="s">
        <v>19434</v>
      </c>
      <c r="C80" s="252" t="s">
        <v>19435</v>
      </c>
      <c r="D80" s="252" t="s">
        <v>1329</v>
      </c>
      <c r="E80" s="253">
        <v>4.01</v>
      </c>
      <c r="F80" s="252" t="s">
        <v>1328</v>
      </c>
      <c r="G80" s="252" t="s">
        <v>640</v>
      </c>
      <c r="H80" s="254">
        <v>11373</v>
      </c>
    </row>
    <row r="81" spans="1:11" ht="14.25" customHeight="1" x14ac:dyDescent="0.25">
      <c r="A81" s="252" t="s">
        <v>19431</v>
      </c>
      <c r="B81" s="252" t="s">
        <v>19436</v>
      </c>
      <c r="C81" s="252" t="s">
        <v>19437</v>
      </c>
      <c r="D81" s="252" t="s">
        <v>4651</v>
      </c>
      <c r="E81" s="253">
        <v>1.79</v>
      </c>
      <c r="F81" s="252" t="s">
        <v>4652</v>
      </c>
      <c r="G81" s="252" t="s">
        <v>640</v>
      </c>
      <c r="H81" s="254">
        <v>11374</v>
      </c>
    </row>
    <row r="82" spans="1:11" ht="14.25" customHeight="1" x14ac:dyDescent="0.25">
      <c r="A82" s="252" t="s">
        <v>19431</v>
      </c>
      <c r="B82" s="252" t="s">
        <v>19438</v>
      </c>
      <c r="C82" s="252" t="s">
        <v>19439</v>
      </c>
      <c r="D82" s="252" t="s">
        <v>966</v>
      </c>
      <c r="E82" s="253">
        <v>25.36</v>
      </c>
      <c r="F82" s="252" t="s">
        <v>965</v>
      </c>
      <c r="G82" s="252" t="s">
        <v>640</v>
      </c>
      <c r="H82" s="254">
        <v>11375</v>
      </c>
    </row>
    <row r="83" spans="1:11" ht="14.25" customHeight="1" x14ac:dyDescent="0.25">
      <c r="A83" s="252" t="s">
        <v>19431</v>
      </c>
      <c r="B83" s="252" t="s">
        <v>19440</v>
      </c>
      <c r="C83" s="252" t="s">
        <v>19441</v>
      </c>
      <c r="D83" s="252" t="s">
        <v>1384</v>
      </c>
      <c r="E83" s="253">
        <v>2.59</v>
      </c>
      <c r="F83" s="252" t="s">
        <v>1383</v>
      </c>
      <c r="G83" s="252" t="s">
        <v>640</v>
      </c>
      <c r="H83" s="254">
        <v>11376</v>
      </c>
    </row>
    <row r="84" spans="1:11" ht="14.25" customHeight="1" x14ac:dyDescent="0.25">
      <c r="A84" s="252" t="s">
        <v>19431</v>
      </c>
      <c r="B84" s="252" t="s">
        <v>19442</v>
      </c>
      <c r="C84" s="252" t="s">
        <v>19443</v>
      </c>
      <c r="D84" s="252" t="s">
        <v>13491</v>
      </c>
      <c r="E84" s="253">
        <v>2.4700000000000002</v>
      </c>
      <c r="F84" s="252" t="s">
        <v>13490</v>
      </c>
      <c r="G84" s="252" t="s">
        <v>640</v>
      </c>
      <c r="H84" s="254">
        <v>11377</v>
      </c>
    </row>
    <row r="85" spans="1:11" ht="14.25" customHeight="1" x14ac:dyDescent="0.25">
      <c r="A85" s="252" t="s">
        <v>19431</v>
      </c>
      <c r="B85" s="252" t="s">
        <v>19444</v>
      </c>
      <c r="C85" s="252" t="s">
        <v>19445</v>
      </c>
      <c r="D85" s="252" t="s">
        <v>4125</v>
      </c>
      <c r="E85" s="253">
        <v>15</v>
      </c>
      <c r="F85" s="252" t="s">
        <v>4126</v>
      </c>
      <c r="G85" s="252" t="s">
        <v>640</v>
      </c>
      <c r="H85" s="254">
        <v>11378</v>
      </c>
    </row>
    <row r="86" spans="1:11" ht="14.25" customHeight="1" x14ac:dyDescent="0.25">
      <c r="A86" s="252" t="s">
        <v>19431</v>
      </c>
      <c r="B86" s="252" t="s">
        <v>5320</v>
      </c>
      <c r="C86" s="252" t="s">
        <v>19446</v>
      </c>
      <c r="D86" s="252" t="s">
        <v>1050</v>
      </c>
      <c r="E86" s="253">
        <v>1.68</v>
      </c>
      <c r="F86" s="252" t="s">
        <v>1049</v>
      </c>
      <c r="G86" s="252" t="s">
        <v>640</v>
      </c>
      <c r="H86" s="254">
        <v>11379</v>
      </c>
    </row>
    <row r="87" spans="1:11" ht="14.25" customHeight="1" x14ac:dyDescent="0.25">
      <c r="A87" s="252" t="s">
        <v>19431</v>
      </c>
      <c r="B87" s="252" t="s">
        <v>10891</v>
      </c>
      <c r="C87" s="252" t="s">
        <v>19447</v>
      </c>
      <c r="D87" s="252" t="s">
        <v>5907</v>
      </c>
      <c r="E87" s="253">
        <v>5.18</v>
      </c>
      <c r="F87" s="252" t="s">
        <v>5908</v>
      </c>
      <c r="G87" s="252" t="s">
        <v>640</v>
      </c>
      <c r="H87" s="254">
        <v>11380</v>
      </c>
    </row>
    <row r="88" spans="1:11" ht="14.25" customHeight="1" x14ac:dyDescent="0.25">
      <c r="A88" s="252" t="s">
        <v>19431</v>
      </c>
      <c r="B88" s="252" t="s">
        <v>19448</v>
      </c>
      <c r="C88" s="252" t="s">
        <v>19449</v>
      </c>
      <c r="D88" s="252" t="s">
        <v>2919</v>
      </c>
      <c r="E88" s="253">
        <v>6.21</v>
      </c>
      <c r="F88" s="252" t="s">
        <v>2920</v>
      </c>
      <c r="G88" s="252" t="s">
        <v>640</v>
      </c>
      <c r="H88" s="254">
        <v>11381</v>
      </c>
      <c r="I88" s="257"/>
      <c r="K88" s="84"/>
    </row>
    <row r="89" spans="1:11" ht="14.25" customHeight="1" x14ac:dyDescent="0.25">
      <c r="A89" s="252" t="s">
        <v>19431</v>
      </c>
      <c r="B89" s="252" t="s">
        <v>19450</v>
      </c>
      <c r="C89" s="252" t="s">
        <v>19451</v>
      </c>
      <c r="D89" s="252" t="s">
        <v>3700</v>
      </c>
      <c r="E89" s="253">
        <v>5.81</v>
      </c>
      <c r="F89" s="252" t="s">
        <v>3701</v>
      </c>
      <c r="G89" s="252" t="s">
        <v>640</v>
      </c>
      <c r="H89" s="254">
        <v>11382</v>
      </c>
    </row>
    <row r="90" spans="1:11" ht="14.25" customHeight="1" x14ac:dyDescent="0.25">
      <c r="A90" s="252" t="s">
        <v>19431</v>
      </c>
      <c r="B90" s="252" t="s">
        <v>19452</v>
      </c>
      <c r="C90" s="252" t="s">
        <v>19453</v>
      </c>
      <c r="D90" s="252" t="s">
        <v>2919</v>
      </c>
      <c r="E90" s="253">
        <v>6.21</v>
      </c>
      <c r="F90" s="252" t="s">
        <v>2920</v>
      </c>
      <c r="G90" s="252" t="s">
        <v>640</v>
      </c>
      <c r="H90" s="254" t="s">
        <v>19454</v>
      </c>
    </row>
    <row r="91" spans="1:11" ht="14.25" customHeight="1" x14ac:dyDescent="0.25">
      <c r="A91" s="252" t="s">
        <v>19431</v>
      </c>
      <c r="B91" s="252" t="s">
        <v>19455</v>
      </c>
      <c r="C91" s="252" t="s">
        <v>19456</v>
      </c>
      <c r="D91" s="252" t="s">
        <v>1139</v>
      </c>
      <c r="E91" s="253">
        <v>5.92</v>
      </c>
      <c r="F91" s="252" t="s">
        <v>1138</v>
      </c>
      <c r="G91" s="252" t="s">
        <v>640</v>
      </c>
      <c r="H91" s="254">
        <v>11383</v>
      </c>
    </row>
    <row r="92" spans="1:11" ht="14.25" customHeight="1" x14ac:dyDescent="0.25">
      <c r="A92" s="252" t="s">
        <v>19431</v>
      </c>
      <c r="B92" s="252" t="s">
        <v>19457</v>
      </c>
      <c r="C92" s="252" t="s">
        <v>19458</v>
      </c>
      <c r="D92" s="252" t="s">
        <v>743</v>
      </c>
      <c r="E92" s="253">
        <v>12.88</v>
      </c>
      <c r="F92" s="252" t="s">
        <v>742</v>
      </c>
      <c r="G92" s="252" t="s">
        <v>640</v>
      </c>
      <c r="H92" s="254">
        <v>11384</v>
      </c>
    </row>
    <row r="93" spans="1:11" ht="14.25" customHeight="1" x14ac:dyDescent="0.25">
      <c r="A93" s="252" t="s">
        <v>19431</v>
      </c>
      <c r="B93" s="252" t="s">
        <v>19459</v>
      </c>
      <c r="C93" s="252" t="s">
        <v>19460</v>
      </c>
      <c r="D93" s="252" t="s">
        <v>6054</v>
      </c>
      <c r="E93" s="253">
        <v>1.68</v>
      </c>
      <c r="F93" s="252" t="s">
        <v>6055</v>
      </c>
      <c r="G93" s="252" t="s">
        <v>640</v>
      </c>
      <c r="H93" s="254">
        <v>11385</v>
      </c>
    </row>
    <row r="94" spans="1:11" ht="14.25" customHeight="1" x14ac:dyDescent="0.25">
      <c r="A94" s="252" t="s">
        <v>19431</v>
      </c>
      <c r="B94" s="252" t="s">
        <v>19461</v>
      </c>
      <c r="C94" s="252" t="s">
        <v>19462</v>
      </c>
      <c r="D94" s="252" t="s">
        <v>1415</v>
      </c>
      <c r="E94" s="253">
        <v>4.1900000000000004</v>
      </c>
      <c r="F94" s="252" t="s">
        <v>1414</v>
      </c>
      <c r="G94" s="252" t="s">
        <v>640</v>
      </c>
      <c r="H94" s="254">
        <v>11386</v>
      </c>
    </row>
    <row r="95" spans="1:11" ht="14.25" customHeight="1" x14ac:dyDescent="0.25">
      <c r="A95" s="252" t="s">
        <v>19431</v>
      </c>
      <c r="B95" s="252" t="s">
        <v>19463</v>
      </c>
      <c r="C95" s="252" t="s">
        <v>19464</v>
      </c>
      <c r="D95" s="252" t="s">
        <v>16520</v>
      </c>
      <c r="E95" s="253">
        <v>11.7</v>
      </c>
      <c r="F95" s="252" t="s">
        <v>16519</v>
      </c>
      <c r="G95" s="252" t="s">
        <v>640</v>
      </c>
      <c r="H95" s="254">
        <v>11387</v>
      </c>
    </row>
    <row r="96" spans="1:11" ht="14.25" customHeight="1" x14ac:dyDescent="0.25">
      <c r="A96" s="252" t="s">
        <v>19431</v>
      </c>
      <c r="B96" s="252" t="s">
        <v>19465</v>
      </c>
      <c r="C96" s="252" t="s">
        <v>19466</v>
      </c>
      <c r="D96" s="252" t="s">
        <v>903</v>
      </c>
      <c r="E96" s="253">
        <v>4.76</v>
      </c>
      <c r="F96" s="252" t="s">
        <v>902</v>
      </c>
      <c r="G96" s="252" t="s">
        <v>640</v>
      </c>
      <c r="H96" s="254">
        <v>11388</v>
      </c>
    </row>
    <row r="97" spans="1:8" ht="14.25" customHeight="1" x14ac:dyDescent="0.25">
      <c r="A97" s="252" t="s">
        <v>19431</v>
      </c>
      <c r="B97" s="252" t="s">
        <v>19467</v>
      </c>
      <c r="C97" s="252" t="s">
        <v>19468</v>
      </c>
      <c r="D97" s="252" t="s">
        <v>792</v>
      </c>
      <c r="E97" s="253">
        <v>4.78</v>
      </c>
      <c r="F97" s="252" t="s">
        <v>791</v>
      </c>
      <c r="G97" s="252" t="s">
        <v>640</v>
      </c>
      <c r="H97" s="254">
        <v>11389</v>
      </c>
    </row>
    <row r="98" spans="1:8" ht="14.25" customHeight="1" x14ac:dyDescent="0.25">
      <c r="A98" s="252" t="s">
        <v>19431</v>
      </c>
      <c r="B98" s="252" t="s">
        <v>19469</v>
      </c>
      <c r="C98" s="252" t="s">
        <v>19470</v>
      </c>
      <c r="D98" s="252" t="s">
        <v>10879</v>
      </c>
      <c r="E98" s="253">
        <v>1.68</v>
      </c>
      <c r="F98" s="252" t="s">
        <v>10878</v>
      </c>
      <c r="G98" s="252" t="s">
        <v>640</v>
      </c>
      <c r="H98" s="254">
        <v>11390</v>
      </c>
    </row>
    <row r="99" spans="1:8" ht="14.25" customHeight="1" x14ac:dyDescent="0.25">
      <c r="A99" s="252" t="s">
        <v>19431</v>
      </c>
      <c r="B99" s="252" t="s">
        <v>16568</v>
      </c>
      <c r="C99" s="252" t="s">
        <v>19471</v>
      </c>
      <c r="D99" s="252" t="s">
        <v>1382</v>
      </c>
      <c r="E99" s="253">
        <v>3.91</v>
      </c>
      <c r="F99" s="252" t="s">
        <v>1381</v>
      </c>
      <c r="G99" s="252" t="s">
        <v>640</v>
      </c>
      <c r="H99" s="254">
        <v>11391</v>
      </c>
    </row>
    <row r="100" spans="1:8" ht="14.25" customHeight="1" x14ac:dyDescent="0.25">
      <c r="A100" s="252" t="s">
        <v>19431</v>
      </c>
      <c r="B100" s="252" t="s">
        <v>19472</v>
      </c>
      <c r="C100" s="252" t="s">
        <v>19473</v>
      </c>
      <c r="D100" s="252" t="s">
        <v>3663</v>
      </c>
      <c r="E100" s="253">
        <v>8.56</v>
      </c>
      <c r="F100" s="252" t="s">
        <v>3664</v>
      </c>
      <c r="G100" s="252" t="s">
        <v>640</v>
      </c>
      <c r="H100" s="254">
        <v>11392</v>
      </c>
    </row>
    <row r="101" spans="1:8" ht="14.25" customHeight="1" x14ac:dyDescent="0.25">
      <c r="A101" s="252" t="s">
        <v>19431</v>
      </c>
      <c r="B101" s="252" t="s">
        <v>19474</v>
      </c>
      <c r="C101" s="252" t="s">
        <v>19475</v>
      </c>
      <c r="D101" s="252" t="s">
        <v>16061</v>
      </c>
      <c r="E101" s="253">
        <v>5.56</v>
      </c>
      <c r="F101" s="252" t="s">
        <v>16060</v>
      </c>
      <c r="G101" s="252" t="s">
        <v>640</v>
      </c>
      <c r="H101" s="254">
        <v>11393</v>
      </c>
    </row>
    <row r="102" spans="1:8" ht="14.25" customHeight="1" x14ac:dyDescent="0.25">
      <c r="A102" s="252" t="s">
        <v>19431</v>
      </c>
      <c r="B102" s="252" t="s">
        <v>19476</v>
      </c>
      <c r="C102" s="252" t="s">
        <v>19477</v>
      </c>
      <c r="D102" s="252" t="s">
        <v>1293</v>
      </c>
      <c r="E102" s="253">
        <v>5.15</v>
      </c>
      <c r="F102" s="252" t="s">
        <v>1292</v>
      </c>
      <c r="G102" s="252" t="s">
        <v>640</v>
      </c>
      <c r="H102" s="254">
        <v>11394</v>
      </c>
    </row>
    <row r="103" spans="1:8" ht="14.25" customHeight="1" x14ac:dyDescent="0.25">
      <c r="A103" s="252" t="s">
        <v>19431</v>
      </c>
      <c r="B103" s="252" t="s">
        <v>19478</v>
      </c>
      <c r="C103" s="252" t="s">
        <v>19479</v>
      </c>
      <c r="D103" s="252" t="s">
        <v>4622</v>
      </c>
      <c r="E103" s="253">
        <v>0.43</v>
      </c>
      <c r="F103" s="252" t="s">
        <v>4623</v>
      </c>
      <c r="G103" s="252" t="s">
        <v>640</v>
      </c>
      <c r="H103" s="254">
        <v>11395</v>
      </c>
    </row>
    <row r="104" spans="1:8" ht="14.25" customHeight="1" x14ac:dyDescent="0.25">
      <c r="A104" s="252" t="s">
        <v>19431</v>
      </c>
      <c r="B104" s="252" t="s">
        <v>19480</v>
      </c>
      <c r="C104" s="252" t="s">
        <v>19481</v>
      </c>
      <c r="D104" s="252" t="s">
        <v>1007</v>
      </c>
      <c r="E104" s="253">
        <v>1.68</v>
      </c>
      <c r="F104" s="252" t="s">
        <v>1006</v>
      </c>
      <c r="G104" s="252" t="s">
        <v>640</v>
      </c>
      <c r="H104" s="254">
        <v>11396</v>
      </c>
    </row>
    <row r="105" spans="1:8" ht="14.25" customHeight="1" x14ac:dyDescent="0.25">
      <c r="A105" s="252" t="s">
        <v>19431</v>
      </c>
      <c r="B105" s="252" t="s">
        <v>19482</v>
      </c>
      <c r="C105" s="252" t="s">
        <v>19483</v>
      </c>
      <c r="D105" s="252" t="s">
        <v>834</v>
      </c>
      <c r="E105" s="253">
        <v>3.75</v>
      </c>
      <c r="F105" s="252" t="s">
        <v>833</v>
      </c>
      <c r="G105" s="252" t="s">
        <v>640</v>
      </c>
      <c r="H105" s="254">
        <v>11397</v>
      </c>
    </row>
    <row r="106" spans="1:8" ht="14.25" customHeight="1" x14ac:dyDescent="0.25">
      <c r="A106" s="252" t="s">
        <v>19431</v>
      </c>
      <c r="B106" s="252" t="s">
        <v>19484</v>
      </c>
      <c r="C106" s="252" t="s">
        <v>19485</v>
      </c>
      <c r="D106" s="252" t="s">
        <v>4665</v>
      </c>
      <c r="E106" s="253">
        <v>5.96</v>
      </c>
      <c r="F106" s="252" t="s">
        <v>4666</v>
      </c>
      <c r="G106" s="252" t="s">
        <v>640</v>
      </c>
      <c r="H106" s="254">
        <v>11398</v>
      </c>
    </row>
    <row r="107" spans="1:8" ht="14.25" customHeight="1" x14ac:dyDescent="0.25">
      <c r="A107" s="252" t="s">
        <v>19431</v>
      </c>
      <c r="B107" s="252" t="s">
        <v>19486</v>
      </c>
      <c r="C107" s="252" t="s">
        <v>19487</v>
      </c>
      <c r="D107" s="252" t="s">
        <v>10654</v>
      </c>
      <c r="E107" s="253">
        <v>19.28</v>
      </c>
      <c r="F107" s="252" t="s">
        <v>10653</v>
      </c>
      <c r="G107" s="252" t="s">
        <v>640</v>
      </c>
      <c r="H107" s="254">
        <v>11399</v>
      </c>
    </row>
    <row r="108" spans="1:8" ht="14.25" customHeight="1" x14ac:dyDescent="0.25">
      <c r="A108" s="252"/>
      <c r="B108" s="252"/>
      <c r="C108" s="255" t="s">
        <v>3738</v>
      </c>
      <c r="D108" s="252"/>
      <c r="E108" s="258">
        <f>SUM(E79:E107)</f>
        <v>187.77000000000004</v>
      </c>
      <c r="F108" s="252"/>
      <c r="G108" s="252"/>
      <c r="H108" s="254"/>
    </row>
    <row r="109" spans="1:8" ht="14.25" customHeight="1" x14ac:dyDescent="0.25">
      <c r="A109" s="252" t="s">
        <v>19488</v>
      </c>
      <c r="B109" s="252" t="s">
        <v>19489</v>
      </c>
      <c r="C109" s="252" t="s">
        <v>19490</v>
      </c>
      <c r="D109" s="252" t="s">
        <v>1403</v>
      </c>
      <c r="E109" s="253">
        <v>1.72</v>
      </c>
      <c r="F109" s="252" t="s">
        <v>1402</v>
      </c>
      <c r="G109" s="252" t="s">
        <v>640</v>
      </c>
      <c r="H109" s="254">
        <v>11468</v>
      </c>
    </row>
    <row r="110" spans="1:8" ht="14.25" customHeight="1" x14ac:dyDescent="0.25">
      <c r="A110" s="252" t="s">
        <v>19488</v>
      </c>
      <c r="B110" s="252" t="s">
        <v>19491</v>
      </c>
      <c r="C110" s="252" t="s">
        <v>19492</v>
      </c>
      <c r="D110" s="252" t="s">
        <v>6058</v>
      </c>
      <c r="E110" s="253">
        <v>3.54</v>
      </c>
      <c r="F110" s="252" t="s">
        <v>6059</v>
      </c>
      <c r="G110" s="252" t="s">
        <v>640</v>
      </c>
      <c r="H110" s="254">
        <v>11469</v>
      </c>
    </row>
    <row r="111" spans="1:8" ht="14.25" customHeight="1" x14ac:dyDescent="0.25">
      <c r="A111" s="252" t="s">
        <v>19488</v>
      </c>
      <c r="B111" s="252" t="s">
        <v>19493</v>
      </c>
      <c r="C111" s="252" t="s">
        <v>19494</v>
      </c>
      <c r="D111" s="252" t="s">
        <v>1299</v>
      </c>
      <c r="E111" s="253">
        <v>3.36</v>
      </c>
      <c r="F111" s="252" t="s">
        <v>1298</v>
      </c>
      <c r="G111" s="252" t="s">
        <v>640</v>
      </c>
      <c r="H111" s="254">
        <v>11470</v>
      </c>
    </row>
    <row r="112" spans="1:8" ht="14.25" customHeight="1" x14ac:dyDescent="0.25">
      <c r="A112" s="252" t="s">
        <v>19488</v>
      </c>
      <c r="B112" s="252" t="s">
        <v>19495</v>
      </c>
      <c r="C112" s="252" t="s">
        <v>19496</v>
      </c>
      <c r="D112" s="252" t="s">
        <v>1216</v>
      </c>
      <c r="E112" s="253">
        <v>6.14</v>
      </c>
      <c r="F112" s="252" t="s">
        <v>1215</v>
      </c>
      <c r="G112" s="252" t="s">
        <v>640</v>
      </c>
      <c r="H112" s="254">
        <v>11471</v>
      </c>
    </row>
    <row r="113" spans="1:8" ht="14.25" customHeight="1" x14ac:dyDescent="0.25">
      <c r="A113" s="252" t="s">
        <v>19488</v>
      </c>
      <c r="B113" s="252" t="s">
        <v>19497</v>
      </c>
      <c r="C113" s="252" t="s">
        <v>19498</v>
      </c>
      <c r="D113" s="252" t="s">
        <v>19499</v>
      </c>
      <c r="E113" s="253">
        <v>2.12</v>
      </c>
      <c r="F113" s="252" t="s">
        <v>19500</v>
      </c>
      <c r="G113" s="252" t="s">
        <v>640</v>
      </c>
      <c r="H113" s="254">
        <v>11472</v>
      </c>
    </row>
    <row r="114" spans="1:8" ht="14.25" customHeight="1" x14ac:dyDescent="0.25">
      <c r="A114" s="252" t="s">
        <v>19488</v>
      </c>
      <c r="B114" s="252" t="s">
        <v>19501</v>
      </c>
      <c r="C114" s="252" t="s">
        <v>19502</v>
      </c>
      <c r="D114" s="252" t="s">
        <v>16057</v>
      </c>
      <c r="E114" s="253">
        <v>9.0299999999999994</v>
      </c>
      <c r="F114" s="252" t="s">
        <v>16056</v>
      </c>
      <c r="G114" s="252" t="s">
        <v>640</v>
      </c>
      <c r="H114" s="254">
        <v>11473</v>
      </c>
    </row>
    <row r="115" spans="1:8" ht="14.25" customHeight="1" x14ac:dyDescent="0.25">
      <c r="A115" s="252" t="s">
        <v>19488</v>
      </c>
      <c r="B115" s="252" t="s">
        <v>19503</v>
      </c>
      <c r="C115" s="252" t="s">
        <v>19504</v>
      </c>
      <c r="D115" s="252" t="s">
        <v>976</v>
      </c>
      <c r="E115" s="253">
        <v>1.68</v>
      </c>
      <c r="F115" s="252" t="s">
        <v>975</v>
      </c>
      <c r="G115" s="252" t="s">
        <v>640</v>
      </c>
      <c r="H115" s="254">
        <v>11474</v>
      </c>
    </row>
    <row r="116" spans="1:8" ht="14.25" customHeight="1" x14ac:dyDescent="0.25">
      <c r="A116" s="252" t="s">
        <v>19488</v>
      </c>
      <c r="B116" s="252" t="s">
        <v>19505</v>
      </c>
      <c r="C116" s="252" t="s">
        <v>19506</v>
      </c>
      <c r="D116" s="252" t="s">
        <v>10925</v>
      </c>
      <c r="E116" s="253">
        <v>2.92</v>
      </c>
      <c r="F116" s="252" t="s">
        <v>10924</v>
      </c>
      <c r="G116" s="252" t="s">
        <v>640</v>
      </c>
      <c r="H116" s="254">
        <v>11475</v>
      </c>
    </row>
    <row r="117" spans="1:8" ht="14.25" customHeight="1" x14ac:dyDescent="0.25">
      <c r="A117" s="252" t="s">
        <v>19488</v>
      </c>
      <c r="B117" s="252" t="s">
        <v>19507</v>
      </c>
      <c r="C117" s="252" t="s">
        <v>19508</v>
      </c>
      <c r="D117" s="252" t="s">
        <v>934</v>
      </c>
      <c r="E117" s="253">
        <v>3.81</v>
      </c>
      <c r="F117" s="252" t="s">
        <v>933</v>
      </c>
      <c r="G117" s="252" t="s">
        <v>640</v>
      </c>
      <c r="H117" s="254">
        <v>11476</v>
      </c>
    </row>
    <row r="118" spans="1:8" ht="14.25" customHeight="1" x14ac:dyDescent="0.25">
      <c r="A118" s="252" t="s">
        <v>19488</v>
      </c>
      <c r="B118" s="252" t="s">
        <v>19509</v>
      </c>
      <c r="C118" s="252" t="s">
        <v>19510</v>
      </c>
      <c r="D118" s="252" t="s">
        <v>4743</v>
      </c>
      <c r="E118" s="253">
        <v>25.14</v>
      </c>
      <c r="F118" s="252" t="s">
        <v>4744</v>
      </c>
      <c r="G118" s="252" t="s">
        <v>640</v>
      </c>
      <c r="H118" s="254">
        <v>11477</v>
      </c>
    </row>
    <row r="119" spans="1:8" ht="14.25" customHeight="1" x14ac:dyDescent="0.25">
      <c r="A119" s="252" t="s">
        <v>19488</v>
      </c>
      <c r="B119" s="252" t="s">
        <v>19511</v>
      </c>
      <c r="C119" s="252" t="s">
        <v>19512</v>
      </c>
      <c r="D119" s="252" t="s">
        <v>3324</v>
      </c>
      <c r="E119" s="253">
        <v>1.7</v>
      </c>
      <c r="F119" s="252" t="s">
        <v>3325</v>
      </c>
      <c r="G119" s="252" t="s">
        <v>640</v>
      </c>
      <c r="H119" s="254">
        <v>11478</v>
      </c>
    </row>
    <row r="120" spans="1:8" ht="14.25" customHeight="1" x14ac:dyDescent="0.25">
      <c r="A120" s="252" t="s">
        <v>19488</v>
      </c>
      <c r="B120" s="252" t="s">
        <v>19513</v>
      </c>
      <c r="C120" s="252" t="s">
        <v>19514</v>
      </c>
      <c r="D120" s="252" t="s">
        <v>1030</v>
      </c>
      <c r="E120" s="253">
        <v>18.09</v>
      </c>
      <c r="F120" s="252" t="s">
        <v>1029</v>
      </c>
      <c r="G120" s="252" t="s">
        <v>640</v>
      </c>
      <c r="H120" s="254">
        <v>11479</v>
      </c>
    </row>
    <row r="121" spans="1:8" ht="14.25" customHeight="1" x14ac:dyDescent="0.25">
      <c r="A121" s="252" t="s">
        <v>19488</v>
      </c>
      <c r="B121" s="252" t="s">
        <v>19515</v>
      </c>
      <c r="C121" s="252" t="s">
        <v>19516</v>
      </c>
      <c r="D121" s="252" t="s">
        <v>863</v>
      </c>
      <c r="E121" s="253">
        <v>5.47</v>
      </c>
      <c r="F121" s="252" t="s">
        <v>862</v>
      </c>
      <c r="G121" s="252" t="s">
        <v>640</v>
      </c>
      <c r="H121" s="254">
        <v>11480</v>
      </c>
    </row>
    <row r="122" spans="1:8" ht="14.25" customHeight="1" x14ac:dyDescent="0.25">
      <c r="A122" s="252" t="s">
        <v>19488</v>
      </c>
      <c r="B122" s="252" t="s">
        <v>19517</v>
      </c>
      <c r="C122" s="252" t="s">
        <v>19518</v>
      </c>
      <c r="D122" s="252" t="s">
        <v>1145</v>
      </c>
      <c r="E122" s="253">
        <v>1.68</v>
      </c>
      <c r="F122" s="252" t="s">
        <v>1144</v>
      </c>
      <c r="G122" s="252" t="s">
        <v>640</v>
      </c>
      <c r="H122" s="254">
        <v>11481</v>
      </c>
    </row>
    <row r="123" spans="1:8" ht="14.25" customHeight="1" x14ac:dyDescent="0.25">
      <c r="A123" s="252" t="s">
        <v>19488</v>
      </c>
      <c r="B123" s="252" t="s">
        <v>19519</v>
      </c>
      <c r="C123" s="252" t="s">
        <v>19520</v>
      </c>
      <c r="D123" s="252" t="s">
        <v>668</v>
      </c>
      <c r="E123" s="253">
        <v>1.68</v>
      </c>
      <c r="F123" s="252" t="s">
        <v>667</v>
      </c>
      <c r="G123" s="252" t="s">
        <v>640</v>
      </c>
      <c r="H123" s="254">
        <v>11482</v>
      </c>
    </row>
    <row r="124" spans="1:8" ht="14.25" customHeight="1" x14ac:dyDescent="0.25">
      <c r="A124" s="252" t="s">
        <v>19488</v>
      </c>
      <c r="B124" s="252" t="s">
        <v>19521</v>
      </c>
      <c r="C124" s="252" t="s">
        <v>19522</v>
      </c>
      <c r="D124" s="252" t="s">
        <v>859</v>
      </c>
      <c r="E124" s="253">
        <v>10.45</v>
      </c>
      <c r="F124" s="252" t="s">
        <v>858</v>
      </c>
      <c r="G124" s="252" t="s">
        <v>640</v>
      </c>
      <c r="H124" s="254">
        <v>11483</v>
      </c>
    </row>
    <row r="125" spans="1:8" ht="14.25" customHeight="1" x14ac:dyDescent="0.25">
      <c r="A125" s="252" t="s">
        <v>19488</v>
      </c>
      <c r="B125" s="252" t="s">
        <v>19523</v>
      </c>
      <c r="C125" s="252" t="s">
        <v>19524</v>
      </c>
      <c r="D125" s="252" t="s">
        <v>3211</v>
      </c>
      <c r="E125" s="253">
        <v>15.52</v>
      </c>
      <c r="F125" s="252" t="s">
        <v>3212</v>
      </c>
      <c r="G125" s="252" t="s">
        <v>640</v>
      </c>
      <c r="H125" s="254">
        <v>11484</v>
      </c>
    </row>
    <row r="126" spans="1:8" ht="14.25" customHeight="1" x14ac:dyDescent="0.25">
      <c r="A126" s="252" t="s">
        <v>19488</v>
      </c>
      <c r="B126" s="252" t="s">
        <v>19525</v>
      </c>
      <c r="C126" s="252" t="s">
        <v>19526</v>
      </c>
      <c r="D126" s="252" t="s">
        <v>19527</v>
      </c>
      <c r="E126" s="253">
        <v>3.1</v>
      </c>
      <c r="F126" s="252" t="s">
        <v>19528</v>
      </c>
      <c r="G126" s="252" t="s">
        <v>640</v>
      </c>
      <c r="H126" s="254">
        <v>11485</v>
      </c>
    </row>
    <row r="127" spans="1:8" ht="14.25" customHeight="1" x14ac:dyDescent="0.25">
      <c r="A127" s="252" t="s">
        <v>19488</v>
      </c>
      <c r="B127" s="252" t="s">
        <v>19529</v>
      </c>
      <c r="C127" s="252" t="s">
        <v>19530</v>
      </c>
      <c r="D127" s="252" t="s">
        <v>3637</v>
      </c>
      <c r="E127" s="253">
        <v>4.93</v>
      </c>
      <c r="F127" s="252" t="s">
        <v>3638</v>
      </c>
      <c r="G127" s="252" t="s">
        <v>640</v>
      </c>
      <c r="H127" s="254">
        <v>11486</v>
      </c>
    </row>
    <row r="128" spans="1:8" ht="14.25" customHeight="1" x14ac:dyDescent="0.25">
      <c r="A128" s="252" t="s">
        <v>19488</v>
      </c>
      <c r="B128" s="252" t="s">
        <v>19531</v>
      </c>
      <c r="C128" s="252" t="s">
        <v>19532</v>
      </c>
      <c r="D128" s="252" t="s">
        <v>956</v>
      </c>
      <c r="E128" s="253">
        <v>3.27</v>
      </c>
      <c r="F128" s="252" t="s">
        <v>955</v>
      </c>
      <c r="G128" s="252" t="s">
        <v>640</v>
      </c>
      <c r="H128" s="254">
        <v>11487</v>
      </c>
    </row>
    <row r="129" spans="1:8" ht="14.25" customHeight="1" x14ac:dyDescent="0.25">
      <c r="A129" s="252" t="s">
        <v>19488</v>
      </c>
      <c r="B129" s="252" t="s">
        <v>19533</v>
      </c>
      <c r="C129" s="252" t="s">
        <v>19534</v>
      </c>
      <c r="D129" s="252" t="s">
        <v>1273</v>
      </c>
      <c r="E129" s="253">
        <v>5.73</v>
      </c>
      <c r="F129" s="252" t="s">
        <v>1272</v>
      </c>
      <c r="G129" s="252" t="s">
        <v>640</v>
      </c>
      <c r="H129" s="254">
        <v>11488</v>
      </c>
    </row>
    <row r="130" spans="1:8" ht="14.25" customHeight="1" x14ac:dyDescent="0.25">
      <c r="A130" s="252" t="s">
        <v>19488</v>
      </c>
      <c r="B130" s="252" t="s">
        <v>19535</v>
      </c>
      <c r="C130" s="252" t="s">
        <v>19536</v>
      </c>
      <c r="D130" s="252" t="s">
        <v>13241</v>
      </c>
      <c r="E130" s="253">
        <v>7.79</v>
      </c>
      <c r="F130" s="252" t="s">
        <v>13240</v>
      </c>
      <c r="G130" s="252" t="s">
        <v>640</v>
      </c>
      <c r="H130" s="254">
        <v>11489</v>
      </c>
    </row>
    <row r="131" spans="1:8" ht="14.25" customHeight="1" x14ac:dyDescent="0.25">
      <c r="A131" s="252" t="s">
        <v>19488</v>
      </c>
      <c r="B131" s="252" t="s">
        <v>19537</v>
      </c>
      <c r="C131" s="252" t="s">
        <v>19538</v>
      </c>
      <c r="D131" s="252" t="s">
        <v>1048</v>
      </c>
      <c r="E131" s="253">
        <v>14.74</v>
      </c>
      <c r="F131" s="252" t="s">
        <v>1047</v>
      </c>
      <c r="G131" s="252" t="s">
        <v>640</v>
      </c>
      <c r="H131" s="254">
        <v>11490</v>
      </c>
    </row>
    <row r="132" spans="1:8" ht="14.25" customHeight="1" x14ac:dyDescent="0.25">
      <c r="A132" s="252" t="s">
        <v>19488</v>
      </c>
      <c r="B132" s="252" t="s">
        <v>19539</v>
      </c>
      <c r="C132" s="252" t="s">
        <v>19540</v>
      </c>
      <c r="D132" s="252" t="s">
        <v>19541</v>
      </c>
      <c r="E132" s="253">
        <v>54.8</v>
      </c>
      <c r="F132" s="252" t="s">
        <v>19542</v>
      </c>
      <c r="G132" s="252" t="s">
        <v>640</v>
      </c>
      <c r="H132" s="254">
        <v>11491</v>
      </c>
    </row>
    <row r="133" spans="1:8" ht="14.25" customHeight="1" x14ac:dyDescent="0.25">
      <c r="A133" s="252" t="s">
        <v>19488</v>
      </c>
      <c r="B133" s="252" t="s">
        <v>19543</v>
      </c>
      <c r="C133" s="252" t="s">
        <v>19544</v>
      </c>
      <c r="D133" s="252" t="s">
        <v>10532</v>
      </c>
      <c r="E133" s="253">
        <v>8.9600000000000009</v>
      </c>
      <c r="F133" s="252" t="s">
        <v>10531</v>
      </c>
      <c r="G133" s="252" t="s">
        <v>640</v>
      </c>
      <c r="H133" s="254">
        <v>11492</v>
      </c>
    </row>
    <row r="134" spans="1:8" ht="14.25" customHeight="1" x14ac:dyDescent="0.25">
      <c r="A134" s="252" t="s">
        <v>19488</v>
      </c>
      <c r="B134" s="252" t="s">
        <v>19545</v>
      </c>
      <c r="C134" s="252" t="s">
        <v>19546</v>
      </c>
      <c r="D134" s="252" t="s">
        <v>11046</v>
      </c>
      <c r="E134" s="253">
        <v>8.34</v>
      </c>
      <c r="F134" s="252" t="s">
        <v>11045</v>
      </c>
      <c r="G134" s="252" t="s">
        <v>640</v>
      </c>
      <c r="H134" s="254">
        <v>11493</v>
      </c>
    </row>
    <row r="135" spans="1:8" ht="14.25" customHeight="1" x14ac:dyDescent="0.25">
      <c r="A135" s="252" t="s">
        <v>19488</v>
      </c>
      <c r="B135" s="252" t="s">
        <v>19547</v>
      </c>
      <c r="C135" s="252" t="s">
        <v>19548</v>
      </c>
      <c r="D135" s="252" t="s">
        <v>1074</v>
      </c>
      <c r="E135" s="253">
        <v>2.31</v>
      </c>
      <c r="F135" s="252" t="s">
        <v>1073</v>
      </c>
      <c r="G135" s="252" t="s">
        <v>640</v>
      </c>
      <c r="H135" s="254">
        <v>11494</v>
      </c>
    </row>
    <row r="136" spans="1:8" ht="14.25" customHeight="1" x14ac:dyDescent="0.25">
      <c r="A136" s="252" t="s">
        <v>19488</v>
      </c>
      <c r="B136" s="252" t="s">
        <v>19549</v>
      </c>
      <c r="C136" s="252" t="s">
        <v>19550</v>
      </c>
      <c r="D136" s="252" t="s">
        <v>3655</v>
      </c>
      <c r="E136" s="253">
        <v>3</v>
      </c>
      <c r="F136" s="252" t="s">
        <v>3656</v>
      </c>
      <c r="G136" s="252" t="s">
        <v>640</v>
      </c>
      <c r="H136" s="254">
        <v>11495</v>
      </c>
    </row>
    <row r="137" spans="1:8" ht="14.25" customHeight="1" x14ac:dyDescent="0.25">
      <c r="A137" s="252" t="s">
        <v>19488</v>
      </c>
      <c r="B137" s="252" t="s">
        <v>19551</v>
      </c>
      <c r="C137" s="252" t="s">
        <v>19552</v>
      </c>
      <c r="D137" s="252" t="s">
        <v>1243</v>
      </c>
      <c r="E137" s="253">
        <v>2.96</v>
      </c>
      <c r="F137" s="252" t="s">
        <v>1242</v>
      </c>
      <c r="G137" s="252" t="s">
        <v>640</v>
      </c>
      <c r="H137" s="254">
        <v>11496</v>
      </c>
    </row>
    <row r="138" spans="1:8" ht="14.25" customHeight="1" x14ac:dyDescent="0.25">
      <c r="A138" s="252"/>
      <c r="B138" s="252"/>
      <c r="C138" s="255" t="s">
        <v>3738</v>
      </c>
      <c r="D138" s="252"/>
      <c r="E138" s="258">
        <f>SUM(E109:E137)</f>
        <v>233.98000000000005</v>
      </c>
      <c r="F138" s="252"/>
      <c r="G138" s="252"/>
      <c r="H138" s="254"/>
    </row>
    <row r="139" spans="1:8" ht="14.25" customHeight="1" x14ac:dyDescent="0.25">
      <c r="A139" s="252" t="s">
        <v>19553</v>
      </c>
      <c r="B139" s="252" t="s">
        <v>19554</v>
      </c>
      <c r="C139" s="252" t="s">
        <v>19555</v>
      </c>
      <c r="D139" s="252" t="s">
        <v>1392</v>
      </c>
      <c r="E139" s="253">
        <v>2.84</v>
      </c>
      <c r="F139" s="252" t="s">
        <v>1391</v>
      </c>
      <c r="G139" s="252" t="s">
        <v>640</v>
      </c>
      <c r="H139" s="254">
        <v>11554</v>
      </c>
    </row>
    <row r="140" spans="1:8" ht="14.25" customHeight="1" x14ac:dyDescent="0.25">
      <c r="A140" s="252" t="s">
        <v>19553</v>
      </c>
      <c r="B140" s="252" t="s">
        <v>19556</v>
      </c>
      <c r="C140" s="252" t="s">
        <v>19557</v>
      </c>
      <c r="D140" s="252" t="s">
        <v>5270</v>
      </c>
      <c r="E140" s="253">
        <v>1.86</v>
      </c>
      <c r="F140" s="252" t="s">
        <v>738</v>
      </c>
      <c r="G140" s="252" t="s">
        <v>640</v>
      </c>
      <c r="H140" s="254">
        <v>11555</v>
      </c>
    </row>
    <row r="141" spans="1:8" ht="14.25" customHeight="1" x14ac:dyDescent="0.25">
      <c r="A141" s="252" t="s">
        <v>19553</v>
      </c>
      <c r="B141" s="252" t="s">
        <v>19558</v>
      </c>
      <c r="C141" s="252" t="s">
        <v>19559</v>
      </c>
      <c r="D141" s="252" t="s">
        <v>4245</v>
      </c>
      <c r="E141" s="253">
        <v>6.46</v>
      </c>
      <c r="F141" s="252" t="s">
        <v>4246</v>
      </c>
      <c r="G141" s="252" t="s">
        <v>640</v>
      </c>
      <c r="H141" s="254">
        <v>11556</v>
      </c>
    </row>
    <row r="142" spans="1:8" ht="14.25" customHeight="1" x14ac:dyDescent="0.25">
      <c r="A142" s="252" t="s">
        <v>19553</v>
      </c>
      <c r="B142" s="252" t="s">
        <v>19560</v>
      </c>
      <c r="C142" s="252" t="s">
        <v>19561</v>
      </c>
      <c r="D142" s="252" t="s">
        <v>5718</v>
      </c>
      <c r="E142" s="253">
        <v>2.08</v>
      </c>
      <c r="F142" s="252" t="s">
        <v>5719</v>
      </c>
      <c r="G142" s="252" t="s">
        <v>640</v>
      </c>
      <c r="H142" s="254">
        <v>11557</v>
      </c>
    </row>
    <row r="143" spans="1:8" ht="14.25" customHeight="1" x14ac:dyDescent="0.25">
      <c r="A143" s="252" t="s">
        <v>19553</v>
      </c>
      <c r="B143" s="252" t="s">
        <v>19562</v>
      </c>
      <c r="C143" s="252" t="s">
        <v>19563</v>
      </c>
      <c r="D143" s="252" t="s">
        <v>15960</v>
      </c>
      <c r="E143" s="253">
        <v>1.71</v>
      </c>
      <c r="F143" s="252" t="s">
        <v>15959</v>
      </c>
      <c r="G143" s="252" t="s">
        <v>640</v>
      </c>
      <c r="H143" s="254">
        <v>11558</v>
      </c>
    </row>
    <row r="144" spans="1:8" ht="14.25" customHeight="1" x14ac:dyDescent="0.25">
      <c r="A144" s="252" t="s">
        <v>19553</v>
      </c>
      <c r="B144" s="252" t="s">
        <v>19564</v>
      </c>
      <c r="C144" s="252" t="s">
        <v>19565</v>
      </c>
      <c r="D144" s="252" t="s">
        <v>5847</v>
      </c>
      <c r="E144" s="253">
        <v>5.04</v>
      </c>
      <c r="F144" s="252" t="s">
        <v>5848</v>
      </c>
      <c r="G144" s="252" t="s">
        <v>640</v>
      </c>
      <c r="H144" s="254">
        <v>11559</v>
      </c>
    </row>
    <row r="145" spans="1:8" ht="14.25" customHeight="1" x14ac:dyDescent="0.25">
      <c r="A145" s="252" t="s">
        <v>19553</v>
      </c>
      <c r="B145" s="252" t="s">
        <v>4264</v>
      </c>
      <c r="C145" s="252" t="s">
        <v>19566</v>
      </c>
      <c r="D145" s="252" t="s">
        <v>4523</v>
      </c>
      <c r="E145" s="253">
        <v>31.3</v>
      </c>
      <c r="F145" s="252" t="s">
        <v>4524</v>
      </c>
      <c r="G145" s="252" t="s">
        <v>640</v>
      </c>
      <c r="H145" s="254">
        <v>11560</v>
      </c>
    </row>
    <row r="146" spans="1:8" ht="14.25" customHeight="1" x14ac:dyDescent="0.25">
      <c r="A146" s="252" t="s">
        <v>19553</v>
      </c>
      <c r="B146" s="252" t="s">
        <v>19567</v>
      </c>
      <c r="C146" s="252" t="s">
        <v>19568</v>
      </c>
      <c r="D146" s="252" t="s">
        <v>4093</v>
      </c>
      <c r="E146" s="253">
        <v>1.9</v>
      </c>
      <c r="F146" s="252" t="s">
        <v>4094</v>
      </c>
      <c r="G146" s="252" t="s">
        <v>640</v>
      </c>
      <c r="H146" s="254">
        <v>11561</v>
      </c>
    </row>
    <row r="147" spans="1:8" ht="14.25" customHeight="1" x14ac:dyDescent="0.25">
      <c r="A147" s="252" t="s">
        <v>19553</v>
      </c>
      <c r="B147" s="252" t="s">
        <v>19569</v>
      </c>
      <c r="C147" s="252" t="s">
        <v>19570</v>
      </c>
      <c r="D147" s="252" t="s">
        <v>972</v>
      </c>
      <c r="E147" s="253">
        <v>3.58</v>
      </c>
      <c r="F147" s="252" t="s">
        <v>971</v>
      </c>
      <c r="G147" s="252" t="s">
        <v>640</v>
      </c>
      <c r="H147" s="254">
        <v>11562</v>
      </c>
    </row>
    <row r="148" spans="1:8" ht="14.25" customHeight="1" x14ac:dyDescent="0.25">
      <c r="A148" s="252" t="s">
        <v>19553</v>
      </c>
      <c r="B148" s="252" t="s">
        <v>19571</v>
      </c>
      <c r="C148" s="252" t="s">
        <v>19572</v>
      </c>
      <c r="D148" s="252" t="s">
        <v>16453</v>
      </c>
      <c r="E148" s="253">
        <v>8.44</v>
      </c>
      <c r="F148" s="252" t="s">
        <v>16452</v>
      </c>
      <c r="G148" s="252" t="s">
        <v>640</v>
      </c>
      <c r="H148" s="254">
        <v>11563</v>
      </c>
    </row>
    <row r="149" spans="1:8" ht="14.25" customHeight="1" x14ac:dyDescent="0.25">
      <c r="A149" s="252" t="s">
        <v>19553</v>
      </c>
      <c r="B149" s="252" t="s">
        <v>19573</v>
      </c>
      <c r="C149" s="252" t="s">
        <v>19574</v>
      </c>
      <c r="D149" s="252" t="s">
        <v>18739</v>
      </c>
      <c r="E149" s="253">
        <v>7.34</v>
      </c>
      <c r="F149" s="252" t="s">
        <v>18738</v>
      </c>
      <c r="G149" s="252" t="s">
        <v>640</v>
      </c>
      <c r="H149" s="254">
        <v>11564</v>
      </c>
    </row>
    <row r="150" spans="1:8" ht="14.25" customHeight="1" x14ac:dyDescent="0.25">
      <c r="A150" s="252" t="s">
        <v>19553</v>
      </c>
      <c r="B150" s="252" t="s">
        <v>19575</v>
      </c>
      <c r="C150" s="252" t="s">
        <v>19576</v>
      </c>
      <c r="D150" s="252" t="s">
        <v>6060</v>
      </c>
      <c r="E150" s="253">
        <v>2.0299999999999998</v>
      </c>
      <c r="F150" s="252" t="s">
        <v>6061</v>
      </c>
      <c r="G150" s="252" t="s">
        <v>640</v>
      </c>
      <c r="H150" s="254">
        <v>11565</v>
      </c>
    </row>
    <row r="151" spans="1:8" ht="14.25" customHeight="1" x14ac:dyDescent="0.25">
      <c r="A151" s="252" t="s">
        <v>19553</v>
      </c>
      <c r="B151" s="252" t="s">
        <v>19577</v>
      </c>
      <c r="C151" s="252" t="s">
        <v>19578</v>
      </c>
      <c r="D151" s="252" t="s">
        <v>4097</v>
      </c>
      <c r="E151" s="253">
        <v>1.88</v>
      </c>
      <c r="F151" s="252" t="s">
        <v>4098</v>
      </c>
      <c r="G151" s="252" t="s">
        <v>640</v>
      </c>
      <c r="H151" s="254">
        <v>11566</v>
      </c>
    </row>
    <row r="152" spans="1:8" ht="14.25" customHeight="1" x14ac:dyDescent="0.25">
      <c r="A152" s="252" t="s">
        <v>19553</v>
      </c>
      <c r="B152" s="252" t="s">
        <v>19579</v>
      </c>
      <c r="C152" s="252" t="s">
        <v>19580</v>
      </c>
      <c r="D152" s="252" t="s">
        <v>3825</v>
      </c>
      <c r="E152" s="253">
        <v>3.32</v>
      </c>
      <c r="F152" s="252" t="s">
        <v>3826</v>
      </c>
      <c r="G152" s="252" t="s">
        <v>640</v>
      </c>
      <c r="H152" s="254">
        <v>11567</v>
      </c>
    </row>
    <row r="153" spans="1:8" ht="14.25" customHeight="1" x14ac:dyDescent="0.25">
      <c r="A153" s="252" t="s">
        <v>19553</v>
      </c>
      <c r="B153" s="252" t="s">
        <v>19581</v>
      </c>
      <c r="C153" s="252" t="s">
        <v>19582</v>
      </c>
      <c r="D153" s="252" t="s">
        <v>1341</v>
      </c>
      <c r="E153" s="253">
        <v>1.68</v>
      </c>
      <c r="F153" s="252" t="s">
        <v>1340</v>
      </c>
      <c r="G153" s="252" t="s">
        <v>640</v>
      </c>
      <c r="H153" s="254">
        <v>11568</v>
      </c>
    </row>
    <row r="154" spans="1:8" ht="14.25" customHeight="1" x14ac:dyDescent="0.25">
      <c r="A154" s="252" t="s">
        <v>19553</v>
      </c>
      <c r="B154" s="252" t="s">
        <v>19583</v>
      </c>
      <c r="C154" s="252" t="s">
        <v>19584</v>
      </c>
      <c r="D154" s="252" t="s">
        <v>660</v>
      </c>
      <c r="E154" s="253">
        <v>5.95</v>
      </c>
      <c r="F154" s="252" t="s">
        <v>659</v>
      </c>
      <c r="G154" s="252" t="s">
        <v>640</v>
      </c>
      <c r="H154" s="254">
        <v>11569</v>
      </c>
    </row>
    <row r="155" spans="1:8" ht="14.25" customHeight="1" x14ac:dyDescent="0.25">
      <c r="A155" s="252" t="s">
        <v>19553</v>
      </c>
      <c r="B155" s="252" t="s">
        <v>19585</v>
      </c>
      <c r="C155" s="252" t="s">
        <v>19586</v>
      </c>
      <c r="D155" s="252" t="s">
        <v>3629</v>
      </c>
      <c r="E155" s="253">
        <v>3.45</v>
      </c>
      <c r="F155" s="252" t="s">
        <v>3630</v>
      </c>
      <c r="G155" s="252" t="s">
        <v>640</v>
      </c>
      <c r="H155" s="254">
        <v>11570</v>
      </c>
    </row>
    <row r="156" spans="1:8" ht="14.25" customHeight="1" x14ac:dyDescent="0.25">
      <c r="A156" s="252" t="s">
        <v>19553</v>
      </c>
      <c r="B156" s="252" t="s">
        <v>19587</v>
      </c>
      <c r="C156" s="252" t="s">
        <v>19588</v>
      </c>
      <c r="D156" s="252" t="s">
        <v>11028</v>
      </c>
      <c r="E156" s="253">
        <v>4.8600000000000003</v>
      </c>
      <c r="F156" s="252" t="s">
        <v>11027</v>
      </c>
      <c r="G156" s="252" t="s">
        <v>640</v>
      </c>
      <c r="H156" s="254">
        <v>11571</v>
      </c>
    </row>
    <row r="157" spans="1:8" ht="14.25" customHeight="1" x14ac:dyDescent="0.25">
      <c r="A157" s="252" t="s">
        <v>19553</v>
      </c>
      <c r="B157" s="252" t="s">
        <v>13845</v>
      </c>
      <c r="C157" s="252" t="s">
        <v>19589</v>
      </c>
      <c r="D157" s="252" t="s">
        <v>11195</v>
      </c>
      <c r="E157" s="253">
        <v>5.25</v>
      </c>
      <c r="F157" s="252" t="s">
        <v>11194</v>
      </c>
      <c r="G157" s="252" t="s">
        <v>640</v>
      </c>
      <c r="H157" s="254">
        <v>11572</v>
      </c>
    </row>
    <row r="158" spans="1:8" ht="14.25" customHeight="1" x14ac:dyDescent="0.25">
      <c r="A158" s="252" t="s">
        <v>19553</v>
      </c>
      <c r="B158" s="252" t="s">
        <v>19590</v>
      </c>
      <c r="C158" s="252" t="s">
        <v>19591</v>
      </c>
      <c r="D158" s="252" t="s">
        <v>642</v>
      </c>
      <c r="E158" s="253">
        <v>11.66</v>
      </c>
      <c r="F158" s="252" t="s">
        <v>641</v>
      </c>
      <c r="G158" s="252" t="s">
        <v>640</v>
      </c>
      <c r="H158" s="254">
        <v>11573</v>
      </c>
    </row>
    <row r="159" spans="1:8" ht="14.25" customHeight="1" x14ac:dyDescent="0.25">
      <c r="A159" s="252" t="s">
        <v>19553</v>
      </c>
      <c r="B159" s="252" t="s">
        <v>19592</v>
      </c>
      <c r="C159" s="252" t="s">
        <v>19593</v>
      </c>
      <c r="D159" s="252" t="s">
        <v>5300</v>
      </c>
      <c r="E159" s="253">
        <v>11.73</v>
      </c>
      <c r="F159" s="252" t="s">
        <v>5301</v>
      </c>
      <c r="G159" s="252" t="s">
        <v>640</v>
      </c>
      <c r="H159" s="254">
        <v>11574</v>
      </c>
    </row>
    <row r="160" spans="1:8" ht="14.25" customHeight="1" x14ac:dyDescent="0.25">
      <c r="A160" s="252" t="s">
        <v>19553</v>
      </c>
      <c r="B160" s="252" t="s">
        <v>19594</v>
      </c>
      <c r="C160" s="252" t="s">
        <v>19595</v>
      </c>
      <c r="D160" s="252" t="s">
        <v>16292</v>
      </c>
      <c r="E160" s="253">
        <v>5.08</v>
      </c>
      <c r="F160" s="252" t="s">
        <v>16291</v>
      </c>
      <c r="G160" s="252" t="s">
        <v>640</v>
      </c>
      <c r="H160" s="254">
        <v>11575</v>
      </c>
    </row>
    <row r="161" spans="1:8" ht="14.25" customHeight="1" x14ac:dyDescent="0.25">
      <c r="A161" s="252" t="s">
        <v>19553</v>
      </c>
      <c r="B161" s="252" t="s">
        <v>19596</v>
      </c>
      <c r="C161" s="252" t="s">
        <v>19597</v>
      </c>
      <c r="D161" s="252" t="s">
        <v>913</v>
      </c>
      <c r="E161" s="253">
        <v>25.08</v>
      </c>
      <c r="F161" s="252" t="s">
        <v>912</v>
      </c>
      <c r="G161" s="252" t="s">
        <v>640</v>
      </c>
      <c r="H161" s="254">
        <v>11576</v>
      </c>
    </row>
    <row r="162" spans="1:8" ht="14.25" customHeight="1" x14ac:dyDescent="0.25">
      <c r="A162" s="252"/>
      <c r="B162" s="252"/>
      <c r="C162" s="255" t="s">
        <v>3578</v>
      </c>
      <c r="D162" s="252"/>
      <c r="E162" s="258">
        <f>SUM(E139:E161)</f>
        <v>154.51999999999998</v>
      </c>
      <c r="F162" s="252"/>
      <c r="G162" s="252"/>
      <c r="H162" s="254"/>
    </row>
    <row r="163" spans="1:8" ht="14.25" customHeight="1" x14ac:dyDescent="0.25">
      <c r="A163" s="252" t="s">
        <v>19598</v>
      </c>
      <c r="B163" s="252" t="s">
        <v>19599</v>
      </c>
      <c r="C163" s="252" t="s">
        <v>19600</v>
      </c>
      <c r="D163" s="252" t="s">
        <v>11233</v>
      </c>
      <c r="E163" s="253">
        <v>4.75</v>
      </c>
      <c r="F163" s="252" t="s">
        <v>11232</v>
      </c>
      <c r="G163" s="252" t="s">
        <v>640</v>
      </c>
      <c r="H163" s="254">
        <v>11577</v>
      </c>
    </row>
    <row r="164" spans="1:8" ht="14.25" customHeight="1" x14ac:dyDescent="0.25">
      <c r="A164" s="252" t="s">
        <v>19598</v>
      </c>
      <c r="B164" s="252" t="s">
        <v>19601</v>
      </c>
      <c r="C164" s="252" t="s">
        <v>19602</v>
      </c>
      <c r="D164" s="252" t="s">
        <v>4586</v>
      </c>
      <c r="E164" s="253">
        <v>4.1399999999999997</v>
      </c>
      <c r="F164" s="252" t="s">
        <v>4587</v>
      </c>
      <c r="G164" s="252" t="s">
        <v>640</v>
      </c>
      <c r="H164" s="254">
        <v>11578</v>
      </c>
    </row>
    <row r="165" spans="1:8" ht="14.25" customHeight="1" x14ac:dyDescent="0.25">
      <c r="A165" s="252" t="s">
        <v>19598</v>
      </c>
      <c r="B165" s="252" t="s">
        <v>19603</v>
      </c>
      <c r="C165" s="252" t="s">
        <v>19604</v>
      </c>
      <c r="D165" s="252" t="s">
        <v>1020</v>
      </c>
      <c r="E165" s="253">
        <v>3.36</v>
      </c>
      <c r="F165" s="252" t="s">
        <v>1019</v>
      </c>
      <c r="G165" s="252" t="s">
        <v>640</v>
      </c>
      <c r="H165" s="254">
        <v>11579</v>
      </c>
    </row>
    <row r="166" spans="1:8" ht="14.25" customHeight="1" x14ac:dyDescent="0.25">
      <c r="A166" s="252" t="s">
        <v>19598</v>
      </c>
      <c r="B166" s="252" t="s">
        <v>19605</v>
      </c>
      <c r="C166" s="252" t="s">
        <v>19606</v>
      </c>
      <c r="D166" s="252" t="s">
        <v>13619</v>
      </c>
      <c r="E166" s="253">
        <v>2.85</v>
      </c>
      <c r="F166" s="252" t="s">
        <v>13618</v>
      </c>
      <c r="G166" s="252" t="s">
        <v>640</v>
      </c>
      <c r="H166" s="254">
        <v>11580</v>
      </c>
    </row>
    <row r="167" spans="1:8" ht="14.25" customHeight="1" x14ac:dyDescent="0.25">
      <c r="A167" s="252" t="s">
        <v>19598</v>
      </c>
      <c r="B167" s="252" t="s">
        <v>19607</v>
      </c>
      <c r="C167" s="252" t="s">
        <v>19608</v>
      </c>
      <c r="D167" s="252" t="s">
        <v>19609</v>
      </c>
      <c r="E167" s="253">
        <v>3.97</v>
      </c>
      <c r="F167" s="252" t="s">
        <v>19610</v>
      </c>
      <c r="G167" s="252" t="s">
        <v>640</v>
      </c>
      <c r="H167" s="254">
        <v>11581</v>
      </c>
    </row>
    <row r="168" spans="1:8" ht="14.25" customHeight="1" x14ac:dyDescent="0.25">
      <c r="A168" s="252" t="s">
        <v>19598</v>
      </c>
      <c r="B168" s="252" t="s">
        <v>19611</v>
      </c>
      <c r="C168" s="252" t="s">
        <v>19612</v>
      </c>
      <c r="D168" s="252" t="s">
        <v>725</v>
      </c>
      <c r="E168" s="253">
        <v>6.99</v>
      </c>
      <c r="F168" s="252" t="s">
        <v>724</v>
      </c>
      <c r="G168" s="252" t="s">
        <v>640</v>
      </c>
      <c r="H168" s="254">
        <v>11582</v>
      </c>
    </row>
    <row r="169" spans="1:8" ht="14.25" customHeight="1" x14ac:dyDescent="0.25">
      <c r="A169" s="252" t="s">
        <v>19598</v>
      </c>
      <c r="B169" s="252" t="s">
        <v>19613</v>
      </c>
      <c r="C169" s="252" t="s">
        <v>19614</v>
      </c>
      <c r="D169" s="252" t="s">
        <v>696</v>
      </c>
      <c r="E169" s="253">
        <v>6.96</v>
      </c>
      <c r="F169" s="252" t="s">
        <v>695</v>
      </c>
      <c r="G169" s="252" t="s">
        <v>640</v>
      </c>
      <c r="H169" s="254" t="s">
        <v>19615</v>
      </c>
    </row>
    <row r="170" spans="1:8" ht="14.25" customHeight="1" x14ac:dyDescent="0.25">
      <c r="A170" s="252" t="s">
        <v>19598</v>
      </c>
      <c r="B170" s="252" t="s">
        <v>19616</v>
      </c>
      <c r="C170" s="252" t="s">
        <v>19617</v>
      </c>
      <c r="D170" s="252" t="s">
        <v>1473</v>
      </c>
      <c r="E170" s="253">
        <v>7.44</v>
      </c>
      <c r="F170" s="252" t="s">
        <v>1472</v>
      </c>
      <c r="G170" s="252" t="s">
        <v>640</v>
      </c>
      <c r="H170" s="254">
        <v>11583</v>
      </c>
    </row>
    <row r="171" spans="1:8" ht="14.25" customHeight="1" x14ac:dyDescent="0.25">
      <c r="A171" s="252" t="s">
        <v>19598</v>
      </c>
      <c r="B171" s="252" t="s">
        <v>19618</v>
      </c>
      <c r="C171" s="252" t="s">
        <v>19619</v>
      </c>
      <c r="D171" s="252" t="s">
        <v>1255</v>
      </c>
      <c r="E171" s="253">
        <v>35.380000000000003</v>
      </c>
      <c r="F171" s="252" t="s">
        <v>1254</v>
      </c>
      <c r="G171" s="252" t="s">
        <v>640</v>
      </c>
      <c r="H171" s="254">
        <v>11584</v>
      </c>
    </row>
    <row r="172" spans="1:8" ht="14.25" customHeight="1" x14ac:dyDescent="0.25">
      <c r="A172" s="252" t="s">
        <v>19598</v>
      </c>
      <c r="B172" s="252" t="s">
        <v>19620</v>
      </c>
      <c r="C172" s="252" t="s">
        <v>19621</v>
      </c>
      <c r="D172" s="252" t="s">
        <v>10522</v>
      </c>
      <c r="E172" s="253">
        <v>4.55</v>
      </c>
      <c r="F172" s="252" t="s">
        <v>10521</v>
      </c>
      <c r="G172" s="252" t="s">
        <v>640</v>
      </c>
      <c r="H172" s="254">
        <v>11585</v>
      </c>
    </row>
    <row r="173" spans="1:8" ht="14.25" customHeight="1" x14ac:dyDescent="0.25">
      <c r="A173" s="252"/>
      <c r="B173" s="252"/>
      <c r="C173" s="255" t="s">
        <v>3578</v>
      </c>
      <c r="D173" s="252"/>
      <c r="E173" s="258">
        <f>SUM(E163:E172)</f>
        <v>80.39</v>
      </c>
      <c r="F173" s="252"/>
      <c r="G173" s="252"/>
      <c r="H173" s="254"/>
    </row>
    <row r="174" spans="1:8" ht="14.25" customHeight="1" x14ac:dyDescent="0.25">
      <c r="A174" s="252" t="s">
        <v>19622</v>
      </c>
      <c r="B174" s="252" t="s">
        <v>19623</v>
      </c>
      <c r="C174" s="252" t="s">
        <v>19624</v>
      </c>
      <c r="D174" s="252" t="s">
        <v>11428</v>
      </c>
      <c r="E174" s="253">
        <v>1.68</v>
      </c>
      <c r="F174" s="252" t="s">
        <v>11427</v>
      </c>
      <c r="G174" s="252" t="s">
        <v>640</v>
      </c>
      <c r="H174" s="254">
        <v>11586</v>
      </c>
    </row>
    <row r="175" spans="1:8" ht="14.25" customHeight="1" x14ac:dyDescent="0.25">
      <c r="A175" s="252" t="s">
        <v>19622</v>
      </c>
      <c r="B175" s="252" t="s">
        <v>19625</v>
      </c>
      <c r="C175" s="252" t="s">
        <v>19626</v>
      </c>
      <c r="D175" s="252" t="s">
        <v>11219</v>
      </c>
      <c r="E175" s="253">
        <v>2.58</v>
      </c>
      <c r="F175" s="252" t="s">
        <v>11218</v>
      </c>
      <c r="G175" s="252" t="s">
        <v>640</v>
      </c>
      <c r="H175" s="254">
        <v>11587</v>
      </c>
    </row>
    <row r="176" spans="1:8" ht="14.25" customHeight="1" x14ac:dyDescent="0.25">
      <c r="A176" s="252" t="s">
        <v>19627</v>
      </c>
      <c r="B176" s="252" t="s">
        <v>19628</v>
      </c>
      <c r="C176" s="252" t="s">
        <v>19629</v>
      </c>
      <c r="D176" s="252" t="s">
        <v>672</v>
      </c>
      <c r="E176" s="253">
        <v>3.8</v>
      </c>
      <c r="F176" s="252" t="s">
        <v>671</v>
      </c>
      <c r="G176" s="252" t="s">
        <v>640</v>
      </c>
      <c r="H176" s="254">
        <v>11588</v>
      </c>
    </row>
    <row r="177" spans="1:8" ht="14.25" customHeight="1" x14ac:dyDescent="0.25">
      <c r="A177" s="252" t="s">
        <v>19627</v>
      </c>
      <c r="B177" s="252" t="s">
        <v>19630</v>
      </c>
      <c r="C177" s="252" t="s">
        <v>19631</v>
      </c>
      <c r="D177" s="252" t="s">
        <v>982</v>
      </c>
      <c r="E177" s="253">
        <v>5.78</v>
      </c>
      <c r="F177" s="252" t="s">
        <v>981</v>
      </c>
      <c r="G177" s="252" t="s">
        <v>640</v>
      </c>
      <c r="H177" s="254">
        <v>11589</v>
      </c>
    </row>
    <row r="178" spans="1:8" ht="14.25" customHeight="1" x14ac:dyDescent="0.25">
      <c r="A178" s="252" t="s">
        <v>19627</v>
      </c>
      <c r="B178" s="252" t="s">
        <v>19632</v>
      </c>
      <c r="C178" s="252" t="s">
        <v>19633</v>
      </c>
      <c r="D178" s="252" t="s">
        <v>13529</v>
      </c>
      <c r="E178" s="253">
        <v>1.77</v>
      </c>
      <c r="F178" s="252" t="s">
        <v>13528</v>
      </c>
      <c r="G178" s="252" t="s">
        <v>640</v>
      </c>
      <c r="H178" s="254">
        <v>11590</v>
      </c>
    </row>
    <row r="179" spans="1:8" ht="14.25" customHeight="1" x14ac:dyDescent="0.25">
      <c r="A179" s="252"/>
      <c r="B179" s="252"/>
      <c r="C179" s="255" t="s">
        <v>3578</v>
      </c>
      <c r="D179" s="252"/>
      <c r="E179" s="258">
        <f>SUM(E174:E178)</f>
        <v>15.61</v>
      </c>
      <c r="F179" s="252"/>
      <c r="G179" s="252"/>
      <c r="H179" s="254"/>
    </row>
    <row r="180" spans="1:8" ht="14.25" customHeight="1" x14ac:dyDescent="0.25">
      <c r="A180" s="252" t="s">
        <v>19634</v>
      </c>
      <c r="B180" s="252" t="s">
        <v>19635</v>
      </c>
      <c r="C180" s="252" t="s">
        <v>19636</v>
      </c>
      <c r="D180" s="252" t="s">
        <v>1193</v>
      </c>
      <c r="E180" s="253">
        <v>5.42</v>
      </c>
      <c r="F180" s="252" t="s">
        <v>1192</v>
      </c>
      <c r="G180" s="252" t="s">
        <v>640</v>
      </c>
      <c r="H180" s="254">
        <v>11645</v>
      </c>
    </row>
    <row r="181" spans="1:8" ht="14.25" customHeight="1" x14ac:dyDescent="0.25">
      <c r="A181" s="252" t="s">
        <v>19634</v>
      </c>
      <c r="B181" s="252" t="s">
        <v>19637</v>
      </c>
      <c r="C181" s="252" t="s">
        <v>19638</v>
      </c>
      <c r="D181" s="252" t="s">
        <v>849</v>
      </c>
      <c r="E181" s="253">
        <v>4.71</v>
      </c>
      <c r="F181" s="252" t="s">
        <v>848</v>
      </c>
      <c r="G181" s="252" t="s">
        <v>640</v>
      </c>
      <c r="H181" s="254">
        <v>11646</v>
      </c>
    </row>
    <row r="182" spans="1:8" ht="14.25" customHeight="1" x14ac:dyDescent="0.25">
      <c r="A182" s="252" t="s">
        <v>19634</v>
      </c>
      <c r="B182" s="252" t="s">
        <v>19639</v>
      </c>
      <c r="C182" s="252" t="s">
        <v>19640</v>
      </c>
      <c r="D182" s="252" t="s">
        <v>19641</v>
      </c>
      <c r="E182" s="253">
        <v>3.36</v>
      </c>
      <c r="F182" s="252" t="s">
        <v>19642</v>
      </c>
      <c r="G182" s="252" t="s">
        <v>640</v>
      </c>
      <c r="H182" s="254">
        <v>11647</v>
      </c>
    </row>
    <row r="183" spans="1:8" ht="14.25" customHeight="1" x14ac:dyDescent="0.25">
      <c r="A183" s="252" t="s">
        <v>19634</v>
      </c>
      <c r="B183" s="252" t="s">
        <v>5150</v>
      </c>
      <c r="C183" s="252" t="s">
        <v>19643</v>
      </c>
      <c r="D183" s="252" t="s">
        <v>1304</v>
      </c>
      <c r="E183" s="253">
        <v>5.92</v>
      </c>
      <c r="F183" s="252" t="s">
        <v>1303</v>
      </c>
      <c r="G183" s="252" t="s">
        <v>640</v>
      </c>
      <c r="H183" s="254">
        <v>11648</v>
      </c>
    </row>
    <row r="184" spans="1:8" ht="14.25" customHeight="1" x14ac:dyDescent="0.25">
      <c r="A184" s="252" t="s">
        <v>19634</v>
      </c>
      <c r="B184" s="252" t="s">
        <v>19644</v>
      </c>
      <c r="C184" s="252" t="s">
        <v>19645</v>
      </c>
      <c r="D184" s="252" t="s">
        <v>4870</v>
      </c>
      <c r="E184" s="253">
        <v>12.95</v>
      </c>
      <c r="F184" s="252" t="s">
        <v>4871</v>
      </c>
      <c r="G184" s="252" t="s">
        <v>640</v>
      </c>
      <c r="H184" s="254">
        <v>11649</v>
      </c>
    </row>
    <row r="185" spans="1:8" ht="14.25" customHeight="1" x14ac:dyDescent="0.25">
      <c r="A185" s="252" t="s">
        <v>19634</v>
      </c>
      <c r="B185" s="252" t="s">
        <v>3895</v>
      </c>
      <c r="C185" s="252" t="s">
        <v>19646</v>
      </c>
      <c r="D185" s="252" t="s">
        <v>6064</v>
      </c>
      <c r="E185" s="253">
        <v>3.36</v>
      </c>
      <c r="F185" s="252" t="s">
        <v>6065</v>
      </c>
      <c r="G185" s="252" t="s">
        <v>640</v>
      </c>
      <c r="H185" s="254">
        <v>11650</v>
      </c>
    </row>
    <row r="186" spans="1:8" ht="14.25" customHeight="1" x14ac:dyDescent="0.25">
      <c r="A186" s="252" t="s">
        <v>19634</v>
      </c>
      <c r="B186" s="252" t="s">
        <v>19647</v>
      </c>
      <c r="C186" s="252" t="s">
        <v>19648</v>
      </c>
      <c r="D186" s="252" t="s">
        <v>4575</v>
      </c>
      <c r="E186" s="253">
        <v>19.079999999999998</v>
      </c>
      <c r="F186" s="252" t="s">
        <v>4576</v>
      </c>
      <c r="G186" s="252" t="s">
        <v>640</v>
      </c>
      <c r="H186" s="254">
        <v>11651</v>
      </c>
    </row>
    <row r="187" spans="1:8" ht="14.25" customHeight="1" x14ac:dyDescent="0.25">
      <c r="A187" s="252" t="s">
        <v>19634</v>
      </c>
      <c r="B187" s="252" t="s">
        <v>19649</v>
      </c>
      <c r="C187" s="252" t="s">
        <v>19650</v>
      </c>
      <c r="D187" s="252" t="s">
        <v>19651</v>
      </c>
      <c r="E187" s="253">
        <v>11.71</v>
      </c>
      <c r="F187" s="252" t="s">
        <v>19652</v>
      </c>
      <c r="G187" s="252" t="s">
        <v>640</v>
      </c>
      <c r="H187" s="254">
        <v>11652</v>
      </c>
    </row>
    <row r="188" spans="1:8" ht="14.25" customHeight="1" x14ac:dyDescent="0.25">
      <c r="A188" s="252" t="s">
        <v>19634</v>
      </c>
      <c r="B188" s="252" t="s">
        <v>18315</v>
      </c>
      <c r="C188" s="252" t="s">
        <v>19653</v>
      </c>
      <c r="D188" s="252" t="s">
        <v>729</v>
      </c>
      <c r="E188" s="253">
        <v>1.68</v>
      </c>
      <c r="F188" s="252" t="s">
        <v>728</v>
      </c>
      <c r="G188" s="252" t="s">
        <v>640</v>
      </c>
      <c r="H188" s="254">
        <v>11653</v>
      </c>
    </row>
    <row r="189" spans="1:8" ht="14.25" customHeight="1" x14ac:dyDescent="0.25">
      <c r="A189" s="252" t="s">
        <v>19634</v>
      </c>
      <c r="B189" s="252" t="s">
        <v>19654</v>
      </c>
      <c r="C189" s="252" t="s">
        <v>19655</v>
      </c>
      <c r="D189" s="252" t="s">
        <v>4169</v>
      </c>
      <c r="E189" s="253">
        <v>2.06</v>
      </c>
      <c r="F189" s="252" t="s">
        <v>4170</v>
      </c>
      <c r="G189" s="252" t="s">
        <v>640</v>
      </c>
      <c r="H189" s="254">
        <v>11654</v>
      </c>
    </row>
    <row r="190" spans="1:8" ht="14.25" customHeight="1" x14ac:dyDescent="0.25">
      <c r="A190" s="252" t="s">
        <v>19634</v>
      </c>
      <c r="B190" s="252" t="s">
        <v>19656</v>
      </c>
      <c r="C190" s="252" t="s">
        <v>19657</v>
      </c>
      <c r="D190" s="252" t="s">
        <v>3933</v>
      </c>
      <c r="E190" s="253">
        <v>2.04</v>
      </c>
      <c r="F190" s="252" t="s">
        <v>3934</v>
      </c>
      <c r="G190" s="252" t="s">
        <v>640</v>
      </c>
      <c r="H190" s="254">
        <v>11655</v>
      </c>
    </row>
    <row r="191" spans="1:8" ht="14.25" customHeight="1" x14ac:dyDescent="0.25">
      <c r="A191" s="252" t="s">
        <v>19634</v>
      </c>
      <c r="B191" s="252" t="s">
        <v>19658</v>
      </c>
      <c r="C191" s="252" t="s">
        <v>19659</v>
      </c>
      <c r="D191" s="252" t="s">
        <v>14040</v>
      </c>
      <c r="E191" s="253">
        <v>5.04</v>
      </c>
      <c r="F191" s="252" t="s">
        <v>14039</v>
      </c>
      <c r="G191" s="252" t="s">
        <v>640</v>
      </c>
      <c r="H191" s="254">
        <v>11656</v>
      </c>
    </row>
    <row r="192" spans="1:8" ht="14.25" customHeight="1" x14ac:dyDescent="0.25">
      <c r="A192" s="252" t="s">
        <v>19634</v>
      </c>
      <c r="B192" s="252" t="s">
        <v>19660</v>
      </c>
      <c r="C192" s="252" t="s">
        <v>19661</v>
      </c>
      <c r="D192" s="252" t="s">
        <v>4604</v>
      </c>
      <c r="E192" s="253">
        <v>5.0599999999999996</v>
      </c>
      <c r="F192" s="252" t="s">
        <v>4605</v>
      </c>
      <c r="G192" s="252" t="s">
        <v>640</v>
      </c>
      <c r="H192" s="254">
        <v>11657</v>
      </c>
    </row>
    <row r="193" spans="1:8" ht="14.25" customHeight="1" x14ac:dyDescent="0.25">
      <c r="A193" s="252" t="s">
        <v>19634</v>
      </c>
      <c r="B193" s="252" t="s">
        <v>19662</v>
      </c>
      <c r="C193" s="252" t="s">
        <v>19663</v>
      </c>
      <c r="D193" s="252" t="s">
        <v>3708</v>
      </c>
      <c r="E193" s="253">
        <v>5.5</v>
      </c>
      <c r="F193" s="252" t="s">
        <v>3709</v>
      </c>
      <c r="G193" s="252" t="s">
        <v>640</v>
      </c>
      <c r="H193" s="254">
        <v>11658</v>
      </c>
    </row>
    <row r="194" spans="1:8" ht="14.25" customHeight="1" x14ac:dyDescent="0.25">
      <c r="A194" s="252" t="s">
        <v>19634</v>
      </c>
      <c r="B194" s="252" t="s">
        <v>19664</v>
      </c>
      <c r="C194" s="252" t="s">
        <v>19665</v>
      </c>
      <c r="D194" s="252" t="s">
        <v>970</v>
      </c>
      <c r="E194" s="253">
        <v>8.3800000000000008</v>
      </c>
      <c r="F194" s="252" t="s">
        <v>969</v>
      </c>
      <c r="G194" s="252" t="s">
        <v>640</v>
      </c>
      <c r="H194" s="254">
        <v>11659</v>
      </c>
    </row>
    <row r="195" spans="1:8" ht="14.25" customHeight="1" x14ac:dyDescent="0.25">
      <c r="A195" s="252"/>
      <c r="B195" s="252"/>
      <c r="C195" s="255" t="s">
        <v>3578</v>
      </c>
      <c r="D195" s="252"/>
      <c r="E195" s="258">
        <f>SUM(E180:E194)</f>
        <v>96.27000000000001</v>
      </c>
      <c r="F195" s="252"/>
      <c r="G195" s="252"/>
      <c r="H195" s="254"/>
    </row>
    <row r="196" spans="1:8" ht="14.25" customHeight="1" x14ac:dyDescent="0.25">
      <c r="A196" s="252" t="s">
        <v>19666</v>
      </c>
      <c r="B196" s="252" t="s">
        <v>19667</v>
      </c>
      <c r="C196" s="252" t="s">
        <v>19668</v>
      </c>
      <c r="D196" s="252" t="s">
        <v>5312</v>
      </c>
      <c r="E196" s="253">
        <v>3.64</v>
      </c>
      <c r="F196" s="252" t="s">
        <v>5313</v>
      </c>
      <c r="G196" s="252" t="s">
        <v>640</v>
      </c>
      <c r="H196" s="254">
        <v>11714</v>
      </c>
    </row>
    <row r="197" spans="1:8" ht="14.25" customHeight="1" x14ac:dyDescent="0.25">
      <c r="A197" s="252" t="s">
        <v>19666</v>
      </c>
      <c r="B197" s="252" t="s">
        <v>19669</v>
      </c>
      <c r="C197" s="252" t="s">
        <v>19670</v>
      </c>
      <c r="D197" s="252" t="s">
        <v>800</v>
      </c>
      <c r="E197" s="253">
        <v>1.8</v>
      </c>
      <c r="F197" s="252" t="s">
        <v>799</v>
      </c>
      <c r="G197" s="252" t="s">
        <v>640</v>
      </c>
      <c r="H197" s="254">
        <v>11715</v>
      </c>
    </row>
    <row r="198" spans="1:8" ht="14.25" customHeight="1" x14ac:dyDescent="0.25">
      <c r="A198" s="252" t="s">
        <v>19666</v>
      </c>
      <c r="B198" s="252" t="s">
        <v>19671</v>
      </c>
      <c r="C198" s="252" t="s">
        <v>19672</v>
      </c>
      <c r="D198" s="252" t="s">
        <v>4955</v>
      </c>
      <c r="E198" s="253">
        <v>2.04</v>
      </c>
      <c r="F198" s="252" t="s">
        <v>4956</v>
      </c>
      <c r="G198" s="252" t="s">
        <v>640</v>
      </c>
      <c r="H198" s="254">
        <v>11716</v>
      </c>
    </row>
    <row r="199" spans="1:8" ht="14.25" customHeight="1" x14ac:dyDescent="0.25">
      <c r="A199" s="252" t="s">
        <v>19666</v>
      </c>
      <c r="B199" s="252" t="s">
        <v>19673</v>
      </c>
      <c r="C199" s="252" t="s">
        <v>19674</v>
      </c>
      <c r="D199" s="252" t="s">
        <v>13974</v>
      </c>
      <c r="E199" s="253">
        <v>0.91</v>
      </c>
      <c r="F199" s="252" t="s">
        <v>4956</v>
      </c>
      <c r="G199" s="252" t="s">
        <v>640</v>
      </c>
      <c r="H199" s="254">
        <v>11717</v>
      </c>
    </row>
    <row r="200" spans="1:8" ht="14.25" customHeight="1" x14ac:dyDescent="0.25">
      <c r="A200" s="252" t="s">
        <v>19666</v>
      </c>
      <c r="B200" s="252" t="s">
        <v>19675</v>
      </c>
      <c r="C200" s="252" t="s">
        <v>19676</v>
      </c>
      <c r="D200" s="252" t="s">
        <v>4494</v>
      </c>
      <c r="E200" s="253">
        <v>4.1900000000000004</v>
      </c>
      <c r="F200" s="252" t="s">
        <v>4495</v>
      </c>
      <c r="G200" s="252" t="s">
        <v>640</v>
      </c>
      <c r="H200" s="254">
        <v>11718</v>
      </c>
    </row>
    <row r="201" spans="1:8" ht="14.25" customHeight="1" x14ac:dyDescent="0.25">
      <c r="A201" s="252" t="s">
        <v>19666</v>
      </c>
      <c r="B201" s="252" t="s">
        <v>13568</v>
      </c>
      <c r="C201" s="252" t="s">
        <v>19677</v>
      </c>
      <c r="D201" s="252" t="s">
        <v>4826</v>
      </c>
      <c r="E201" s="253">
        <v>3.77</v>
      </c>
      <c r="F201" s="252" t="s">
        <v>4827</v>
      </c>
      <c r="G201" s="252" t="s">
        <v>640</v>
      </c>
      <c r="H201" s="254">
        <v>11719</v>
      </c>
    </row>
    <row r="202" spans="1:8" ht="14.25" customHeight="1" x14ac:dyDescent="0.25">
      <c r="A202" s="252" t="s">
        <v>19666</v>
      </c>
      <c r="B202" s="252" t="s">
        <v>19678</v>
      </c>
      <c r="C202" s="252" t="s">
        <v>19679</v>
      </c>
      <c r="D202" s="252" t="s">
        <v>16540</v>
      </c>
      <c r="E202" s="253">
        <v>0.56999999999999995</v>
      </c>
      <c r="F202" s="252" t="s">
        <v>16539</v>
      </c>
      <c r="G202" s="252" t="s">
        <v>640</v>
      </c>
      <c r="H202" s="254">
        <v>11720</v>
      </c>
    </row>
    <row r="203" spans="1:8" ht="14.25" customHeight="1" x14ac:dyDescent="0.25">
      <c r="A203" s="252" t="s">
        <v>19666</v>
      </c>
      <c r="B203" s="252" t="s">
        <v>19680</v>
      </c>
      <c r="C203" s="252" t="s">
        <v>19681</v>
      </c>
      <c r="D203" s="252" t="s">
        <v>19682</v>
      </c>
      <c r="E203" s="253">
        <v>1.46</v>
      </c>
      <c r="F203" s="252" t="s">
        <v>19683</v>
      </c>
      <c r="G203" s="252" t="s">
        <v>640</v>
      </c>
      <c r="H203" s="254">
        <v>11721</v>
      </c>
    </row>
    <row r="204" spans="1:8" ht="14.25" customHeight="1" x14ac:dyDescent="0.25">
      <c r="A204" s="252" t="s">
        <v>19666</v>
      </c>
      <c r="B204" s="252" t="s">
        <v>19684</v>
      </c>
      <c r="C204" s="252" t="s">
        <v>19685</v>
      </c>
      <c r="D204" s="252" t="s">
        <v>4194</v>
      </c>
      <c r="E204" s="253">
        <v>2.77</v>
      </c>
      <c r="F204" s="252" t="s">
        <v>4195</v>
      </c>
      <c r="G204" s="252" t="s">
        <v>640</v>
      </c>
      <c r="H204" s="254">
        <v>11722</v>
      </c>
    </row>
    <row r="205" spans="1:8" ht="14.25" customHeight="1" x14ac:dyDescent="0.25">
      <c r="A205" s="252" t="s">
        <v>19666</v>
      </c>
      <c r="B205" s="252" t="s">
        <v>19686</v>
      </c>
      <c r="C205" s="252" t="s">
        <v>19687</v>
      </c>
      <c r="D205" s="252" t="s">
        <v>3949</v>
      </c>
      <c r="E205" s="253">
        <v>2.82</v>
      </c>
      <c r="F205" s="252" t="s">
        <v>3950</v>
      </c>
      <c r="G205" s="252" t="s">
        <v>640</v>
      </c>
      <c r="H205" s="254">
        <v>11723</v>
      </c>
    </row>
    <row r="206" spans="1:8" ht="14.25" customHeight="1" x14ac:dyDescent="0.25">
      <c r="A206" s="252" t="s">
        <v>19666</v>
      </c>
      <c r="B206" s="252" t="s">
        <v>19688</v>
      </c>
      <c r="C206" s="252" t="s">
        <v>19689</v>
      </c>
      <c r="D206" s="252" t="s">
        <v>926</v>
      </c>
      <c r="E206" s="253">
        <v>2.68</v>
      </c>
      <c r="F206" s="252" t="s">
        <v>925</v>
      </c>
      <c r="G206" s="252" t="s">
        <v>640</v>
      </c>
      <c r="H206" s="254">
        <v>11724</v>
      </c>
    </row>
    <row r="207" spans="1:8" ht="14.25" customHeight="1" x14ac:dyDescent="0.25">
      <c r="A207" s="252" t="s">
        <v>19666</v>
      </c>
      <c r="B207" s="252" t="s">
        <v>19690</v>
      </c>
      <c r="C207" s="252" t="s">
        <v>19691</v>
      </c>
      <c r="D207" s="252" t="s">
        <v>4479</v>
      </c>
      <c r="E207" s="253">
        <v>6.99</v>
      </c>
      <c r="F207" s="252" t="s">
        <v>4480</v>
      </c>
      <c r="G207" s="252" t="s">
        <v>640</v>
      </c>
      <c r="H207" s="254" t="s">
        <v>19692</v>
      </c>
    </row>
    <row r="208" spans="1:8" ht="14.25" customHeight="1" x14ac:dyDescent="0.25">
      <c r="A208" s="252" t="s">
        <v>19666</v>
      </c>
      <c r="B208" s="252" t="s">
        <v>19693</v>
      </c>
      <c r="C208" s="252" t="s">
        <v>19694</v>
      </c>
      <c r="D208" s="252" t="s">
        <v>1487</v>
      </c>
      <c r="E208" s="253">
        <v>1.68</v>
      </c>
      <c r="F208" s="252" t="s">
        <v>1486</v>
      </c>
      <c r="G208" s="252" t="s">
        <v>640</v>
      </c>
      <c r="H208" s="254">
        <v>11725</v>
      </c>
    </row>
    <row r="209" spans="1:8" ht="14.25" customHeight="1" x14ac:dyDescent="0.25">
      <c r="A209" s="252"/>
      <c r="B209" s="252"/>
      <c r="C209" s="255" t="s">
        <v>3578</v>
      </c>
      <c r="D209" s="252"/>
      <c r="E209" s="258">
        <f>SUM(E196:E208)</f>
        <v>35.32</v>
      </c>
      <c r="F209" s="252"/>
      <c r="G209" s="252"/>
      <c r="H209" s="254"/>
    </row>
    <row r="210" spans="1:8" ht="14.25" customHeight="1" x14ac:dyDescent="0.25">
      <c r="A210" s="252" t="s">
        <v>19695</v>
      </c>
      <c r="B210" s="252" t="s">
        <v>19696</v>
      </c>
      <c r="C210" s="252" t="s">
        <v>19697</v>
      </c>
      <c r="D210" s="252" t="s">
        <v>842</v>
      </c>
      <c r="E210" s="253">
        <v>4.87</v>
      </c>
      <c r="F210" s="252" t="s">
        <v>841</v>
      </c>
      <c r="G210" s="252" t="s">
        <v>640</v>
      </c>
      <c r="H210" s="254">
        <v>11763</v>
      </c>
    </row>
    <row r="211" spans="1:8" ht="14.25" customHeight="1" x14ac:dyDescent="0.25">
      <c r="A211" s="252" t="s">
        <v>19695</v>
      </c>
      <c r="B211" s="252" t="s">
        <v>19698</v>
      </c>
      <c r="C211" s="252" t="s">
        <v>19699</v>
      </c>
      <c r="D211" s="252" t="s">
        <v>844</v>
      </c>
      <c r="E211" s="253">
        <v>6.3</v>
      </c>
      <c r="F211" s="252" t="s">
        <v>843</v>
      </c>
      <c r="G211" s="252" t="s">
        <v>640</v>
      </c>
      <c r="H211" s="254" t="s">
        <v>19700</v>
      </c>
    </row>
    <row r="212" spans="1:8" ht="14.25" customHeight="1" x14ac:dyDescent="0.25">
      <c r="A212" s="252" t="s">
        <v>19695</v>
      </c>
      <c r="B212" s="252" t="s">
        <v>19701</v>
      </c>
      <c r="C212" s="252" t="s">
        <v>19702</v>
      </c>
      <c r="D212" s="252" t="s">
        <v>782</v>
      </c>
      <c r="E212" s="253">
        <v>48</v>
      </c>
      <c r="F212" s="252" t="s">
        <v>781</v>
      </c>
      <c r="G212" s="252" t="s">
        <v>640</v>
      </c>
      <c r="H212" s="254">
        <v>11764</v>
      </c>
    </row>
    <row r="213" spans="1:8" ht="14.25" customHeight="1" x14ac:dyDescent="0.25">
      <c r="A213" s="252" t="s">
        <v>19695</v>
      </c>
      <c r="B213" s="252" t="s">
        <v>19703</v>
      </c>
      <c r="C213" s="252" t="s">
        <v>19704</v>
      </c>
      <c r="D213" s="252" t="s">
        <v>1040</v>
      </c>
      <c r="E213" s="253">
        <v>4.76</v>
      </c>
      <c r="F213" s="252" t="s">
        <v>1039</v>
      </c>
      <c r="G213" s="252" t="s">
        <v>640</v>
      </c>
      <c r="H213" s="254">
        <v>11765</v>
      </c>
    </row>
    <row r="214" spans="1:8" ht="14.25" customHeight="1" x14ac:dyDescent="0.25">
      <c r="A214" s="252" t="s">
        <v>19695</v>
      </c>
      <c r="B214" s="252" t="s">
        <v>19705</v>
      </c>
      <c r="C214" s="252" t="s">
        <v>19706</v>
      </c>
      <c r="D214" s="252" t="s">
        <v>13575</v>
      </c>
      <c r="E214" s="253">
        <v>4.04</v>
      </c>
      <c r="F214" s="252" t="s">
        <v>13574</v>
      </c>
      <c r="G214" s="252" t="s">
        <v>640</v>
      </c>
      <c r="H214" s="254">
        <v>11766</v>
      </c>
    </row>
    <row r="215" spans="1:8" ht="14.25" customHeight="1" x14ac:dyDescent="0.25">
      <c r="A215" s="252" t="s">
        <v>19695</v>
      </c>
      <c r="B215" s="252" t="s">
        <v>14030</v>
      </c>
      <c r="C215" s="252" t="s">
        <v>19707</v>
      </c>
      <c r="D215" s="252" t="s">
        <v>5831</v>
      </c>
      <c r="E215" s="253">
        <v>5.49</v>
      </c>
      <c r="F215" s="252" t="s">
        <v>5832</v>
      </c>
      <c r="G215" s="252" t="s">
        <v>640</v>
      </c>
      <c r="H215" s="254">
        <v>11767</v>
      </c>
    </row>
    <row r="216" spans="1:8" ht="14.25" customHeight="1" x14ac:dyDescent="0.25">
      <c r="A216" s="252" t="s">
        <v>19695</v>
      </c>
      <c r="B216" s="252" t="s">
        <v>19708</v>
      </c>
      <c r="C216" s="252" t="s">
        <v>19709</v>
      </c>
      <c r="D216" s="252" t="s">
        <v>4729</v>
      </c>
      <c r="E216" s="253">
        <v>5.1100000000000003</v>
      </c>
      <c r="F216" s="252" t="s">
        <v>4730</v>
      </c>
      <c r="G216" s="252" t="s">
        <v>640</v>
      </c>
      <c r="H216" s="254">
        <v>11768</v>
      </c>
    </row>
    <row r="217" spans="1:8" ht="14.25" customHeight="1" x14ac:dyDescent="0.25">
      <c r="A217" s="252" t="s">
        <v>19695</v>
      </c>
      <c r="B217" s="252" t="s">
        <v>19710</v>
      </c>
      <c r="C217" s="252" t="s">
        <v>19711</v>
      </c>
      <c r="D217" s="252" t="s">
        <v>10604</v>
      </c>
      <c r="E217" s="253">
        <v>2.02</v>
      </c>
      <c r="F217" s="252" t="s">
        <v>10603</v>
      </c>
      <c r="G217" s="252" t="s">
        <v>640</v>
      </c>
      <c r="H217" s="254">
        <v>11769</v>
      </c>
    </row>
    <row r="218" spans="1:8" ht="14.25" customHeight="1" x14ac:dyDescent="0.25">
      <c r="A218" s="252" t="s">
        <v>19695</v>
      </c>
      <c r="B218" s="252" t="s">
        <v>13833</v>
      </c>
      <c r="C218" s="252" t="s">
        <v>19712</v>
      </c>
      <c r="D218" s="252" t="s">
        <v>4874</v>
      </c>
      <c r="E218" s="253">
        <v>8.3800000000000008</v>
      </c>
      <c r="F218" s="252" t="s">
        <v>4875</v>
      </c>
      <c r="G218" s="252" t="s">
        <v>640</v>
      </c>
      <c r="H218" s="254">
        <v>11770</v>
      </c>
    </row>
    <row r="219" spans="1:8" ht="14.25" customHeight="1" x14ac:dyDescent="0.25">
      <c r="A219" s="252" t="s">
        <v>19695</v>
      </c>
      <c r="B219" s="252" t="s">
        <v>19713</v>
      </c>
      <c r="C219" s="252" t="s">
        <v>19714</v>
      </c>
      <c r="D219" s="252" t="s">
        <v>4527</v>
      </c>
      <c r="E219" s="253">
        <v>2.8</v>
      </c>
      <c r="F219" s="252" t="s">
        <v>4528</v>
      </c>
      <c r="G219" s="252" t="s">
        <v>640</v>
      </c>
      <c r="H219" s="254">
        <v>11771</v>
      </c>
    </row>
    <row r="220" spans="1:8" ht="14.25" customHeight="1" x14ac:dyDescent="0.25">
      <c r="A220" s="252" t="s">
        <v>19695</v>
      </c>
      <c r="B220" s="252" t="s">
        <v>19715</v>
      </c>
      <c r="C220" s="252" t="s">
        <v>19716</v>
      </c>
      <c r="D220" s="252" t="s">
        <v>646</v>
      </c>
      <c r="E220" s="253">
        <v>8.98</v>
      </c>
      <c r="F220" s="252" t="s">
        <v>645</v>
      </c>
      <c r="G220" s="252" t="s">
        <v>640</v>
      </c>
      <c r="H220" s="254">
        <v>11772</v>
      </c>
    </row>
    <row r="221" spans="1:8" ht="14.25" customHeight="1" x14ac:dyDescent="0.25">
      <c r="A221" s="252" t="s">
        <v>19695</v>
      </c>
      <c r="B221" s="252" t="s">
        <v>19717</v>
      </c>
      <c r="C221" s="252" t="s">
        <v>19718</v>
      </c>
      <c r="D221" s="252" t="s">
        <v>1154</v>
      </c>
      <c r="E221" s="253">
        <v>21.88</v>
      </c>
      <c r="F221" s="252" t="s">
        <v>1153</v>
      </c>
      <c r="G221" s="252" t="s">
        <v>640</v>
      </c>
      <c r="H221" s="254">
        <v>11773</v>
      </c>
    </row>
    <row r="222" spans="1:8" ht="14.25" customHeight="1" x14ac:dyDescent="0.25">
      <c r="A222" s="252"/>
      <c r="B222" s="252"/>
      <c r="C222" s="255" t="s">
        <v>3578</v>
      </c>
      <c r="D222" s="252"/>
      <c r="E222" s="258">
        <f>SUM(E210:E221)</f>
        <v>122.62999999999998</v>
      </c>
      <c r="F222" s="252"/>
      <c r="G222" s="252"/>
      <c r="H222" s="254"/>
    </row>
    <row r="223" spans="1:8" ht="14.25" customHeight="1" x14ac:dyDescent="0.25">
      <c r="A223" s="252" t="s">
        <v>19719</v>
      </c>
      <c r="B223" s="252" t="s">
        <v>19720</v>
      </c>
      <c r="C223" s="252" t="s">
        <v>19721</v>
      </c>
      <c r="D223" s="252" t="s">
        <v>10753</v>
      </c>
      <c r="E223" s="253">
        <v>5.04</v>
      </c>
      <c r="F223" s="252" t="s">
        <v>10752</v>
      </c>
      <c r="G223" s="252" t="s">
        <v>640</v>
      </c>
      <c r="H223" s="254">
        <v>11797</v>
      </c>
    </row>
    <row r="224" spans="1:8" ht="14.25" customHeight="1" x14ac:dyDescent="0.25">
      <c r="A224" s="252" t="s">
        <v>19719</v>
      </c>
      <c r="B224" s="252" t="s">
        <v>19722</v>
      </c>
      <c r="C224" s="252" t="s">
        <v>19723</v>
      </c>
      <c r="D224" s="252" t="s">
        <v>13640</v>
      </c>
      <c r="E224" s="253">
        <v>45.18</v>
      </c>
      <c r="F224" s="252" t="s">
        <v>13639</v>
      </c>
      <c r="G224" s="252" t="s">
        <v>640</v>
      </c>
      <c r="H224" s="254">
        <v>11798</v>
      </c>
    </row>
    <row r="225" spans="1:8" ht="14.25" customHeight="1" x14ac:dyDescent="0.25">
      <c r="A225" s="252" t="s">
        <v>19719</v>
      </c>
      <c r="B225" s="252" t="s">
        <v>19724</v>
      </c>
      <c r="C225" s="252" t="s">
        <v>19725</v>
      </c>
      <c r="D225" s="252" t="s">
        <v>6066</v>
      </c>
      <c r="E225" s="253">
        <v>9.56</v>
      </c>
      <c r="F225" s="252" t="s">
        <v>6067</v>
      </c>
      <c r="G225" s="252" t="s">
        <v>640</v>
      </c>
      <c r="H225" s="254">
        <v>11799</v>
      </c>
    </row>
    <row r="226" spans="1:8" ht="14.25" customHeight="1" x14ac:dyDescent="0.25">
      <c r="A226" s="252" t="s">
        <v>19719</v>
      </c>
      <c r="B226" s="252" t="s">
        <v>11377</v>
      </c>
      <c r="C226" s="252" t="s">
        <v>19726</v>
      </c>
      <c r="D226" s="252" t="s">
        <v>1335</v>
      </c>
      <c r="E226" s="253">
        <v>2.5099999999999998</v>
      </c>
      <c r="F226" s="252" t="s">
        <v>1334</v>
      </c>
      <c r="G226" s="252" t="s">
        <v>640</v>
      </c>
      <c r="H226" s="254" t="s">
        <v>19727</v>
      </c>
    </row>
    <row r="227" spans="1:8" ht="14.25" customHeight="1" x14ac:dyDescent="0.25">
      <c r="A227" s="252" t="s">
        <v>19719</v>
      </c>
      <c r="B227" s="252" t="s">
        <v>19728</v>
      </c>
      <c r="C227" s="252" t="s">
        <v>19729</v>
      </c>
      <c r="D227" s="252" t="s">
        <v>19730</v>
      </c>
      <c r="E227" s="253">
        <v>0.4</v>
      </c>
      <c r="F227" s="252" t="s">
        <v>19731</v>
      </c>
      <c r="G227" s="252" t="s">
        <v>640</v>
      </c>
      <c r="H227" s="254">
        <v>11800</v>
      </c>
    </row>
    <row r="228" spans="1:8" ht="14.25" customHeight="1" x14ac:dyDescent="0.25">
      <c r="A228" s="252" t="s">
        <v>19719</v>
      </c>
      <c r="B228" s="252" t="s">
        <v>19732</v>
      </c>
      <c r="C228" s="252" t="s">
        <v>19733</v>
      </c>
      <c r="D228" s="252" t="s">
        <v>19734</v>
      </c>
      <c r="E228" s="253">
        <v>5.79</v>
      </c>
      <c r="F228" s="252" t="s">
        <v>19735</v>
      </c>
      <c r="G228" s="252" t="s">
        <v>640</v>
      </c>
      <c r="H228" s="254">
        <v>11801</v>
      </c>
    </row>
    <row r="229" spans="1:8" ht="14.25" customHeight="1" x14ac:dyDescent="0.25">
      <c r="A229" s="252" t="s">
        <v>19719</v>
      </c>
      <c r="B229" s="252" t="s">
        <v>19736</v>
      </c>
      <c r="C229" s="252" t="s">
        <v>19737</v>
      </c>
      <c r="D229" s="252" t="s">
        <v>825</v>
      </c>
      <c r="E229" s="253">
        <v>7.77</v>
      </c>
      <c r="F229" s="252" t="s">
        <v>824</v>
      </c>
      <c r="G229" s="252" t="s">
        <v>640</v>
      </c>
      <c r="H229" s="254">
        <v>11802</v>
      </c>
    </row>
    <row r="230" spans="1:8" ht="14.25" customHeight="1" x14ac:dyDescent="0.25">
      <c r="A230" s="252" t="s">
        <v>19719</v>
      </c>
      <c r="B230" s="252" t="s">
        <v>19738</v>
      </c>
      <c r="C230" s="252" t="s">
        <v>19739</v>
      </c>
      <c r="D230" s="252" t="s">
        <v>761</v>
      </c>
      <c r="E230" s="253">
        <v>1.68</v>
      </c>
      <c r="F230" s="252" t="s">
        <v>760</v>
      </c>
      <c r="G230" s="252" t="s">
        <v>640</v>
      </c>
      <c r="H230" s="254">
        <v>11803</v>
      </c>
    </row>
    <row r="231" spans="1:8" ht="14.25" customHeight="1" x14ac:dyDescent="0.25">
      <c r="A231" s="252" t="s">
        <v>19719</v>
      </c>
      <c r="B231" s="252" t="s">
        <v>19740</v>
      </c>
      <c r="C231" s="252" t="s">
        <v>19741</v>
      </c>
      <c r="D231" s="252" t="s">
        <v>4015</v>
      </c>
      <c r="E231" s="253">
        <v>5.21</v>
      </c>
      <c r="F231" s="252" t="s">
        <v>4016</v>
      </c>
      <c r="G231" s="252" t="s">
        <v>640</v>
      </c>
      <c r="H231" s="254" t="s">
        <v>19742</v>
      </c>
    </row>
    <row r="232" spans="1:8" ht="14.25" customHeight="1" x14ac:dyDescent="0.25">
      <c r="A232" s="252" t="s">
        <v>19719</v>
      </c>
      <c r="B232" s="252" t="s">
        <v>19743</v>
      </c>
      <c r="C232" s="252" t="s">
        <v>19744</v>
      </c>
      <c r="D232" s="252" t="s">
        <v>765</v>
      </c>
      <c r="E232" s="253">
        <v>1.72</v>
      </c>
      <c r="F232" s="252" t="s">
        <v>764</v>
      </c>
      <c r="G232" s="252" t="s">
        <v>640</v>
      </c>
      <c r="H232" s="254">
        <v>11804</v>
      </c>
    </row>
    <row r="233" spans="1:8" ht="14.25" customHeight="1" x14ac:dyDescent="0.25">
      <c r="A233" s="252" t="s">
        <v>19719</v>
      </c>
      <c r="B233" s="252" t="s">
        <v>19745</v>
      </c>
      <c r="C233" s="252" t="s">
        <v>19746</v>
      </c>
      <c r="D233" s="252" t="s">
        <v>19747</v>
      </c>
      <c r="E233" s="253">
        <v>5.25</v>
      </c>
      <c r="F233" s="252" t="s">
        <v>19748</v>
      </c>
      <c r="G233" s="252" t="s">
        <v>640</v>
      </c>
      <c r="H233" s="254">
        <v>11805</v>
      </c>
    </row>
    <row r="234" spans="1:8" ht="14.25" customHeight="1" x14ac:dyDescent="0.25">
      <c r="A234" s="252" t="s">
        <v>19719</v>
      </c>
      <c r="B234" s="252" t="s">
        <v>19749</v>
      </c>
      <c r="C234" s="252" t="s">
        <v>19750</v>
      </c>
      <c r="D234" s="252" t="s">
        <v>15954</v>
      </c>
      <c r="E234" s="253">
        <v>3.02</v>
      </c>
      <c r="F234" s="252" t="s">
        <v>15953</v>
      </c>
      <c r="G234" s="252" t="s">
        <v>640</v>
      </c>
      <c r="H234" s="254">
        <v>11806</v>
      </c>
    </row>
    <row r="235" spans="1:8" ht="14.25" customHeight="1" x14ac:dyDescent="0.25">
      <c r="A235" s="252" t="s">
        <v>19719</v>
      </c>
      <c r="B235" s="252" t="s">
        <v>19751</v>
      </c>
      <c r="C235" s="252" t="s">
        <v>19752</v>
      </c>
      <c r="D235" s="252" t="s">
        <v>6027</v>
      </c>
      <c r="E235" s="253">
        <v>3.37</v>
      </c>
      <c r="F235" s="252" t="s">
        <v>6028</v>
      </c>
      <c r="G235" s="252" t="s">
        <v>640</v>
      </c>
      <c r="H235" s="254">
        <v>11807</v>
      </c>
    </row>
    <row r="236" spans="1:8" ht="14.25" customHeight="1" x14ac:dyDescent="0.25">
      <c r="A236" s="252" t="s">
        <v>19719</v>
      </c>
      <c r="B236" s="252" t="s">
        <v>19753</v>
      </c>
      <c r="C236" s="252" t="s">
        <v>19754</v>
      </c>
      <c r="D236" s="252" t="s">
        <v>1375</v>
      </c>
      <c r="E236" s="253">
        <v>2.16</v>
      </c>
      <c r="F236" s="252" t="s">
        <v>1374</v>
      </c>
      <c r="G236" s="252" t="s">
        <v>640</v>
      </c>
      <c r="H236" s="254">
        <v>11808</v>
      </c>
    </row>
    <row r="237" spans="1:8" ht="14.25" customHeight="1" x14ac:dyDescent="0.25">
      <c r="A237" s="252" t="s">
        <v>19719</v>
      </c>
      <c r="B237" s="252" t="s">
        <v>5676</v>
      </c>
      <c r="C237" s="252" t="s">
        <v>19755</v>
      </c>
      <c r="D237" s="252" t="s">
        <v>817</v>
      </c>
      <c r="E237" s="253">
        <v>5.04</v>
      </c>
      <c r="F237" s="252" t="s">
        <v>815</v>
      </c>
      <c r="G237" s="252" t="s">
        <v>640</v>
      </c>
      <c r="H237" s="254">
        <v>11809</v>
      </c>
    </row>
    <row r="238" spans="1:8" ht="14.25" customHeight="1" x14ac:dyDescent="0.25">
      <c r="A238" s="252" t="s">
        <v>19719</v>
      </c>
      <c r="B238" s="252" t="s">
        <v>19756</v>
      </c>
      <c r="C238" s="252" t="s">
        <v>19757</v>
      </c>
      <c r="D238" s="252" t="s">
        <v>15958</v>
      </c>
      <c r="E238" s="253">
        <v>1.94</v>
      </c>
      <c r="F238" s="252" t="s">
        <v>15957</v>
      </c>
      <c r="G238" s="252" t="s">
        <v>640</v>
      </c>
      <c r="H238" s="254">
        <v>11810</v>
      </c>
    </row>
    <row r="239" spans="1:8" ht="14.25" customHeight="1" x14ac:dyDescent="0.25">
      <c r="A239" s="252" t="s">
        <v>19719</v>
      </c>
      <c r="B239" s="252" t="s">
        <v>19758</v>
      </c>
      <c r="C239" s="252" t="s">
        <v>19759</v>
      </c>
      <c r="D239" s="252" t="s">
        <v>865</v>
      </c>
      <c r="E239" s="253">
        <v>4.1900000000000004</v>
      </c>
      <c r="F239" s="252" t="s">
        <v>864</v>
      </c>
      <c r="G239" s="252" t="s">
        <v>640</v>
      </c>
      <c r="H239" s="254">
        <v>11811</v>
      </c>
    </row>
    <row r="240" spans="1:8" ht="14.25" customHeight="1" x14ac:dyDescent="0.25">
      <c r="A240" s="252" t="s">
        <v>19719</v>
      </c>
      <c r="B240" s="252" t="s">
        <v>19760</v>
      </c>
      <c r="C240" s="252" t="s">
        <v>19761</v>
      </c>
      <c r="D240" s="252" t="s">
        <v>16666</v>
      </c>
      <c r="E240" s="253">
        <v>2.2599999999999998</v>
      </c>
      <c r="F240" s="252" t="s">
        <v>16665</v>
      </c>
      <c r="G240" s="252" t="s">
        <v>640</v>
      </c>
      <c r="H240" s="254">
        <v>11812</v>
      </c>
    </row>
    <row r="241" spans="1:8" ht="14.25" customHeight="1" x14ac:dyDescent="0.25">
      <c r="A241" s="252" t="s">
        <v>19719</v>
      </c>
      <c r="B241" s="252" t="s">
        <v>19762</v>
      </c>
      <c r="C241" s="252" t="s">
        <v>19763</v>
      </c>
      <c r="D241" s="252" t="s">
        <v>4367</v>
      </c>
      <c r="E241" s="253">
        <v>2.27</v>
      </c>
      <c r="F241" s="252" t="s">
        <v>4368</v>
      </c>
      <c r="G241" s="252" t="s">
        <v>640</v>
      </c>
      <c r="H241" s="254">
        <v>11813</v>
      </c>
    </row>
    <row r="242" spans="1:8" ht="14.25" customHeight="1" x14ac:dyDescent="0.25">
      <c r="A242" s="252" t="s">
        <v>19719</v>
      </c>
      <c r="B242" s="252" t="s">
        <v>6050</v>
      </c>
      <c r="C242" s="252" t="s">
        <v>19764</v>
      </c>
      <c r="D242" s="252" t="s">
        <v>19765</v>
      </c>
      <c r="E242" s="253">
        <v>5.47</v>
      </c>
      <c r="F242" s="252" t="s">
        <v>19766</v>
      </c>
      <c r="G242" s="252" t="s">
        <v>640</v>
      </c>
      <c r="H242" s="254">
        <v>11814</v>
      </c>
    </row>
    <row r="243" spans="1:8" ht="14.25" customHeight="1" x14ac:dyDescent="0.25">
      <c r="A243" s="252" t="s">
        <v>19719</v>
      </c>
      <c r="B243" s="252" t="s">
        <v>19767</v>
      </c>
      <c r="C243" s="252" t="s">
        <v>19768</v>
      </c>
      <c r="D243" s="252" t="s">
        <v>840</v>
      </c>
      <c r="E243" s="253">
        <v>1.79</v>
      </c>
      <c r="F243" s="252" t="s">
        <v>839</v>
      </c>
      <c r="G243" s="252" t="s">
        <v>640</v>
      </c>
      <c r="H243" s="254">
        <v>11815</v>
      </c>
    </row>
    <row r="244" spans="1:8" ht="14.25" customHeight="1" x14ac:dyDescent="0.25">
      <c r="A244" s="252"/>
      <c r="B244" s="252"/>
      <c r="C244" s="255" t="s">
        <v>3579</v>
      </c>
      <c r="D244" s="252"/>
      <c r="E244" s="258">
        <f>SUM(E223:E243)</f>
        <v>121.62</v>
      </c>
      <c r="F244" s="252"/>
      <c r="G244" s="252"/>
      <c r="H244" s="254"/>
    </row>
    <row r="245" spans="1:8" ht="14.25" customHeight="1" x14ac:dyDescent="0.25">
      <c r="A245" s="252" t="s">
        <v>19769</v>
      </c>
      <c r="B245" s="252" t="s">
        <v>19770</v>
      </c>
      <c r="C245" s="252" t="s">
        <v>19771</v>
      </c>
      <c r="D245" s="252" t="s">
        <v>10958</v>
      </c>
      <c r="E245" s="253">
        <v>5.04</v>
      </c>
      <c r="F245" s="252" t="s">
        <v>10957</v>
      </c>
      <c r="G245" s="252" t="s">
        <v>640</v>
      </c>
      <c r="H245" s="254">
        <v>11816</v>
      </c>
    </row>
    <row r="246" spans="1:8" ht="14.25" customHeight="1" x14ac:dyDescent="0.25">
      <c r="A246" s="252" t="s">
        <v>19769</v>
      </c>
      <c r="B246" s="252" t="s">
        <v>19772</v>
      </c>
      <c r="C246" s="252" t="s">
        <v>19773</v>
      </c>
      <c r="D246" s="252" t="s">
        <v>10542</v>
      </c>
      <c r="E246" s="253">
        <v>2.12</v>
      </c>
      <c r="F246" s="252" t="s">
        <v>10541</v>
      </c>
      <c r="G246" s="252" t="s">
        <v>640</v>
      </c>
      <c r="H246" s="254">
        <v>11817</v>
      </c>
    </row>
    <row r="247" spans="1:8" ht="14.25" customHeight="1" x14ac:dyDescent="0.25">
      <c r="A247" s="252" t="s">
        <v>19769</v>
      </c>
      <c r="B247" s="252" t="s">
        <v>19774</v>
      </c>
      <c r="C247" s="252" t="s">
        <v>19775</v>
      </c>
      <c r="D247" s="252" t="s">
        <v>19776</v>
      </c>
      <c r="E247" s="253">
        <v>0.39</v>
      </c>
      <c r="F247" s="252" t="s">
        <v>19777</v>
      </c>
      <c r="G247" s="252" t="s">
        <v>640</v>
      </c>
      <c r="H247" s="254">
        <v>11818</v>
      </c>
    </row>
    <row r="248" spans="1:8" ht="14.25" customHeight="1" x14ac:dyDescent="0.25">
      <c r="A248" s="252" t="s">
        <v>19769</v>
      </c>
      <c r="B248" s="252" t="s">
        <v>19778</v>
      </c>
      <c r="C248" s="252" t="s">
        <v>19779</v>
      </c>
      <c r="D248" s="252" t="s">
        <v>962</v>
      </c>
      <c r="E248" s="253">
        <v>5.97</v>
      </c>
      <c r="F248" s="252" t="s">
        <v>961</v>
      </c>
      <c r="G248" s="252" t="s">
        <v>640</v>
      </c>
      <c r="H248" s="254">
        <v>11819</v>
      </c>
    </row>
    <row r="249" spans="1:8" ht="14.25" customHeight="1" x14ac:dyDescent="0.25">
      <c r="A249" s="252" t="s">
        <v>19769</v>
      </c>
      <c r="B249" s="252" t="s">
        <v>6045</v>
      </c>
      <c r="C249" s="252" t="s">
        <v>19780</v>
      </c>
      <c r="D249" s="252" t="s">
        <v>4797</v>
      </c>
      <c r="E249" s="253">
        <v>7.22</v>
      </c>
      <c r="F249" s="252" t="s">
        <v>4798</v>
      </c>
      <c r="G249" s="252" t="s">
        <v>640</v>
      </c>
      <c r="H249" s="254">
        <v>11820</v>
      </c>
    </row>
    <row r="250" spans="1:8" ht="14.25" customHeight="1" x14ac:dyDescent="0.25">
      <c r="A250" s="252" t="s">
        <v>19769</v>
      </c>
      <c r="B250" s="252" t="s">
        <v>19781</v>
      </c>
      <c r="C250" s="252" t="s">
        <v>19782</v>
      </c>
      <c r="D250" s="252" t="s">
        <v>3993</v>
      </c>
      <c r="E250" s="253">
        <v>1.68</v>
      </c>
      <c r="F250" s="252" t="s">
        <v>3994</v>
      </c>
      <c r="G250" s="252" t="s">
        <v>640</v>
      </c>
      <c r="H250" s="254">
        <v>11821</v>
      </c>
    </row>
    <row r="251" spans="1:8" ht="14.25" customHeight="1" x14ac:dyDescent="0.25">
      <c r="A251" s="252" t="s">
        <v>19769</v>
      </c>
      <c r="B251" s="252" t="s">
        <v>16211</v>
      </c>
      <c r="C251" s="252" t="s">
        <v>19783</v>
      </c>
      <c r="D251" s="252" t="s">
        <v>16109</v>
      </c>
      <c r="E251" s="253">
        <v>3.36</v>
      </c>
      <c r="F251" s="252" t="s">
        <v>16108</v>
      </c>
      <c r="G251" s="252" t="s">
        <v>640</v>
      </c>
      <c r="H251" s="254">
        <v>11822</v>
      </c>
    </row>
    <row r="252" spans="1:8" ht="14.25" customHeight="1" x14ac:dyDescent="0.25">
      <c r="A252" s="252" t="s">
        <v>19769</v>
      </c>
      <c r="B252" s="252" t="s">
        <v>19784</v>
      </c>
      <c r="C252" s="252" t="s">
        <v>19785</v>
      </c>
      <c r="D252" s="252" t="s">
        <v>13516</v>
      </c>
      <c r="E252" s="253">
        <v>4.08</v>
      </c>
      <c r="F252" s="252" t="s">
        <v>13515</v>
      </c>
      <c r="G252" s="252" t="s">
        <v>640</v>
      </c>
      <c r="H252" s="254">
        <v>11823</v>
      </c>
    </row>
    <row r="253" spans="1:8" ht="14.25" customHeight="1" x14ac:dyDescent="0.25">
      <c r="A253" s="252" t="s">
        <v>19769</v>
      </c>
      <c r="B253" s="252" t="s">
        <v>2896</v>
      </c>
      <c r="C253" s="252" t="s">
        <v>19786</v>
      </c>
      <c r="D253" s="252" t="s">
        <v>1036</v>
      </c>
      <c r="E253" s="253">
        <v>1.97</v>
      </c>
      <c r="F253" s="252" t="s">
        <v>1035</v>
      </c>
      <c r="G253" s="252" t="s">
        <v>640</v>
      </c>
      <c r="H253" s="254">
        <v>11824</v>
      </c>
    </row>
    <row r="254" spans="1:8" ht="14.25" customHeight="1" x14ac:dyDescent="0.25">
      <c r="A254" s="252" t="s">
        <v>19769</v>
      </c>
      <c r="B254" s="252" t="s">
        <v>19787</v>
      </c>
      <c r="C254" s="252" t="s">
        <v>19788</v>
      </c>
      <c r="D254" s="252" t="s">
        <v>4357</v>
      </c>
      <c r="E254" s="253">
        <v>10.77</v>
      </c>
      <c r="F254" s="252" t="s">
        <v>4358</v>
      </c>
      <c r="G254" s="252" t="s">
        <v>640</v>
      </c>
      <c r="H254" s="254">
        <v>11825</v>
      </c>
    </row>
    <row r="255" spans="1:8" ht="14.25" customHeight="1" x14ac:dyDescent="0.25">
      <c r="A255" s="252" t="s">
        <v>19769</v>
      </c>
      <c r="B255" s="252" t="s">
        <v>19789</v>
      </c>
      <c r="C255" s="252" t="s">
        <v>19790</v>
      </c>
      <c r="D255" s="252" t="s">
        <v>1439</v>
      </c>
      <c r="E255" s="253">
        <v>9.09</v>
      </c>
      <c r="F255" s="252" t="s">
        <v>1438</v>
      </c>
      <c r="G255" s="252" t="s">
        <v>640</v>
      </c>
      <c r="H255" s="254">
        <v>11826</v>
      </c>
    </row>
    <row r="256" spans="1:8" ht="14.25" customHeight="1" x14ac:dyDescent="0.25">
      <c r="A256" s="252"/>
      <c r="B256" s="252"/>
      <c r="C256" s="255" t="s">
        <v>3579</v>
      </c>
      <c r="D256" s="252"/>
      <c r="E256" s="258">
        <f>SUM(E245:E255)</f>
        <v>51.69</v>
      </c>
      <c r="F256" s="252"/>
      <c r="G256" s="252"/>
      <c r="H256" s="254"/>
    </row>
    <row r="257" spans="1:8" ht="14.25" customHeight="1" x14ac:dyDescent="0.25">
      <c r="A257" s="252" t="s">
        <v>19791</v>
      </c>
      <c r="B257" s="252" t="s">
        <v>19792</v>
      </c>
      <c r="C257" s="252" t="s">
        <v>19793</v>
      </c>
      <c r="D257" s="252" t="s">
        <v>19794</v>
      </c>
      <c r="E257" s="253">
        <v>2.04</v>
      </c>
      <c r="F257" s="252" t="s">
        <v>19795</v>
      </c>
      <c r="G257" s="252" t="s">
        <v>640</v>
      </c>
      <c r="H257" s="254">
        <v>11827</v>
      </c>
    </row>
    <row r="258" spans="1:8" ht="14.25" customHeight="1" x14ac:dyDescent="0.25">
      <c r="A258" s="252" t="s">
        <v>19791</v>
      </c>
      <c r="B258" s="252" t="s">
        <v>19796</v>
      </c>
      <c r="C258" s="252" t="s">
        <v>19797</v>
      </c>
      <c r="D258" s="252" t="s">
        <v>19798</v>
      </c>
      <c r="E258" s="253">
        <v>5.1100000000000003</v>
      </c>
      <c r="F258" s="252" t="s">
        <v>19799</v>
      </c>
      <c r="G258" s="252" t="s">
        <v>640</v>
      </c>
      <c r="H258" s="254">
        <v>11828</v>
      </c>
    </row>
    <row r="259" spans="1:8" ht="14.25" customHeight="1" x14ac:dyDescent="0.25">
      <c r="A259" s="252" t="s">
        <v>19791</v>
      </c>
      <c r="B259" s="252" t="s">
        <v>19800</v>
      </c>
      <c r="C259" s="252" t="s">
        <v>19801</v>
      </c>
      <c r="D259" s="252" t="s">
        <v>5722</v>
      </c>
      <c r="E259" s="253">
        <v>5.45</v>
      </c>
      <c r="F259" s="252" t="s">
        <v>5723</v>
      </c>
      <c r="G259" s="252" t="s">
        <v>640</v>
      </c>
      <c r="H259" s="254">
        <v>11829</v>
      </c>
    </row>
    <row r="260" spans="1:8" ht="14.25" customHeight="1" x14ac:dyDescent="0.25">
      <c r="A260" s="252"/>
      <c r="B260" s="252"/>
      <c r="C260" s="255" t="s">
        <v>3579</v>
      </c>
      <c r="D260" s="252"/>
      <c r="E260" s="258">
        <f>SUM(E257:E259)</f>
        <v>12.600000000000001</v>
      </c>
      <c r="F260" s="252"/>
      <c r="G260" s="252"/>
      <c r="H260" s="254"/>
    </row>
    <row r="261" spans="1:8" ht="14.25" customHeight="1" x14ac:dyDescent="0.25">
      <c r="A261" s="252" t="s">
        <v>19802</v>
      </c>
      <c r="B261" s="252" t="s">
        <v>19803</v>
      </c>
      <c r="C261" s="252" t="s">
        <v>19804</v>
      </c>
      <c r="D261" s="252" t="s">
        <v>987</v>
      </c>
      <c r="E261" s="253">
        <v>3.9</v>
      </c>
      <c r="F261" s="252" t="s">
        <v>986</v>
      </c>
      <c r="G261" s="252" t="s">
        <v>640</v>
      </c>
      <c r="H261" s="254">
        <v>11899</v>
      </c>
    </row>
    <row r="262" spans="1:8" ht="14.25" customHeight="1" x14ac:dyDescent="0.25">
      <c r="A262" s="252" t="s">
        <v>19802</v>
      </c>
      <c r="B262" s="252" t="s">
        <v>19805</v>
      </c>
      <c r="C262" s="252" t="s">
        <v>19806</v>
      </c>
      <c r="D262" s="252" t="s">
        <v>896</v>
      </c>
      <c r="E262" s="253">
        <v>8.4600000000000009</v>
      </c>
      <c r="F262" s="252" t="s">
        <v>895</v>
      </c>
      <c r="G262" s="252" t="s">
        <v>640</v>
      </c>
      <c r="H262" s="254" t="s">
        <v>19807</v>
      </c>
    </row>
    <row r="263" spans="1:8" ht="14.25" customHeight="1" x14ac:dyDescent="0.25">
      <c r="A263" s="252" t="s">
        <v>19802</v>
      </c>
      <c r="B263" s="252" t="s">
        <v>19808</v>
      </c>
      <c r="C263" s="252" t="s">
        <v>19809</v>
      </c>
      <c r="D263" s="252" t="s">
        <v>1009</v>
      </c>
      <c r="E263" s="253">
        <v>1.68</v>
      </c>
      <c r="F263" s="252" t="s">
        <v>1008</v>
      </c>
      <c r="G263" s="252" t="s">
        <v>640</v>
      </c>
      <c r="H263" s="254">
        <v>11900</v>
      </c>
    </row>
    <row r="264" spans="1:8" ht="14.25" customHeight="1" x14ac:dyDescent="0.25">
      <c r="A264" s="252" t="s">
        <v>19802</v>
      </c>
      <c r="B264" s="252" t="s">
        <v>19810</v>
      </c>
      <c r="C264" s="252" t="s">
        <v>19811</v>
      </c>
      <c r="D264" s="252" t="s">
        <v>1038</v>
      </c>
      <c r="E264" s="253">
        <v>8.2899999999999991</v>
      </c>
      <c r="F264" s="252" t="s">
        <v>1037</v>
      </c>
      <c r="G264" s="252" t="s">
        <v>640</v>
      </c>
      <c r="H264" s="254">
        <v>11901</v>
      </c>
    </row>
    <row r="265" spans="1:8" ht="14.25" customHeight="1" x14ac:dyDescent="0.25">
      <c r="A265" s="252" t="s">
        <v>19802</v>
      </c>
      <c r="B265" s="252" t="s">
        <v>19812</v>
      </c>
      <c r="C265" s="252" t="s">
        <v>19813</v>
      </c>
      <c r="D265" s="252" t="s">
        <v>1275</v>
      </c>
      <c r="E265" s="253">
        <v>8.49</v>
      </c>
      <c r="F265" s="252" t="s">
        <v>1274</v>
      </c>
      <c r="G265" s="252" t="s">
        <v>640</v>
      </c>
      <c r="H265" s="254">
        <v>11902</v>
      </c>
    </row>
    <row r="266" spans="1:8" ht="14.25" customHeight="1" x14ac:dyDescent="0.25">
      <c r="A266" s="252" t="s">
        <v>19802</v>
      </c>
      <c r="B266" s="252" t="s">
        <v>19814</v>
      </c>
      <c r="C266" s="252" t="s">
        <v>19815</v>
      </c>
      <c r="D266" s="252" t="s">
        <v>3484</v>
      </c>
      <c r="E266" s="253">
        <v>11.84</v>
      </c>
      <c r="F266" s="252" t="s">
        <v>3485</v>
      </c>
      <c r="G266" s="252" t="s">
        <v>640</v>
      </c>
      <c r="H266" s="254">
        <v>11903</v>
      </c>
    </row>
    <row r="267" spans="1:8" ht="14.25" customHeight="1" x14ac:dyDescent="0.25">
      <c r="A267" s="252" t="s">
        <v>19802</v>
      </c>
      <c r="B267" s="252" t="s">
        <v>19816</v>
      </c>
      <c r="C267" s="252" t="s">
        <v>19817</v>
      </c>
      <c r="D267" s="252" t="s">
        <v>1387</v>
      </c>
      <c r="E267" s="253">
        <v>5.35</v>
      </c>
      <c r="F267" s="252" t="s">
        <v>1386</v>
      </c>
      <c r="G267" s="252" t="s">
        <v>640</v>
      </c>
      <c r="H267" s="254">
        <v>11904</v>
      </c>
    </row>
    <row r="268" spans="1:8" ht="14.25" customHeight="1" x14ac:dyDescent="0.25">
      <c r="A268" s="252" t="s">
        <v>19802</v>
      </c>
      <c r="B268" s="252" t="s">
        <v>19818</v>
      </c>
      <c r="C268" s="252" t="s">
        <v>19819</v>
      </c>
      <c r="D268" s="252" t="s">
        <v>1195</v>
      </c>
      <c r="E268" s="253">
        <v>5.21</v>
      </c>
      <c r="F268" s="252" t="s">
        <v>1194</v>
      </c>
      <c r="G268" s="252" t="s">
        <v>640</v>
      </c>
      <c r="H268" s="254">
        <v>11905</v>
      </c>
    </row>
    <row r="269" spans="1:8" ht="14.25" customHeight="1" x14ac:dyDescent="0.25">
      <c r="A269" s="252" t="s">
        <v>19802</v>
      </c>
      <c r="B269" s="252" t="s">
        <v>5975</v>
      </c>
      <c r="C269" s="252" t="s">
        <v>19820</v>
      </c>
      <c r="D269" s="252" t="s">
        <v>19821</v>
      </c>
      <c r="E269" s="253">
        <v>1.05</v>
      </c>
      <c r="F269" s="252" t="s">
        <v>19822</v>
      </c>
      <c r="G269" s="252" t="s">
        <v>640</v>
      </c>
      <c r="H269" s="254">
        <v>11906</v>
      </c>
    </row>
    <row r="270" spans="1:8" ht="14.25" customHeight="1" x14ac:dyDescent="0.25">
      <c r="A270" s="252" t="s">
        <v>19802</v>
      </c>
      <c r="B270" s="252" t="s">
        <v>19823</v>
      </c>
      <c r="C270" s="252" t="s">
        <v>19824</v>
      </c>
      <c r="D270" s="252" t="s">
        <v>838</v>
      </c>
      <c r="E270" s="253">
        <v>4.3600000000000003</v>
      </c>
      <c r="F270" s="252" t="s">
        <v>837</v>
      </c>
      <c r="G270" s="252" t="s">
        <v>640</v>
      </c>
      <c r="H270" s="254" t="s">
        <v>19825</v>
      </c>
    </row>
    <row r="271" spans="1:8" ht="14.25" customHeight="1" x14ac:dyDescent="0.25">
      <c r="A271" s="252" t="s">
        <v>19802</v>
      </c>
      <c r="B271" s="252" t="s">
        <v>19826</v>
      </c>
      <c r="C271" s="252" t="s">
        <v>19827</v>
      </c>
      <c r="D271" s="252" t="s">
        <v>19828</v>
      </c>
      <c r="E271" s="253">
        <v>1.99</v>
      </c>
      <c r="F271" s="252" t="s">
        <v>19829</v>
      </c>
      <c r="G271" s="252" t="s">
        <v>640</v>
      </c>
      <c r="H271" s="254">
        <v>11907</v>
      </c>
    </row>
    <row r="272" spans="1:8" ht="14.25" customHeight="1" x14ac:dyDescent="0.25">
      <c r="A272" s="252" t="s">
        <v>19802</v>
      </c>
      <c r="B272" s="252" t="s">
        <v>19830</v>
      </c>
      <c r="C272" s="252" t="s">
        <v>19831</v>
      </c>
      <c r="D272" s="252" t="s">
        <v>1361</v>
      </c>
      <c r="E272" s="253">
        <v>12.3</v>
      </c>
      <c r="F272" s="252" t="s">
        <v>1360</v>
      </c>
      <c r="G272" s="252" t="s">
        <v>640</v>
      </c>
      <c r="H272" s="254">
        <v>11908</v>
      </c>
    </row>
    <row r="273" spans="1:8" ht="14.25" customHeight="1" x14ac:dyDescent="0.25">
      <c r="A273" s="252" t="s">
        <v>19802</v>
      </c>
      <c r="B273" s="252" t="s">
        <v>19832</v>
      </c>
      <c r="C273" s="252" t="s">
        <v>19833</v>
      </c>
      <c r="D273" s="252" t="s">
        <v>997</v>
      </c>
      <c r="E273" s="253">
        <v>8.1199999999999992</v>
      </c>
      <c r="F273" s="252" t="s">
        <v>996</v>
      </c>
      <c r="G273" s="252" t="s">
        <v>640</v>
      </c>
      <c r="H273" s="254" t="s">
        <v>19834</v>
      </c>
    </row>
    <row r="274" spans="1:8" ht="14.25" customHeight="1" x14ac:dyDescent="0.25">
      <c r="A274" s="252" t="s">
        <v>19802</v>
      </c>
      <c r="B274" s="252" t="s">
        <v>19835</v>
      </c>
      <c r="C274" s="252" t="s">
        <v>19836</v>
      </c>
      <c r="D274" s="252" t="s">
        <v>19837</v>
      </c>
      <c r="E274" s="253">
        <v>4.08</v>
      </c>
      <c r="F274" s="252" t="s">
        <v>19838</v>
      </c>
      <c r="G274" s="252" t="s">
        <v>640</v>
      </c>
      <c r="H274" s="254">
        <v>11909</v>
      </c>
    </row>
    <row r="275" spans="1:8" ht="14.25" customHeight="1" x14ac:dyDescent="0.25">
      <c r="A275" s="252" t="s">
        <v>19802</v>
      </c>
      <c r="B275" s="252" t="s">
        <v>19839</v>
      </c>
      <c r="C275" s="252" t="s">
        <v>19840</v>
      </c>
      <c r="D275" s="252" t="s">
        <v>13381</v>
      </c>
      <c r="E275" s="253">
        <v>4.1900000000000004</v>
      </c>
      <c r="F275" s="252" t="s">
        <v>13380</v>
      </c>
      <c r="G275" s="252" t="s">
        <v>640</v>
      </c>
      <c r="H275" s="254" t="s">
        <v>19841</v>
      </c>
    </row>
    <row r="276" spans="1:8" ht="14.25" customHeight="1" x14ac:dyDescent="0.25">
      <c r="A276" s="252" t="s">
        <v>19802</v>
      </c>
      <c r="B276" s="252" t="s">
        <v>19842</v>
      </c>
      <c r="C276" s="252" t="s">
        <v>19843</v>
      </c>
      <c r="D276" s="252" t="s">
        <v>13270</v>
      </c>
      <c r="E276" s="253">
        <v>6.89</v>
      </c>
      <c r="F276" s="252" t="s">
        <v>13269</v>
      </c>
      <c r="G276" s="252" t="s">
        <v>640</v>
      </c>
      <c r="H276" s="254">
        <v>11910</v>
      </c>
    </row>
    <row r="277" spans="1:8" ht="14.25" customHeight="1" x14ac:dyDescent="0.25">
      <c r="A277" s="252" t="s">
        <v>19802</v>
      </c>
      <c r="B277" s="252" t="s">
        <v>19844</v>
      </c>
      <c r="C277" s="252" t="s">
        <v>19845</v>
      </c>
      <c r="D277" s="252" t="s">
        <v>18434</v>
      </c>
      <c r="E277" s="253">
        <v>0.09</v>
      </c>
      <c r="F277" s="252" t="s">
        <v>18433</v>
      </c>
      <c r="G277" s="252" t="s">
        <v>640</v>
      </c>
      <c r="H277" s="254">
        <v>11911</v>
      </c>
    </row>
    <row r="278" spans="1:8" ht="14.25" customHeight="1" x14ac:dyDescent="0.25">
      <c r="A278" s="252" t="s">
        <v>19802</v>
      </c>
      <c r="B278" s="252" t="s">
        <v>19846</v>
      </c>
      <c r="C278" s="252" t="s">
        <v>19847</v>
      </c>
      <c r="D278" s="252" t="s">
        <v>664</v>
      </c>
      <c r="E278" s="253">
        <v>5.92</v>
      </c>
      <c r="F278" s="252" t="s">
        <v>663</v>
      </c>
      <c r="G278" s="252" t="s">
        <v>640</v>
      </c>
      <c r="H278" s="254">
        <v>11912</v>
      </c>
    </row>
    <row r="279" spans="1:8" ht="14.25" customHeight="1" x14ac:dyDescent="0.25">
      <c r="A279" s="252" t="s">
        <v>19802</v>
      </c>
      <c r="B279" s="252" t="s">
        <v>19848</v>
      </c>
      <c r="C279" s="252" t="s">
        <v>19849</v>
      </c>
      <c r="D279" s="252" t="s">
        <v>1141</v>
      </c>
      <c r="E279" s="253">
        <v>1.77</v>
      </c>
      <c r="F279" s="252" t="s">
        <v>1140</v>
      </c>
      <c r="G279" s="252" t="s">
        <v>640</v>
      </c>
      <c r="H279" s="254">
        <v>11913</v>
      </c>
    </row>
    <row r="280" spans="1:8" ht="14.25" customHeight="1" x14ac:dyDescent="0.25">
      <c r="A280" s="252" t="s">
        <v>19802</v>
      </c>
      <c r="B280" s="252" t="s">
        <v>19850</v>
      </c>
      <c r="C280" s="252" t="s">
        <v>19851</v>
      </c>
      <c r="D280" s="252" t="s">
        <v>3981</v>
      </c>
      <c r="E280" s="253">
        <v>10.86</v>
      </c>
      <c r="F280" s="252" t="s">
        <v>3982</v>
      </c>
      <c r="G280" s="252" t="s">
        <v>640</v>
      </c>
      <c r="H280" s="254">
        <v>11914</v>
      </c>
    </row>
    <row r="281" spans="1:8" ht="14.25" customHeight="1" x14ac:dyDescent="0.25">
      <c r="A281" s="252" t="s">
        <v>19802</v>
      </c>
      <c r="B281" s="252" t="s">
        <v>19852</v>
      </c>
      <c r="C281" s="252" t="s">
        <v>19853</v>
      </c>
      <c r="D281" s="252" t="s">
        <v>1176</v>
      </c>
      <c r="E281" s="253">
        <v>5.13</v>
      </c>
      <c r="F281" s="252" t="s">
        <v>1175</v>
      </c>
      <c r="G281" s="252" t="s">
        <v>640</v>
      </c>
      <c r="H281" s="254">
        <v>11915</v>
      </c>
    </row>
    <row r="282" spans="1:8" ht="14.25" customHeight="1" x14ac:dyDescent="0.25">
      <c r="A282" s="252"/>
      <c r="B282" s="252"/>
      <c r="C282" s="255" t="s">
        <v>3579</v>
      </c>
      <c r="D282" s="252"/>
      <c r="E282" s="258">
        <f>SUM(E261:E281)</f>
        <v>119.97</v>
      </c>
      <c r="F282" s="252"/>
      <c r="G282" s="252"/>
      <c r="H282" s="254"/>
    </row>
    <row r="283" spans="1:8" ht="14.25" customHeight="1" x14ac:dyDescent="0.25">
      <c r="A283" s="252" t="s">
        <v>19854</v>
      </c>
      <c r="B283" s="252" t="s">
        <v>19855</v>
      </c>
      <c r="C283" s="252" t="s">
        <v>19856</v>
      </c>
      <c r="D283" s="252" t="s">
        <v>4262</v>
      </c>
      <c r="E283" s="253">
        <v>3.92</v>
      </c>
      <c r="F283" s="252" t="s">
        <v>4263</v>
      </c>
      <c r="G283" s="252" t="s">
        <v>640</v>
      </c>
      <c r="H283" s="254">
        <v>11916</v>
      </c>
    </row>
    <row r="284" spans="1:8" ht="14.25" customHeight="1" x14ac:dyDescent="0.25">
      <c r="A284" s="252" t="s">
        <v>19854</v>
      </c>
      <c r="B284" s="252" t="s">
        <v>19857</v>
      </c>
      <c r="C284" s="252" t="s">
        <v>19858</v>
      </c>
      <c r="D284" s="252" t="s">
        <v>19859</v>
      </c>
      <c r="E284" s="253">
        <v>0.48</v>
      </c>
      <c r="F284" s="252" t="s">
        <v>19860</v>
      </c>
      <c r="G284" s="252" t="s">
        <v>640</v>
      </c>
      <c r="H284" s="254">
        <v>11917</v>
      </c>
    </row>
    <row r="285" spans="1:8" ht="14.25" customHeight="1" x14ac:dyDescent="0.25">
      <c r="A285" s="252" t="s">
        <v>19854</v>
      </c>
      <c r="B285" s="252" t="s">
        <v>19861</v>
      </c>
      <c r="C285" s="252" t="s">
        <v>19862</v>
      </c>
      <c r="D285" s="252" t="s">
        <v>19863</v>
      </c>
      <c r="E285" s="253">
        <v>1.02</v>
      </c>
      <c r="F285" s="252" t="s">
        <v>19864</v>
      </c>
      <c r="G285" s="252" t="s">
        <v>640</v>
      </c>
      <c r="H285" s="254">
        <v>11918</v>
      </c>
    </row>
    <row r="286" spans="1:8" ht="14.25" customHeight="1" x14ac:dyDescent="0.25">
      <c r="A286" s="252" t="s">
        <v>19854</v>
      </c>
      <c r="B286" s="252" t="s">
        <v>19865</v>
      </c>
      <c r="C286" s="252" t="s">
        <v>19866</v>
      </c>
      <c r="D286" s="252" t="s">
        <v>6048</v>
      </c>
      <c r="E286" s="253">
        <v>1.8</v>
      </c>
      <c r="F286" s="252" t="s">
        <v>6049</v>
      </c>
      <c r="G286" s="252" t="s">
        <v>640</v>
      </c>
      <c r="H286" s="254">
        <v>11919</v>
      </c>
    </row>
    <row r="287" spans="1:8" ht="14.25" customHeight="1" x14ac:dyDescent="0.25">
      <c r="A287" s="252" t="s">
        <v>19854</v>
      </c>
      <c r="B287" s="252" t="s">
        <v>19867</v>
      </c>
      <c r="C287" s="252" t="s">
        <v>19868</v>
      </c>
      <c r="D287" s="252" t="s">
        <v>11577</v>
      </c>
      <c r="E287" s="253">
        <v>2.77</v>
      </c>
      <c r="F287" s="252" t="s">
        <v>11576</v>
      </c>
      <c r="G287" s="252" t="s">
        <v>640</v>
      </c>
      <c r="H287" s="254">
        <v>11920</v>
      </c>
    </row>
    <row r="288" spans="1:8" ht="14.25" customHeight="1" x14ac:dyDescent="0.25">
      <c r="A288" s="252" t="s">
        <v>19854</v>
      </c>
      <c r="B288" s="252" t="s">
        <v>13593</v>
      </c>
      <c r="C288" s="252" t="s">
        <v>19869</v>
      </c>
      <c r="D288" s="252" t="s">
        <v>4026</v>
      </c>
      <c r="E288" s="253">
        <v>7.64</v>
      </c>
      <c r="F288" s="252" t="s">
        <v>4027</v>
      </c>
      <c r="G288" s="252" t="s">
        <v>640</v>
      </c>
      <c r="H288" s="254" t="s">
        <v>19870</v>
      </c>
    </row>
    <row r="289" spans="1:8" ht="14.25" customHeight="1" x14ac:dyDescent="0.25">
      <c r="A289" s="252" t="s">
        <v>19854</v>
      </c>
      <c r="B289" s="252" t="s">
        <v>19871</v>
      </c>
      <c r="C289" s="252" t="s">
        <v>19872</v>
      </c>
      <c r="D289" s="252" t="s">
        <v>6115</v>
      </c>
      <c r="E289" s="253">
        <v>5.2</v>
      </c>
      <c r="F289" s="252" t="s">
        <v>19873</v>
      </c>
      <c r="G289" s="252" t="s">
        <v>640</v>
      </c>
      <c r="H289" s="254">
        <v>11921</v>
      </c>
    </row>
    <row r="290" spans="1:8" ht="14.25" customHeight="1" x14ac:dyDescent="0.25">
      <c r="A290" s="252" t="s">
        <v>19854</v>
      </c>
      <c r="B290" s="252" t="s">
        <v>19874</v>
      </c>
      <c r="C290" s="252" t="s">
        <v>19875</v>
      </c>
      <c r="D290" s="252" t="s">
        <v>1337</v>
      </c>
      <c r="E290" s="253">
        <v>3.4</v>
      </c>
      <c r="F290" s="252" t="s">
        <v>1336</v>
      </c>
      <c r="G290" s="252" t="s">
        <v>640</v>
      </c>
      <c r="H290" s="254">
        <v>11922</v>
      </c>
    </row>
    <row r="291" spans="1:8" ht="14.25" customHeight="1" x14ac:dyDescent="0.25">
      <c r="A291" s="252" t="s">
        <v>19854</v>
      </c>
      <c r="B291" s="252" t="s">
        <v>19876</v>
      </c>
      <c r="C291" s="252" t="s">
        <v>19877</v>
      </c>
      <c r="D291" s="252" t="s">
        <v>18591</v>
      </c>
      <c r="E291" s="253">
        <v>0.06</v>
      </c>
      <c r="F291" s="252" t="s">
        <v>18590</v>
      </c>
      <c r="G291" s="252" t="s">
        <v>640</v>
      </c>
      <c r="H291" s="254">
        <v>11923</v>
      </c>
    </row>
    <row r="292" spans="1:8" ht="14.25" customHeight="1" x14ac:dyDescent="0.25">
      <c r="A292" s="252" t="s">
        <v>19854</v>
      </c>
      <c r="B292" s="252" t="s">
        <v>19878</v>
      </c>
      <c r="C292" s="252" t="s">
        <v>19879</v>
      </c>
      <c r="D292" s="252" t="s">
        <v>4349</v>
      </c>
      <c r="E292" s="253">
        <v>3.73</v>
      </c>
      <c r="F292" s="252" t="s">
        <v>4350</v>
      </c>
      <c r="G292" s="252" t="s">
        <v>640</v>
      </c>
      <c r="H292" s="254">
        <v>11924</v>
      </c>
    </row>
    <row r="293" spans="1:8" ht="14.25" customHeight="1" x14ac:dyDescent="0.25">
      <c r="A293" s="252" t="s">
        <v>19854</v>
      </c>
      <c r="B293" s="252" t="s">
        <v>19880</v>
      </c>
      <c r="C293" s="252" t="s">
        <v>19881</v>
      </c>
      <c r="D293" s="252" t="s">
        <v>846</v>
      </c>
      <c r="E293" s="253">
        <v>8.3800000000000008</v>
      </c>
      <c r="F293" s="252" t="s">
        <v>845</v>
      </c>
      <c r="G293" s="252" t="s">
        <v>640</v>
      </c>
      <c r="H293" s="254" t="s">
        <v>19882</v>
      </c>
    </row>
    <row r="294" spans="1:8" ht="14.25" customHeight="1" x14ac:dyDescent="0.25">
      <c r="A294" s="252" t="s">
        <v>19854</v>
      </c>
      <c r="B294" s="252" t="s">
        <v>19883</v>
      </c>
      <c r="C294" s="252" t="s">
        <v>19884</v>
      </c>
      <c r="D294" s="252" t="s">
        <v>1218</v>
      </c>
      <c r="E294" s="253">
        <v>8.94</v>
      </c>
      <c r="F294" s="252" t="s">
        <v>1217</v>
      </c>
      <c r="G294" s="252" t="s">
        <v>640</v>
      </c>
      <c r="H294" s="254">
        <v>11925</v>
      </c>
    </row>
    <row r="295" spans="1:8" ht="14.25" customHeight="1" x14ac:dyDescent="0.25">
      <c r="A295" s="252" t="s">
        <v>19854</v>
      </c>
      <c r="B295" s="252" t="s">
        <v>19885</v>
      </c>
      <c r="C295" s="252" t="s">
        <v>19886</v>
      </c>
      <c r="D295" s="252" t="s">
        <v>10646</v>
      </c>
      <c r="E295" s="253">
        <v>6.51</v>
      </c>
      <c r="F295" s="252" t="s">
        <v>10645</v>
      </c>
      <c r="G295" s="252" t="s">
        <v>640</v>
      </c>
      <c r="H295" s="254">
        <v>11926</v>
      </c>
    </row>
    <row r="296" spans="1:8" ht="14.25" customHeight="1" x14ac:dyDescent="0.25">
      <c r="A296" s="252" t="s">
        <v>19854</v>
      </c>
      <c r="B296" s="252" t="s">
        <v>19887</v>
      </c>
      <c r="C296" s="252" t="s">
        <v>19888</v>
      </c>
      <c r="D296" s="252" t="s">
        <v>13613</v>
      </c>
      <c r="E296" s="253">
        <v>0.25</v>
      </c>
      <c r="F296" s="252" t="s">
        <v>13612</v>
      </c>
      <c r="G296" s="252" t="s">
        <v>640</v>
      </c>
      <c r="H296" s="254">
        <v>11927</v>
      </c>
    </row>
    <row r="297" spans="1:8" ht="14.25" customHeight="1" x14ac:dyDescent="0.25">
      <c r="A297" s="252" t="s">
        <v>19854</v>
      </c>
      <c r="B297" s="252" t="s">
        <v>19889</v>
      </c>
      <c r="C297" s="252" t="s">
        <v>19890</v>
      </c>
      <c r="D297" s="252" t="s">
        <v>1314</v>
      </c>
      <c r="E297" s="253">
        <v>2</v>
      </c>
      <c r="F297" s="252" t="s">
        <v>1313</v>
      </c>
      <c r="G297" s="252" t="s">
        <v>640</v>
      </c>
      <c r="H297" s="254">
        <v>11963</v>
      </c>
    </row>
    <row r="298" spans="1:8" ht="14.25" customHeight="1" x14ac:dyDescent="0.25">
      <c r="A298" s="252" t="s">
        <v>19854</v>
      </c>
      <c r="B298" s="252" t="s">
        <v>19891</v>
      </c>
      <c r="C298" s="252" t="s">
        <v>19892</v>
      </c>
      <c r="D298" s="252" t="s">
        <v>3973</v>
      </c>
      <c r="E298" s="253">
        <v>0.84</v>
      </c>
      <c r="F298" s="252" t="s">
        <v>3974</v>
      </c>
      <c r="G298" s="252" t="s">
        <v>640</v>
      </c>
      <c r="H298" s="254">
        <v>11962</v>
      </c>
    </row>
    <row r="299" spans="1:8" ht="14.25" customHeight="1" x14ac:dyDescent="0.25">
      <c r="A299" s="252"/>
      <c r="B299" s="252"/>
      <c r="C299" s="255" t="s">
        <v>3579</v>
      </c>
      <c r="D299" s="252"/>
      <c r="E299" s="258">
        <f>SUM(E283:E298)</f>
        <v>56.94</v>
      </c>
      <c r="F299" s="252"/>
      <c r="G299" s="252"/>
      <c r="H299" s="254"/>
    </row>
    <row r="300" spans="1:8" ht="14.25" customHeight="1" x14ac:dyDescent="0.25">
      <c r="A300" s="252" t="s">
        <v>19893</v>
      </c>
      <c r="B300" s="252" t="s">
        <v>19894</v>
      </c>
      <c r="C300" s="252" t="s">
        <v>19895</v>
      </c>
      <c r="D300" s="252" t="s">
        <v>10524</v>
      </c>
      <c r="E300" s="253">
        <v>5.1100000000000003</v>
      </c>
      <c r="F300" s="252" t="s">
        <v>10523</v>
      </c>
      <c r="G300" s="252" t="s">
        <v>640</v>
      </c>
      <c r="H300" s="254">
        <v>11972</v>
      </c>
    </row>
    <row r="301" spans="1:8" ht="14.25" customHeight="1" x14ac:dyDescent="0.25">
      <c r="A301" s="252" t="s">
        <v>19893</v>
      </c>
      <c r="B301" s="252" t="s">
        <v>19896</v>
      </c>
      <c r="C301" s="252" t="s">
        <v>19897</v>
      </c>
      <c r="D301" s="252" t="s">
        <v>1068</v>
      </c>
      <c r="E301" s="253">
        <v>2.59</v>
      </c>
      <c r="F301" s="252" t="s">
        <v>1067</v>
      </c>
      <c r="G301" s="252" t="s">
        <v>640</v>
      </c>
      <c r="H301" s="254">
        <v>11973</v>
      </c>
    </row>
    <row r="302" spans="1:8" ht="14.25" customHeight="1" x14ac:dyDescent="0.25">
      <c r="A302" s="252" t="s">
        <v>19893</v>
      </c>
      <c r="B302" s="252" t="s">
        <v>19898</v>
      </c>
      <c r="C302" s="252" t="s">
        <v>19899</v>
      </c>
      <c r="D302" s="252" t="s">
        <v>4353</v>
      </c>
      <c r="E302" s="253">
        <v>2.09</v>
      </c>
      <c r="F302" s="252" t="s">
        <v>4354</v>
      </c>
      <c r="G302" s="252" t="s">
        <v>640</v>
      </c>
      <c r="H302" s="254">
        <v>11974</v>
      </c>
    </row>
    <row r="303" spans="1:8" ht="14.25" customHeight="1" x14ac:dyDescent="0.25">
      <c r="A303" s="252" t="s">
        <v>19893</v>
      </c>
      <c r="B303" s="252" t="s">
        <v>19900</v>
      </c>
      <c r="C303" s="252" t="s">
        <v>19901</v>
      </c>
      <c r="D303" s="252" t="s">
        <v>3997</v>
      </c>
      <c r="E303" s="253">
        <v>5.05</v>
      </c>
      <c r="F303" s="252" t="s">
        <v>3998</v>
      </c>
      <c r="G303" s="252" t="s">
        <v>640</v>
      </c>
      <c r="H303" s="254">
        <v>11975</v>
      </c>
    </row>
    <row r="304" spans="1:8" ht="14.25" customHeight="1" x14ac:dyDescent="0.25">
      <c r="A304" s="252" t="s">
        <v>19893</v>
      </c>
      <c r="B304" s="252" t="s">
        <v>19902</v>
      </c>
      <c r="C304" s="252" t="s">
        <v>19903</v>
      </c>
      <c r="D304" s="252" t="s">
        <v>1146</v>
      </c>
      <c r="E304" s="253">
        <v>4.1399999999999997</v>
      </c>
      <c r="F304" s="252" t="s">
        <v>673</v>
      </c>
      <c r="G304" s="252" t="s">
        <v>640</v>
      </c>
      <c r="H304" s="254" t="s">
        <v>19904</v>
      </c>
    </row>
    <row r="305" spans="1:8" ht="14.25" customHeight="1" x14ac:dyDescent="0.25">
      <c r="A305" s="252" t="s">
        <v>19893</v>
      </c>
      <c r="B305" s="252" t="s">
        <v>19905</v>
      </c>
      <c r="C305" s="252" t="s">
        <v>19906</v>
      </c>
      <c r="D305" s="252" t="s">
        <v>888</v>
      </c>
      <c r="E305" s="253">
        <v>5.96</v>
      </c>
      <c r="F305" s="252" t="s">
        <v>887</v>
      </c>
      <c r="G305" s="252" t="s">
        <v>640</v>
      </c>
      <c r="H305" s="254">
        <v>11976</v>
      </c>
    </row>
    <row r="306" spans="1:8" ht="14.25" customHeight="1" x14ac:dyDescent="0.25">
      <c r="A306" s="252" t="s">
        <v>19893</v>
      </c>
      <c r="B306" s="252" t="s">
        <v>19907</v>
      </c>
      <c r="C306" s="252" t="s">
        <v>19908</v>
      </c>
      <c r="D306" s="252" t="s">
        <v>4801</v>
      </c>
      <c r="E306" s="253">
        <v>5.04</v>
      </c>
      <c r="F306" s="252" t="s">
        <v>4802</v>
      </c>
      <c r="G306" s="252" t="s">
        <v>640</v>
      </c>
      <c r="H306" s="254">
        <v>11977</v>
      </c>
    </row>
    <row r="307" spans="1:8" ht="14.25" customHeight="1" x14ac:dyDescent="0.25">
      <c r="A307" s="252" t="s">
        <v>19893</v>
      </c>
      <c r="B307" s="252" t="s">
        <v>19909</v>
      </c>
      <c r="C307" s="252" t="s">
        <v>19910</v>
      </c>
      <c r="D307" s="252" t="s">
        <v>656</v>
      </c>
      <c r="E307" s="253">
        <v>3.27</v>
      </c>
      <c r="F307" s="252" t="s">
        <v>655</v>
      </c>
      <c r="G307" s="252" t="s">
        <v>640</v>
      </c>
      <c r="H307" s="254">
        <v>11978</v>
      </c>
    </row>
    <row r="308" spans="1:8" ht="14.25" customHeight="1" x14ac:dyDescent="0.25">
      <c r="A308" s="252" t="s">
        <v>19893</v>
      </c>
      <c r="B308" s="252" t="s">
        <v>19911</v>
      </c>
      <c r="C308" s="252" t="s">
        <v>19912</v>
      </c>
      <c r="D308" s="252" t="s">
        <v>1363</v>
      </c>
      <c r="E308" s="253">
        <v>2.68</v>
      </c>
      <c r="F308" s="252" t="s">
        <v>1362</v>
      </c>
      <c r="G308" s="252" t="s">
        <v>640</v>
      </c>
      <c r="H308" s="254">
        <v>11979</v>
      </c>
    </row>
    <row r="309" spans="1:8" ht="14.25" customHeight="1" x14ac:dyDescent="0.25">
      <c r="A309" s="252" t="s">
        <v>19893</v>
      </c>
      <c r="B309" s="252" t="s">
        <v>19913</v>
      </c>
      <c r="C309" s="252" t="s">
        <v>19914</v>
      </c>
      <c r="D309" s="252" t="s">
        <v>4062</v>
      </c>
      <c r="E309" s="253">
        <v>3.43</v>
      </c>
      <c r="F309" s="252" t="s">
        <v>4063</v>
      </c>
      <c r="G309" s="252" t="s">
        <v>640</v>
      </c>
      <c r="H309" s="254">
        <v>11980</v>
      </c>
    </row>
    <row r="310" spans="1:8" ht="14.25" customHeight="1" x14ac:dyDescent="0.25">
      <c r="A310" s="252" t="s">
        <v>19893</v>
      </c>
      <c r="B310" s="252" t="s">
        <v>19915</v>
      </c>
      <c r="C310" s="252" t="s">
        <v>19916</v>
      </c>
      <c r="D310" s="252" t="s">
        <v>3597</v>
      </c>
      <c r="E310" s="253">
        <v>1.79</v>
      </c>
      <c r="F310" s="252" t="s">
        <v>3598</v>
      </c>
      <c r="G310" s="252" t="s">
        <v>640</v>
      </c>
      <c r="H310" s="254">
        <v>11981</v>
      </c>
    </row>
    <row r="311" spans="1:8" ht="14.25" customHeight="1" x14ac:dyDescent="0.25">
      <c r="A311" s="252" t="s">
        <v>19893</v>
      </c>
      <c r="B311" s="252" t="s">
        <v>19917</v>
      </c>
      <c r="C311" s="252" t="s">
        <v>19918</v>
      </c>
      <c r="D311" s="252" t="s">
        <v>11369</v>
      </c>
      <c r="E311" s="253">
        <v>1.7</v>
      </c>
      <c r="F311" s="252" t="s">
        <v>11365</v>
      </c>
      <c r="G311" s="252" t="s">
        <v>640</v>
      </c>
      <c r="H311" s="254">
        <v>11982</v>
      </c>
    </row>
    <row r="312" spans="1:8" ht="14.25" customHeight="1" x14ac:dyDescent="0.25">
      <c r="A312" s="252" t="s">
        <v>19893</v>
      </c>
      <c r="B312" s="252" t="s">
        <v>19919</v>
      </c>
      <c r="C312" s="252" t="s">
        <v>19920</v>
      </c>
      <c r="D312" s="252" t="s">
        <v>11366</v>
      </c>
      <c r="E312" s="253">
        <v>5.44</v>
      </c>
      <c r="F312" s="252" t="s">
        <v>11365</v>
      </c>
      <c r="G312" s="252" t="s">
        <v>640</v>
      </c>
      <c r="H312" s="254">
        <v>11983</v>
      </c>
    </row>
    <row r="313" spans="1:8" ht="14.25" customHeight="1" x14ac:dyDescent="0.25">
      <c r="A313" s="252" t="s">
        <v>19893</v>
      </c>
      <c r="B313" s="252" t="s">
        <v>19921</v>
      </c>
      <c r="C313" s="252" t="s">
        <v>19922</v>
      </c>
      <c r="D313" s="252" t="s">
        <v>5357</v>
      </c>
      <c r="E313" s="253">
        <v>6.6</v>
      </c>
      <c r="F313" s="252" t="s">
        <v>5358</v>
      </c>
      <c r="G313" s="252" t="s">
        <v>640</v>
      </c>
      <c r="H313" s="254">
        <v>11984</v>
      </c>
    </row>
    <row r="314" spans="1:8" ht="14.25" customHeight="1" x14ac:dyDescent="0.25">
      <c r="A314" s="252" t="s">
        <v>19893</v>
      </c>
      <c r="B314" s="252" t="s">
        <v>19923</v>
      </c>
      <c r="C314" s="252" t="s">
        <v>19924</v>
      </c>
      <c r="D314" s="252" t="s">
        <v>737</v>
      </c>
      <c r="E314" s="253">
        <v>1.68</v>
      </c>
      <c r="F314" s="252" t="s">
        <v>736</v>
      </c>
      <c r="G314" s="252" t="s">
        <v>640</v>
      </c>
      <c r="H314" s="254">
        <v>11985</v>
      </c>
    </row>
    <row r="315" spans="1:8" ht="14.25" customHeight="1" x14ac:dyDescent="0.25">
      <c r="A315" s="252" t="s">
        <v>19893</v>
      </c>
      <c r="B315" s="252" t="s">
        <v>18998</v>
      </c>
      <c r="C315" s="252" t="s">
        <v>19925</v>
      </c>
      <c r="D315" s="252" t="s">
        <v>857</v>
      </c>
      <c r="E315" s="253">
        <v>2.04</v>
      </c>
      <c r="F315" s="252" t="s">
        <v>856</v>
      </c>
      <c r="G315" s="252" t="s">
        <v>640</v>
      </c>
      <c r="H315" s="254">
        <v>11986</v>
      </c>
    </row>
    <row r="316" spans="1:8" ht="14.25" customHeight="1" x14ac:dyDescent="0.25">
      <c r="A316" s="252" t="s">
        <v>19893</v>
      </c>
      <c r="B316" s="252" t="s">
        <v>19926</v>
      </c>
      <c r="C316" s="252" t="s">
        <v>19927</v>
      </c>
      <c r="D316" s="252" t="s">
        <v>10787</v>
      </c>
      <c r="E316" s="253">
        <v>3.74</v>
      </c>
      <c r="F316" s="252" t="s">
        <v>4503</v>
      </c>
      <c r="G316" s="252" t="s">
        <v>640</v>
      </c>
      <c r="H316" s="254">
        <v>11987</v>
      </c>
    </row>
    <row r="317" spans="1:8" ht="14.25" customHeight="1" x14ac:dyDescent="0.25">
      <c r="A317" s="252" t="s">
        <v>19893</v>
      </c>
      <c r="B317" s="252" t="s">
        <v>19928</v>
      </c>
      <c r="C317" s="252" t="s">
        <v>19929</v>
      </c>
      <c r="D317" s="252" t="s">
        <v>4502</v>
      </c>
      <c r="E317" s="253">
        <v>3.38</v>
      </c>
      <c r="F317" s="252" t="s">
        <v>4503</v>
      </c>
      <c r="G317" s="252" t="s">
        <v>640</v>
      </c>
      <c r="H317" s="254">
        <v>11988</v>
      </c>
    </row>
    <row r="318" spans="1:8" ht="14.25" customHeight="1" x14ac:dyDescent="0.25">
      <c r="A318" s="252" t="s">
        <v>19893</v>
      </c>
      <c r="B318" s="252" t="s">
        <v>19930</v>
      </c>
      <c r="C318" s="252" t="s">
        <v>19931</v>
      </c>
      <c r="D318" s="252" t="s">
        <v>4550</v>
      </c>
      <c r="E318" s="253">
        <v>3.65</v>
      </c>
      <c r="F318" s="252" t="s">
        <v>4551</v>
      </c>
      <c r="G318" s="252" t="s">
        <v>640</v>
      </c>
      <c r="H318" s="254">
        <v>11989</v>
      </c>
    </row>
    <row r="319" spans="1:8" ht="14.25" customHeight="1" x14ac:dyDescent="0.25">
      <c r="A319" s="252"/>
      <c r="B319" s="252"/>
      <c r="C319" s="255" t="s">
        <v>3579</v>
      </c>
      <c r="D319" s="252"/>
      <c r="E319" s="258">
        <f>SUM(E300:E318)</f>
        <v>69.38000000000001</v>
      </c>
      <c r="F319" s="252"/>
      <c r="G319" s="252"/>
      <c r="H319" s="254"/>
    </row>
    <row r="320" spans="1:8" ht="14.25" customHeight="1" x14ac:dyDescent="0.25">
      <c r="A320" s="252" t="s">
        <v>19932</v>
      </c>
      <c r="B320" s="252" t="s">
        <v>19933</v>
      </c>
      <c r="C320" s="252" t="s">
        <v>19934</v>
      </c>
      <c r="D320" s="252" t="s">
        <v>4608</v>
      </c>
      <c r="E320" s="253">
        <v>5.04</v>
      </c>
      <c r="F320" s="252" t="s">
        <v>4609</v>
      </c>
      <c r="G320" s="252" t="s">
        <v>640</v>
      </c>
      <c r="H320" s="254">
        <v>12012</v>
      </c>
    </row>
    <row r="321" spans="1:8" ht="14.25" customHeight="1" x14ac:dyDescent="0.25">
      <c r="A321" s="252" t="s">
        <v>19932</v>
      </c>
      <c r="B321" s="252" t="s">
        <v>19935</v>
      </c>
      <c r="C321" s="252" t="s">
        <v>19936</v>
      </c>
      <c r="D321" s="252" t="s">
        <v>4335</v>
      </c>
      <c r="E321" s="253">
        <v>2.2799999999999998</v>
      </c>
      <c r="F321" s="252" t="s">
        <v>4336</v>
      </c>
      <c r="G321" s="252" t="s">
        <v>640</v>
      </c>
      <c r="H321" s="254" t="s">
        <v>19937</v>
      </c>
    </row>
    <row r="322" spans="1:8" ht="14.25" customHeight="1" x14ac:dyDescent="0.25">
      <c r="A322" s="252" t="s">
        <v>19932</v>
      </c>
      <c r="B322" s="252" t="s">
        <v>19938</v>
      </c>
      <c r="C322" s="252" t="s">
        <v>19939</v>
      </c>
      <c r="D322" s="252" t="s">
        <v>855</v>
      </c>
      <c r="E322" s="253">
        <v>16.86</v>
      </c>
      <c r="F322" s="252" t="s">
        <v>854</v>
      </c>
      <c r="G322" s="252" t="s">
        <v>640</v>
      </c>
      <c r="H322" s="254">
        <v>12013</v>
      </c>
    </row>
    <row r="323" spans="1:8" ht="14.25" customHeight="1" x14ac:dyDescent="0.25">
      <c r="A323" s="252" t="s">
        <v>19932</v>
      </c>
      <c r="B323" s="252" t="s">
        <v>19940</v>
      </c>
      <c r="C323" s="252" t="s">
        <v>19941</v>
      </c>
      <c r="D323" s="252" t="s">
        <v>10842</v>
      </c>
      <c r="E323" s="253">
        <v>1.84</v>
      </c>
      <c r="F323" s="252" t="s">
        <v>10841</v>
      </c>
      <c r="G323" s="252" t="s">
        <v>640</v>
      </c>
      <c r="H323" s="254">
        <v>12014</v>
      </c>
    </row>
    <row r="324" spans="1:8" ht="14.25" customHeight="1" x14ac:dyDescent="0.25">
      <c r="A324" s="252" t="s">
        <v>19932</v>
      </c>
      <c r="B324" s="252" t="s">
        <v>19942</v>
      </c>
      <c r="C324" s="252" t="s">
        <v>19943</v>
      </c>
      <c r="D324" s="252" t="s">
        <v>871</v>
      </c>
      <c r="E324" s="253">
        <v>4.78</v>
      </c>
      <c r="F324" s="252" t="s">
        <v>870</v>
      </c>
      <c r="G324" s="252" t="s">
        <v>640</v>
      </c>
      <c r="H324" s="254" t="s">
        <v>19944</v>
      </c>
    </row>
    <row r="325" spans="1:8" ht="14.25" customHeight="1" x14ac:dyDescent="0.25">
      <c r="A325" s="252" t="s">
        <v>19932</v>
      </c>
      <c r="B325" s="252" t="s">
        <v>19945</v>
      </c>
      <c r="C325" s="252" t="s">
        <v>19946</v>
      </c>
      <c r="D325" s="252" t="s">
        <v>917</v>
      </c>
      <c r="E325" s="253">
        <v>3.88</v>
      </c>
      <c r="F325" s="252" t="s">
        <v>916</v>
      </c>
      <c r="G325" s="252" t="s">
        <v>640</v>
      </c>
      <c r="H325" s="254">
        <v>12015</v>
      </c>
    </row>
    <row r="326" spans="1:8" ht="14.25" customHeight="1" x14ac:dyDescent="0.25">
      <c r="A326" s="252" t="s">
        <v>19932</v>
      </c>
      <c r="B326" s="252" t="s">
        <v>19947</v>
      </c>
      <c r="C326" s="252" t="s">
        <v>19948</v>
      </c>
      <c r="D326" s="252" t="s">
        <v>4411</v>
      </c>
      <c r="E326" s="253">
        <v>3.89</v>
      </c>
      <c r="F326" s="252" t="s">
        <v>4412</v>
      </c>
      <c r="G326" s="252" t="s">
        <v>640</v>
      </c>
      <c r="H326" s="254">
        <v>12016</v>
      </c>
    </row>
    <row r="327" spans="1:8" ht="14.25" customHeight="1" x14ac:dyDescent="0.25">
      <c r="A327" s="252" t="s">
        <v>19932</v>
      </c>
      <c r="B327" s="252" t="s">
        <v>10933</v>
      </c>
      <c r="C327" s="252" t="s">
        <v>19949</v>
      </c>
      <c r="D327" s="252" t="s">
        <v>5903</v>
      </c>
      <c r="E327" s="253">
        <v>3.11</v>
      </c>
      <c r="F327" s="252" t="s">
        <v>5904</v>
      </c>
      <c r="G327" s="252" t="s">
        <v>640</v>
      </c>
      <c r="H327" s="254">
        <v>12017</v>
      </c>
    </row>
    <row r="328" spans="1:8" ht="14.25" customHeight="1" x14ac:dyDescent="0.25">
      <c r="A328" s="252" t="s">
        <v>19932</v>
      </c>
      <c r="B328" s="252" t="s">
        <v>19950</v>
      </c>
      <c r="C328" s="252" t="s">
        <v>19951</v>
      </c>
      <c r="D328" s="252" t="s">
        <v>4785</v>
      </c>
      <c r="E328" s="253">
        <v>3.1</v>
      </c>
      <c r="F328" s="252" t="s">
        <v>4786</v>
      </c>
      <c r="G328" s="252" t="s">
        <v>640</v>
      </c>
      <c r="H328" s="254">
        <v>12018</v>
      </c>
    </row>
    <row r="329" spans="1:8" ht="14.25" customHeight="1" x14ac:dyDescent="0.25">
      <c r="A329" s="252" t="s">
        <v>19932</v>
      </c>
      <c r="B329" s="252" t="s">
        <v>19952</v>
      </c>
      <c r="C329" s="252" t="s">
        <v>19953</v>
      </c>
      <c r="D329" s="252" t="s">
        <v>10765</v>
      </c>
      <c r="E329" s="253">
        <v>3.02</v>
      </c>
      <c r="F329" s="252" t="s">
        <v>10764</v>
      </c>
      <c r="G329" s="252" t="s">
        <v>640</v>
      </c>
      <c r="H329" s="254">
        <v>12019</v>
      </c>
    </row>
    <row r="330" spans="1:8" ht="14.25" customHeight="1" x14ac:dyDescent="0.25">
      <c r="A330" s="252" t="s">
        <v>19932</v>
      </c>
      <c r="B330" s="252" t="s">
        <v>19954</v>
      </c>
      <c r="C330" s="252" t="s">
        <v>19955</v>
      </c>
      <c r="D330" s="252" t="s">
        <v>19956</v>
      </c>
      <c r="E330" s="253">
        <v>56.37</v>
      </c>
      <c r="F330" s="252" t="s">
        <v>19957</v>
      </c>
      <c r="G330" s="252" t="s">
        <v>640</v>
      </c>
      <c r="H330" s="254">
        <v>12020</v>
      </c>
    </row>
    <row r="331" spans="1:8" ht="14.25" customHeight="1" x14ac:dyDescent="0.25">
      <c r="A331" s="252" t="s">
        <v>19932</v>
      </c>
      <c r="B331" s="252" t="s">
        <v>19958</v>
      </c>
      <c r="C331" s="252" t="s">
        <v>19959</v>
      </c>
      <c r="D331" s="252" t="s">
        <v>11091</v>
      </c>
      <c r="E331" s="253">
        <v>3.91</v>
      </c>
      <c r="F331" s="252" t="s">
        <v>11090</v>
      </c>
      <c r="G331" s="252" t="s">
        <v>640</v>
      </c>
      <c r="H331" s="254">
        <v>12021</v>
      </c>
    </row>
    <row r="332" spans="1:8" ht="14.25" customHeight="1" x14ac:dyDescent="0.25">
      <c r="A332" s="252" t="s">
        <v>19932</v>
      </c>
      <c r="B332" s="252" t="s">
        <v>19960</v>
      </c>
      <c r="C332" s="252" t="s">
        <v>19961</v>
      </c>
      <c r="D332" s="252" t="s">
        <v>1241</v>
      </c>
      <c r="E332" s="253">
        <v>1.68</v>
      </c>
      <c r="F332" s="252" t="s">
        <v>1240</v>
      </c>
      <c r="G332" s="252" t="s">
        <v>640</v>
      </c>
      <c r="H332" s="254">
        <v>12022</v>
      </c>
    </row>
    <row r="333" spans="1:8" ht="14.25" customHeight="1" x14ac:dyDescent="0.25">
      <c r="A333" s="252" t="s">
        <v>19932</v>
      </c>
      <c r="B333" s="252" t="s">
        <v>19962</v>
      </c>
      <c r="C333" s="252" t="s">
        <v>19963</v>
      </c>
      <c r="D333" s="252" t="s">
        <v>4982</v>
      </c>
      <c r="E333" s="253">
        <v>3.39</v>
      </c>
      <c r="F333" s="252" t="s">
        <v>4983</v>
      </c>
      <c r="G333" s="252" t="s">
        <v>640</v>
      </c>
      <c r="H333" s="254">
        <v>12023</v>
      </c>
    </row>
    <row r="334" spans="1:8" ht="14.25" customHeight="1" x14ac:dyDescent="0.25">
      <c r="A334" s="252"/>
      <c r="B334" s="252"/>
      <c r="C334" s="255" t="s">
        <v>3579</v>
      </c>
      <c r="D334" s="252"/>
      <c r="E334" s="258">
        <f>SUM(E320:E333)</f>
        <v>113.15</v>
      </c>
      <c r="F334" s="252"/>
      <c r="G334" s="252"/>
      <c r="H334" s="254"/>
    </row>
    <row r="335" spans="1:8" ht="14.25" customHeight="1" x14ac:dyDescent="0.25">
      <c r="A335" s="252" t="s">
        <v>19964</v>
      </c>
      <c r="B335" s="252" t="s">
        <v>19965</v>
      </c>
      <c r="C335" s="252" t="s">
        <v>19966</v>
      </c>
      <c r="D335" s="252" t="s">
        <v>776</v>
      </c>
      <c r="E335" s="253">
        <v>8.4600000000000009</v>
      </c>
      <c r="F335" s="252" t="s">
        <v>775</v>
      </c>
      <c r="G335" s="252" t="s">
        <v>640</v>
      </c>
      <c r="H335" s="254" t="s">
        <v>19967</v>
      </c>
    </row>
    <row r="336" spans="1:8" ht="14.25" customHeight="1" x14ac:dyDescent="0.25">
      <c r="A336" s="252" t="s">
        <v>19964</v>
      </c>
      <c r="B336" s="252" t="s">
        <v>19968</v>
      </c>
      <c r="C336" s="252" t="s">
        <v>19969</v>
      </c>
      <c r="D336" s="252" t="s">
        <v>19970</v>
      </c>
      <c r="E336" s="253">
        <v>3.89</v>
      </c>
      <c r="F336" s="252" t="s">
        <v>19971</v>
      </c>
      <c r="G336" s="252" t="s">
        <v>640</v>
      </c>
      <c r="H336" s="254">
        <v>12050</v>
      </c>
    </row>
    <row r="337" spans="1:8" ht="14.25" customHeight="1" x14ac:dyDescent="0.25">
      <c r="A337" s="252" t="s">
        <v>19964</v>
      </c>
      <c r="B337" s="252" t="s">
        <v>19972</v>
      </c>
      <c r="C337" s="252" t="s">
        <v>19973</v>
      </c>
      <c r="D337" s="252" t="s">
        <v>704</v>
      </c>
      <c r="E337" s="253">
        <v>3.26</v>
      </c>
      <c r="F337" s="252" t="s">
        <v>703</v>
      </c>
      <c r="G337" s="252" t="s">
        <v>640</v>
      </c>
      <c r="H337" s="254">
        <v>12051</v>
      </c>
    </row>
    <row r="338" spans="1:8" ht="14.25" customHeight="1" x14ac:dyDescent="0.25">
      <c r="A338" s="252" t="s">
        <v>19964</v>
      </c>
      <c r="B338" s="252" t="s">
        <v>19974</v>
      </c>
      <c r="C338" s="252" t="s">
        <v>19975</v>
      </c>
      <c r="D338" s="252" t="s">
        <v>5285</v>
      </c>
      <c r="E338" s="253">
        <v>17.72</v>
      </c>
      <c r="F338" s="252" t="s">
        <v>5286</v>
      </c>
      <c r="G338" s="252" t="s">
        <v>640</v>
      </c>
      <c r="H338" s="254">
        <v>12052</v>
      </c>
    </row>
    <row r="339" spans="1:8" ht="14.25" customHeight="1" x14ac:dyDescent="0.25">
      <c r="A339" s="252" t="s">
        <v>19964</v>
      </c>
      <c r="B339" s="252" t="s">
        <v>19976</v>
      </c>
      <c r="C339" s="252" t="s">
        <v>19977</v>
      </c>
      <c r="D339" s="252" t="s">
        <v>16172</v>
      </c>
      <c r="E339" s="253">
        <v>5.65</v>
      </c>
      <c r="F339" s="252" t="s">
        <v>16171</v>
      </c>
      <c r="G339" s="252" t="s">
        <v>640</v>
      </c>
      <c r="H339" s="254">
        <v>12053</v>
      </c>
    </row>
    <row r="340" spans="1:8" ht="14.25" customHeight="1" x14ac:dyDescent="0.25">
      <c r="A340" s="252" t="s">
        <v>19964</v>
      </c>
      <c r="B340" s="252" t="s">
        <v>19978</v>
      </c>
      <c r="C340" s="252" t="s">
        <v>19979</v>
      </c>
      <c r="D340" s="252" t="s">
        <v>10904</v>
      </c>
      <c r="E340" s="253">
        <v>1.62</v>
      </c>
      <c r="F340" s="252" t="s">
        <v>10903</v>
      </c>
      <c r="G340" s="252" t="s">
        <v>640</v>
      </c>
      <c r="H340" s="254">
        <v>12054</v>
      </c>
    </row>
    <row r="341" spans="1:8" ht="14.25" customHeight="1" x14ac:dyDescent="0.25">
      <c r="A341" s="252" t="s">
        <v>19964</v>
      </c>
      <c r="B341" s="252" t="s">
        <v>19980</v>
      </c>
      <c r="C341" s="252" t="s">
        <v>19981</v>
      </c>
      <c r="D341" s="252" t="s">
        <v>19982</v>
      </c>
      <c r="E341" s="253">
        <v>4.1500000000000004</v>
      </c>
      <c r="F341" s="252" t="s">
        <v>19983</v>
      </c>
      <c r="G341" s="252" t="s">
        <v>640</v>
      </c>
      <c r="H341" s="254">
        <v>12055</v>
      </c>
    </row>
    <row r="342" spans="1:8" ht="14.25" customHeight="1" x14ac:dyDescent="0.25">
      <c r="A342" s="252" t="s">
        <v>19964</v>
      </c>
      <c r="B342" s="252" t="s">
        <v>19984</v>
      </c>
      <c r="C342" s="252" t="s">
        <v>19985</v>
      </c>
      <c r="D342" s="252" t="s">
        <v>823</v>
      </c>
      <c r="E342" s="253">
        <v>17.899999999999999</v>
      </c>
      <c r="F342" s="252" t="s">
        <v>822</v>
      </c>
      <c r="G342" s="252" t="s">
        <v>640</v>
      </c>
      <c r="H342" s="254" t="s">
        <v>19986</v>
      </c>
    </row>
    <row r="343" spans="1:8" ht="14.25" customHeight="1" x14ac:dyDescent="0.25">
      <c r="A343" s="252" t="s">
        <v>19964</v>
      </c>
      <c r="B343" s="252" t="s">
        <v>19987</v>
      </c>
      <c r="C343" s="252" t="s">
        <v>19988</v>
      </c>
      <c r="D343" s="252" t="s">
        <v>743</v>
      </c>
      <c r="E343" s="253">
        <v>12.88</v>
      </c>
      <c r="F343" s="252" t="s">
        <v>742</v>
      </c>
      <c r="G343" s="252" t="s">
        <v>640</v>
      </c>
      <c r="H343" s="254" t="s">
        <v>19989</v>
      </c>
    </row>
    <row r="344" spans="1:8" ht="14.25" customHeight="1" x14ac:dyDescent="0.25">
      <c r="A344" s="252" t="s">
        <v>19964</v>
      </c>
      <c r="B344" s="252" t="s">
        <v>18318</v>
      </c>
      <c r="C344" s="252" t="s">
        <v>19990</v>
      </c>
      <c r="D344" s="252" t="s">
        <v>14017</v>
      </c>
      <c r="E344" s="253">
        <v>5.23</v>
      </c>
      <c r="F344" s="252" t="s">
        <v>14016</v>
      </c>
      <c r="G344" s="252" t="s">
        <v>640</v>
      </c>
      <c r="H344" s="254">
        <v>12056</v>
      </c>
    </row>
    <row r="345" spans="1:8" ht="14.25" customHeight="1" x14ac:dyDescent="0.25">
      <c r="A345" s="252" t="s">
        <v>19964</v>
      </c>
      <c r="B345" s="252" t="s">
        <v>19991</v>
      </c>
      <c r="C345" s="252" t="s">
        <v>19992</v>
      </c>
      <c r="D345" s="252" t="s">
        <v>1293</v>
      </c>
      <c r="E345" s="253">
        <v>5.15</v>
      </c>
      <c r="F345" s="252" t="s">
        <v>1292</v>
      </c>
      <c r="G345" s="252" t="s">
        <v>640</v>
      </c>
      <c r="H345" s="254" t="s">
        <v>19993</v>
      </c>
    </row>
    <row r="346" spans="1:8" ht="14.25" customHeight="1" x14ac:dyDescent="0.25">
      <c r="A346" s="252" t="s">
        <v>19964</v>
      </c>
      <c r="B346" s="252" t="s">
        <v>19994</v>
      </c>
      <c r="C346" s="252" t="s">
        <v>19995</v>
      </c>
      <c r="D346" s="252" t="s">
        <v>772</v>
      </c>
      <c r="E346" s="253">
        <v>1.68</v>
      </c>
      <c r="F346" s="252" t="s">
        <v>771</v>
      </c>
      <c r="G346" s="252" t="s">
        <v>640</v>
      </c>
      <c r="H346" s="254" t="s">
        <v>19279</v>
      </c>
    </row>
    <row r="347" spans="1:8" ht="14.25" customHeight="1" x14ac:dyDescent="0.25">
      <c r="A347" s="252" t="s">
        <v>19964</v>
      </c>
      <c r="B347" s="252" t="s">
        <v>19996</v>
      </c>
      <c r="C347" s="252" t="s">
        <v>19997</v>
      </c>
      <c r="D347" s="252" t="s">
        <v>794</v>
      </c>
      <c r="E347" s="253">
        <v>8.3800000000000008</v>
      </c>
      <c r="F347" s="252" t="s">
        <v>793</v>
      </c>
      <c r="G347" s="252" t="s">
        <v>640</v>
      </c>
      <c r="H347" s="254">
        <v>12057</v>
      </c>
    </row>
    <row r="348" spans="1:8" ht="14.25" customHeight="1" x14ac:dyDescent="0.25">
      <c r="A348" s="252" t="s">
        <v>19964</v>
      </c>
      <c r="B348" s="252" t="s">
        <v>19958</v>
      </c>
      <c r="C348" s="252" t="s">
        <v>19998</v>
      </c>
      <c r="D348" s="252" t="s">
        <v>15969</v>
      </c>
      <c r="E348" s="253">
        <v>0.28000000000000003</v>
      </c>
      <c r="F348" s="252" t="s">
        <v>15968</v>
      </c>
      <c r="G348" s="252" t="s">
        <v>640</v>
      </c>
      <c r="H348" s="254">
        <v>12058</v>
      </c>
    </row>
    <row r="349" spans="1:8" ht="14.25" customHeight="1" x14ac:dyDescent="0.25">
      <c r="A349" s="252" t="s">
        <v>19964</v>
      </c>
      <c r="B349" s="252" t="s">
        <v>19999</v>
      </c>
      <c r="C349" s="252" t="s">
        <v>20000</v>
      </c>
      <c r="D349" s="252" t="s">
        <v>1570</v>
      </c>
      <c r="E349" s="253">
        <v>8.7100000000000009</v>
      </c>
      <c r="F349" s="252" t="s">
        <v>1569</v>
      </c>
      <c r="G349" s="252" t="s">
        <v>640</v>
      </c>
      <c r="H349" s="254">
        <v>12059</v>
      </c>
    </row>
    <row r="350" spans="1:8" ht="14.25" customHeight="1" x14ac:dyDescent="0.25">
      <c r="A350" s="252" t="s">
        <v>19964</v>
      </c>
      <c r="B350" s="252" t="s">
        <v>20001</v>
      </c>
      <c r="C350" s="252" t="s">
        <v>20002</v>
      </c>
      <c r="D350" s="252" t="s">
        <v>808</v>
      </c>
      <c r="E350" s="253">
        <v>1.81</v>
      </c>
      <c r="F350" s="252" t="s">
        <v>807</v>
      </c>
      <c r="G350" s="252" t="s">
        <v>640</v>
      </c>
      <c r="H350" s="254">
        <v>12060</v>
      </c>
    </row>
    <row r="351" spans="1:8" ht="14.25" customHeight="1" x14ac:dyDescent="0.25">
      <c r="A351" s="252"/>
      <c r="B351" s="252"/>
      <c r="C351" s="255" t="s">
        <v>3740</v>
      </c>
      <c r="D351" s="252"/>
      <c r="E351" s="258">
        <f>SUM(E335:E350)</f>
        <v>106.77000000000001</v>
      </c>
      <c r="F351" s="252"/>
      <c r="G351" s="252"/>
      <c r="H351" s="254"/>
    </row>
    <row r="352" spans="1:8" ht="14.25" customHeight="1" x14ac:dyDescent="0.25">
      <c r="A352" s="252" t="s">
        <v>20003</v>
      </c>
      <c r="B352" s="252" t="s">
        <v>20004</v>
      </c>
      <c r="C352" s="252" t="s">
        <v>20005</v>
      </c>
      <c r="D352" s="252" t="s">
        <v>4590</v>
      </c>
      <c r="E352" s="253">
        <v>5.29</v>
      </c>
      <c r="F352" s="252" t="s">
        <v>4591</v>
      </c>
      <c r="G352" s="252" t="s">
        <v>640</v>
      </c>
      <c r="H352" s="254">
        <v>12061</v>
      </c>
    </row>
    <row r="353" spans="1:8" ht="14.25" customHeight="1" x14ac:dyDescent="0.25">
      <c r="A353" s="252" t="s">
        <v>20003</v>
      </c>
      <c r="B353" s="252" t="s">
        <v>20006</v>
      </c>
      <c r="C353" s="252" t="s">
        <v>20007</v>
      </c>
      <c r="D353" s="252" t="s">
        <v>20008</v>
      </c>
      <c r="E353" s="253">
        <v>5.45</v>
      </c>
      <c r="F353" s="252" t="s">
        <v>20009</v>
      </c>
      <c r="G353" s="252" t="s">
        <v>640</v>
      </c>
      <c r="H353" s="254">
        <v>12062</v>
      </c>
    </row>
    <row r="354" spans="1:8" ht="14.25" customHeight="1" x14ac:dyDescent="0.25">
      <c r="A354" s="252"/>
      <c r="B354" s="252"/>
      <c r="C354" s="255" t="s">
        <v>3740</v>
      </c>
      <c r="D354" s="252"/>
      <c r="E354" s="258">
        <f>SUM(E352:E353)</f>
        <v>10.74</v>
      </c>
      <c r="F354" s="252"/>
      <c r="G354" s="252"/>
      <c r="H354" s="254"/>
    </row>
    <row r="355" spans="1:8" ht="14.25" customHeight="1" x14ac:dyDescent="0.25">
      <c r="A355" s="252" t="s">
        <v>20010</v>
      </c>
      <c r="B355" s="252" t="s">
        <v>20011</v>
      </c>
      <c r="C355" s="252" t="s">
        <v>20012</v>
      </c>
      <c r="D355" s="252" t="s">
        <v>861</v>
      </c>
      <c r="E355" s="253">
        <v>5.44</v>
      </c>
      <c r="F355" s="252" t="s">
        <v>860</v>
      </c>
      <c r="G355" s="252" t="s">
        <v>640</v>
      </c>
      <c r="H355" s="254">
        <v>12119</v>
      </c>
    </row>
    <row r="356" spans="1:8" ht="14.25" customHeight="1" x14ac:dyDescent="0.25">
      <c r="A356" s="252" t="s">
        <v>20010</v>
      </c>
      <c r="B356" s="252" t="s">
        <v>20013</v>
      </c>
      <c r="C356" s="252" t="s">
        <v>20014</v>
      </c>
      <c r="D356" s="252" t="s">
        <v>1301</v>
      </c>
      <c r="E356" s="253">
        <v>7.15</v>
      </c>
      <c r="F356" s="252" t="s">
        <v>1300</v>
      </c>
      <c r="G356" s="252" t="s">
        <v>640</v>
      </c>
      <c r="H356" s="254">
        <v>12120</v>
      </c>
    </row>
    <row r="357" spans="1:8" ht="14.25" customHeight="1" x14ac:dyDescent="0.25">
      <c r="A357" s="252" t="s">
        <v>20010</v>
      </c>
      <c r="B357" s="252" t="s">
        <v>20015</v>
      </c>
      <c r="C357" s="252" t="s">
        <v>20016</v>
      </c>
      <c r="D357" s="252" t="s">
        <v>892</v>
      </c>
      <c r="E357" s="253">
        <v>8.4600000000000009</v>
      </c>
      <c r="F357" s="252" t="s">
        <v>1302</v>
      </c>
      <c r="G357" s="252" t="s">
        <v>640</v>
      </c>
      <c r="H357" s="254">
        <v>12121</v>
      </c>
    </row>
    <row r="358" spans="1:8" ht="14.25" customHeight="1" x14ac:dyDescent="0.25">
      <c r="A358" s="252" t="s">
        <v>20010</v>
      </c>
      <c r="B358" s="252" t="s">
        <v>20017</v>
      </c>
      <c r="C358" s="252" t="s">
        <v>20018</v>
      </c>
      <c r="D358" s="252" t="s">
        <v>10846</v>
      </c>
      <c r="E358" s="253">
        <v>2.06</v>
      </c>
      <c r="F358" s="252" t="s">
        <v>10845</v>
      </c>
      <c r="G358" s="252" t="s">
        <v>640</v>
      </c>
      <c r="H358" s="254">
        <v>12122</v>
      </c>
    </row>
    <row r="359" spans="1:8" ht="14.25" customHeight="1" x14ac:dyDescent="0.25">
      <c r="A359" s="252" t="s">
        <v>20010</v>
      </c>
      <c r="B359" s="252" t="s">
        <v>20019</v>
      </c>
      <c r="C359" s="252" t="s">
        <v>20020</v>
      </c>
      <c r="D359" s="252" t="s">
        <v>1408</v>
      </c>
      <c r="E359" s="253">
        <v>6.94</v>
      </c>
      <c r="F359" s="252" t="s">
        <v>1407</v>
      </c>
      <c r="G359" s="252" t="s">
        <v>640</v>
      </c>
      <c r="H359" s="254">
        <v>12123</v>
      </c>
    </row>
    <row r="360" spans="1:8" ht="14.25" customHeight="1" x14ac:dyDescent="0.25">
      <c r="A360" s="252" t="s">
        <v>20010</v>
      </c>
      <c r="B360" s="252" t="s">
        <v>20021</v>
      </c>
      <c r="C360" s="252" t="s">
        <v>20022</v>
      </c>
      <c r="D360" s="252" t="s">
        <v>786</v>
      </c>
      <c r="E360" s="253">
        <v>3.54</v>
      </c>
      <c r="F360" s="252" t="s">
        <v>785</v>
      </c>
      <c r="G360" s="252" t="s">
        <v>640</v>
      </c>
      <c r="H360" s="254">
        <v>12124</v>
      </c>
    </row>
    <row r="361" spans="1:8" ht="14.25" customHeight="1" x14ac:dyDescent="0.25">
      <c r="A361" s="252" t="s">
        <v>20010</v>
      </c>
      <c r="B361" s="252" t="s">
        <v>20023</v>
      </c>
      <c r="C361" s="252" t="s">
        <v>20024</v>
      </c>
      <c r="D361" s="252" t="s">
        <v>787</v>
      </c>
      <c r="E361" s="253">
        <v>4.4800000000000004</v>
      </c>
      <c r="F361" s="252" t="s">
        <v>785</v>
      </c>
      <c r="G361" s="252" t="s">
        <v>640</v>
      </c>
      <c r="H361" s="254">
        <v>12125</v>
      </c>
    </row>
    <row r="362" spans="1:8" ht="14.25" customHeight="1" x14ac:dyDescent="0.25">
      <c r="A362" s="252" t="s">
        <v>20010</v>
      </c>
      <c r="B362" s="252" t="s">
        <v>20025</v>
      </c>
      <c r="C362" s="252" t="s">
        <v>20026</v>
      </c>
      <c r="D362" s="252" t="s">
        <v>19062</v>
      </c>
      <c r="E362" s="253">
        <v>6.14</v>
      </c>
      <c r="F362" s="252" t="s">
        <v>19061</v>
      </c>
      <c r="G362" s="252" t="s">
        <v>640</v>
      </c>
      <c r="H362" s="254">
        <v>12126</v>
      </c>
    </row>
    <row r="363" spans="1:8" ht="14.25" customHeight="1" x14ac:dyDescent="0.25">
      <c r="A363" s="252" t="s">
        <v>20010</v>
      </c>
      <c r="B363" s="252" t="s">
        <v>20027</v>
      </c>
      <c r="C363" s="252" t="s">
        <v>20028</v>
      </c>
      <c r="D363" s="252" t="s">
        <v>5565</v>
      </c>
      <c r="E363" s="253">
        <v>1.94</v>
      </c>
      <c r="F363" s="252" t="s">
        <v>5566</v>
      </c>
      <c r="G363" s="252" t="s">
        <v>640</v>
      </c>
      <c r="H363" s="254">
        <v>12127</v>
      </c>
    </row>
    <row r="364" spans="1:8" ht="14.25" customHeight="1" x14ac:dyDescent="0.25">
      <c r="A364" s="252" t="s">
        <v>20010</v>
      </c>
      <c r="B364" s="252" t="s">
        <v>20029</v>
      </c>
      <c r="C364" s="252" t="s">
        <v>20030</v>
      </c>
      <c r="D364" s="252" t="s">
        <v>5569</v>
      </c>
      <c r="E364" s="253">
        <v>5.57</v>
      </c>
      <c r="F364" s="252" t="s">
        <v>5566</v>
      </c>
      <c r="G364" s="252" t="s">
        <v>640</v>
      </c>
      <c r="H364" s="254">
        <v>12128</v>
      </c>
    </row>
    <row r="365" spans="1:8" ht="14.25" customHeight="1" x14ac:dyDescent="0.25">
      <c r="A365" s="252" t="s">
        <v>20010</v>
      </c>
      <c r="B365" s="252" t="s">
        <v>20031</v>
      </c>
      <c r="C365" s="252" t="s">
        <v>20032</v>
      </c>
      <c r="D365" s="252" t="s">
        <v>1224</v>
      </c>
      <c r="E365" s="253">
        <v>5.31</v>
      </c>
      <c r="F365" s="252" t="s">
        <v>1223</v>
      </c>
      <c r="G365" s="252" t="s">
        <v>640</v>
      </c>
      <c r="H365" s="254">
        <v>12129</v>
      </c>
    </row>
    <row r="366" spans="1:8" ht="14.25" customHeight="1" x14ac:dyDescent="0.25">
      <c r="A366" s="252" t="s">
        <v>20010</v>
      </c>
      <c r="B366" s="252" t="s">
        <v>20033</v>
      </c>
      <c r="C366" s="252" t="s">
        <v>20034</v>
      </c>
      <c r="D366" s="252" t="s">
        <v>1225</v>
      </c>
      <c r="E366" s="253">
        <v>11.1</v>
      </c>
      <c r="F366" s="252" t="s">
        <v>1223</v>
      </c>
      <c r="G366" s="252" t="s">
        <v>640</v>
      </c>
      <c r="H366" s="254">
        <v>12130</v>
      </c>
    </row>
    <row r="367" spans="1:8" ht="14.25" customHeight="1" x14ac:dyDescent="0.25">
      <c r="A367" s="252" t="s">
        <v>20010</v>
      </c>
      <c r="B367" s="252" t="s">
        <v>20035</v>
      </c>
      <c r="C367" s="252" t="s">
        <v>20036</v>
      </c>
      <c r="D367" s="252" t="s">
        <v>745</v>
      </c>
      <c r="E367" s="253">
        <v>13.08</v>
      </c>
      <c r="F367" s="252" t="s">
        <v>744</v>
      </c>
      <c r="G367" s="252" t="s">
        <v>640</v>
      </c>
      <c r="H367" s="254">
        <v>12131</v>
      </c>
    </row>
    <row r="368" spans="1:8" ht="14.25" customHeight="1" x14ac:dyDescent="0.25">
      <c r="A368" s="252" t="s">
        <v>20010</v>
      </c>
      <c r="B368" s="252" t="s">
        <v>20037</v>
      </c>
      <c r="C368" s="252" t="s">
        <v>20038</v>
      </c>
      <c r="D368" s="252" t="s">
        <v>985</v>
      </c>
      <c r="E368" s="253">
        <v>4.5199999999999996</v>
      </c>
      <c r="F368" s="252" t="s">
        <v>984</v>
      </c>
      <c r="G368" s="252" t="s">
        <v>640</v>
      </c>
      <c r="H368" s="254">
        <v>12132</v>
      </c>
    </row>
    <row r="369" spans="1:8" ht="14.25" customHeight="1" x14ac:dyDescent="0.25">
      <c r="A369" s="252" t="s">
        <v>20010</v>
      </c>
      <c r="B369" s="252" t="s">
        <v>20039</v>
      </c>
      <c r="C369" s="252" t="s">
        <v>20040</v>
      </c>
      <c r="D369" s="252" t="s">
        <v>18446</v>
      </c>
      <c r="E369" s="253">
        <v>3.39</v>
      </c>
      <c r="F369" s="252" t="s">
        <v>18445</v>
      </c>
      <c r="G369" s="252" t="s">
        <v>640</v>
      </c>
      <c r="H369" s="254">
        <v>12133</v>
      </c>
    </row>
    <row r="370" spans="1:8" ht="14.25" customHeight="1" x14ac:dyDescent="0.25">
      <c r="A370" s="252" t="s">
        <v>20010</v>
      </c>
      <c r="B370" s="252" t="s">
        <v>20041</v>
      </c>
      <c r="C370" s="252" t="s">
        <v>20042</v>
      </c>
      <c r="D370" s="252" t="s">
        <v>911</v>
      </c>
      <c r="E370" s="253">
        <v>5.91</v>
      </c>
      <c r="F370" s="252" t="s">
        <v>910</v>
      </c>
      <c r="G370" s="252" t="s">
        <v>640</v>
      </c>
      <c r="H370" s="254">
        <v>12134</v>
      </c>
    </row>
    <row r="371" spans="1:8" ht="14.25" customHeight="1" x14ac:dyDescent="0.25">
      <c r="A371" s="252" t="s">
        <v>20010</v>
      </c>
      <c r="B371" s="252" t="s">
        <v>20043</v>
      </c>
      <c r="C371" s="252" t="s">
        <v>20044</v>
      </c>
      <c r="D371" s="252" t="s">
        <v>1483</v>
      </c>
      <c r="E371" s="253">
        <v>1.94</v>
      </c>
      <c r="F371" s="252" t="s">
        <v>1482</v>
      </c>
      <c r="G371" s="252" t="s">
        <v>640</v>
      </c>
      <c r="H371" s="254">
        <v>12135</v>
      </c>
    </row>
    <row r="372" spans="1:8" ht="14.25" customHeight="1" x14ac:dyDescent="0.25">
      <c r="A372" s="252" t="s">
        <v>20010</v>
      </c>
      <c r="B372" s="252" t="s">
        <v>20045</v>
      </c>
      <c r="C372" s="252" t="s">
        <v>20046</v>
      </c>
      <c r="D372" s="252" t="s">
        <v>5590</v>
      </c>
      <c r="E372" s="253">
        <v>5.23</v>
      </c>
      <c r="F372" s="252" t="s">
        <v>5591</v>
      </c>
      <c r="G372" s="252" t="s">
        <v>640</v>
      </c>
      <c r="H372" s="254">
        <v>12136</v>
      </c>
    </row>
    <row r="373" spans="1:8" ht="14.25" customHeight="1" x14ac:dyDescent="0.25">
      <c r="A373" s="252" t="s">
        <v>20010</v>
      </c>
      <c r="B373" s="252" t="s">
        <v>20047</v>
      </c>
      <c r="C373" s="252" t="s">
        <v>20048</v>
      </c>
      <c r="D373" s="252" t="s">
        <v>4281</v>
      </c>
      <c r="E373" s="253">
        <v>3.36</v>
      </c>
      <c r="F373" s="252" t="s">
        <v>4282</v>
      </c>
      <c r="G373" s="252" t="s">
        <v>640</v>
      </c>
      <c r="H373" s="254">
        <v>12137</v>
      </c>
    </row>
    <row r="374" spans="1:8" ht="14.25" customHeight="1" x14ac:dyDescent="0.25">
      <c r="A374" s="252" t="s">
        <v>20010</v>
      </c>
      <c r="B374" s="252" t="s">
        <v>20049</v>
      </c>
      <c r="C374" s="252" t="s">
        <v>20050</v>
      </c>
      <c r="D374" s="252" t="s">
        <v>4285</v>
      </c>
      <c r="E374" s="253">
        <v>7.36</v>
      </c>
      <c r="F374" s="252" t="s">
        <v>4286</v>
      </c>
      <c r="G374" s="252" t="s">
        <v>640</v>
      </c>
      <c r="H374" s="254">
        <v>12138</v>
      </c>
    </row>
    <row r="375" spans="1:8" ht="14.25" customHeight="1" x14ac:dyDescent="0.25">
      <c r="A375" s="252" t="s">
        <v>20010</v>
      </c>
      <c r="B375" s="252" t="s">
        <v>20051</v>
      </c>
      <c r="C375" s="252" t="s">
        <v>20052</v>
      </c>
      <c r="D375" s="252" t="s">
        <v>1205</v>
      </c>
      <c r="E375" s="253">
        <v>6.5</v>
      </c>
      <c r="F375" s="252" t="s">
        <v>1204</v>
      </c>
      <c r="G375" s="252" t="s">
        <v>640</v>
      </c>
      <c r="H375" s="254">
        <v>12139</v>
      </c>
    </row>
    <row r="376" spans="1:8" ht="14.25" customHeight="1" x14ac:dyDescent="0.25">
      <c r="A376" s="252"/>
      <c r="B376" s="252"/>
      <c r="C376" s="255" t="s">
        <v>3740</v>
      </c>
      <c r="D376" s="252"/>
      <c r="E376" s="258">
        <f>SUM(E355:E375)</f>
        <v>119.42</v>
      </c>
      <c r="F376" s="252"/>
      <c r="G376" s="252"/>
      <c r="H376" s="254"/>
    </row>
    <row r="377" spans="1:8" ht="14.25" customHeight="1" x14ac:dyDescent="0.25">
      <c r="A377" s="252" t="s">
        <v>20053</v>
      </c>
      <c r="B377" s="252" t="s">
        <v>20054</v>
      </c>
      <c r="C377" s="252" t="s">
        <v>20055</v>
      </c>
      <c r="D377" s="252" t="s">
        <v>11497</v>
      </c>
      <c r="E377" s="253">
        <v>7.53</v>
      </c>
      <c r="F377" s="252" t="s">
        <v>11496</v>
      </c>
      <c r="G377" s="252" t="s">
        <v>640</v>
      </c>
      <c r="H377" s="254">
        <v>12184</v>
      </c>
    </row>
    <row r="378" spans="1:8" ht="14.25" customHeight="1" x14ac:dyDescent="0.25">
      <c r="A378" s="252" t="s">
        <v>20053</v>
      </c>
      <c r="B378" s="252" t="s">
        <v>20056</v>
      </c>
      <c r="C378" s="252" t="s">
        <v>20057</v>
      </c>
      <c r="D378" s="252" t="s">
        <v>1323</v>
      </c>
      <c r="E378" s="253">
        <v>5.63</v>
      </c>
      <c r="F378" s="252" t="s">
        <v>1322</v>
      </c>
      <c r="G378" s="252" t="s">
        <v>640</v>
      </c>
      <c r="H378" s="254">
        <v>12185</v>
      </c>
    </row>
    <row r="379" spans="1:8" ht="14.25" customHeight="1" x14ac:dyDescent="0.25">
      <c r="A379" s="252" t="s">
        <v>20053</v>
      </c>
      <c r="B379" s="252" t="s">
        <v>20058</v>
      </c>
      <c r="C379" s="252" t="s">
        <v>20059</v>
      </c>
      <c r="D379" s="252" t="s">
        <v>20060</v>
      </c>
      <c r="E379" s="253">
        <v>7.62</v>
      </c>
      <c r="F379" s="252" t="s">
        <v>20061</v>
      </c>
      <c r="G379" s="252" t="s">
        <v>640</v>
      </c>
      <c r="H379" s="254">
        <v>12186</v>
      </c>
    </row>
    <row r="380" spans="1:8" ht="14.25" customHeight="1" x14ac:dyDescent="0.25">
      <c r="A380" s="252" t="s">
        <v>20053</v>
      </c>
      <c r="B380" s="252" t="s">
        <v>20062</v>
      </c>
      <c r="C380" s="252" t="s">
        <v>20063</v>
      </c>
      <c r="D380" s="252" t="s">
        <v>20064</v>
      </c>
      <c r="E380" s="253">
        <v>3.13</v>
      </c>
      <c r="F380" s="252" t="s">
        <v>20065</v>
      </c>
      <c r="G380" s="252" t="s">
        <v>640</v>
      </c>
      <c r="H380" s="254">
        <v>12187</v>
      </c>
    </row>
    <row r="381" spans="1:8" ht="14.25" customHeight="1" x14ac:dyDescent="0.25">
      <c r="A381" s="252" t="s">
        <v>20053</v>
      </c>
      <c r="B381" s="252" t="s">
        <v>20066</v>
      </c>
      <c r="C381" s="252" t="s">
        <v>20067</v>
      </c>
      <c r="D381" s="252" t="s">
        <v>4411</v>
      </c>
      <c r="E381" s="253">
        <v>2.95</v>
      </c>
      <c r="F381" s="252" t="s">
        <v>4412</v>
      </c>
      <c r="G381" s="252" t="s">
        <v>640</v>
      </c>
      <c r="H381" s="254">
        <v>12188</v>
      </c>
    </row>
    <row r="382" spans="1:8" ht="14.25" customHeight="1" x14ac:dyDescent="0.25">
      <c r="A382" s="252" t="s">
        <v>20053</v>
      </c>
      <c r="B382" s="252" t="s">
        <v>20068</v>
      </c>
      <c r="C382" s="252" t="s">
        <v>20069</v>
      </c>
      <c r="D382" s="252" t="s">
        <v>710</v>
      </c>
      <c r="E382" s="253">
        <v>9.76</v>
      </c>
      <c r="F382" s="252" t="s">
        <v>709</v>
      </c>
      <c r="G382" s="252" t="s">
        <v>640</v>
      </c>
      <c r="H382" s="254">
        <v>12189</v>
      </c>
    </row>
    <row r="383" spans="1:8" ht="14.25" customHeight="1" x14ac:dyDescent="0.25">
      <c r="A383" s="252" t="s">
        <v>20053</v>
      </c>
      <c r="B383" s="252" t="s">
        <v>20070</v>
      </c>
      <c r="C383" s="252" t="s">
        <v>20071</v>
      </c>
      <c r="D383" s="252" t="s">
        <v>4200</v>
      </c>
      <c r="E383" s="253">
        <v>4.5</v>
      </c>
      <c r="F383" s="252" t="s">
        <v>4201</v>
      </c>
      <c r="G383" s="252" t="s">
        <v>640</v>
      </c>
      <c r="H383" s="254">
        <v>12190</v>
      </c>
    </row>
    <row r="384" spans="1:8" ht="14.25" customHeight="1" x14ac:dyDescent="0.25">
      <c r="A384" s="252" t="s">
        <v>20053</v>
      </c>
      <c r="B384" s="252" t="s">
        <v>15964</v>
      </c>
      <c r="C384" s="252" t="s">
        <v>20072</v>
      </c>
      <c r="D384" s="252" t="s">
        <v>18313</v>
      </c>
      <c r="E384" s="253">
        <v>1.68</v>
      </c>
      <c r="F384" s="252" t="s">
        <v>18312</v>
      </c>
      <c r="G384" s="252" t="s">
        <v>640</v>
      </c>
      <c r="H384" s="254">
        <v>12191</v>
      </c>
    </row>
    <row r="385" spans="1:8" ht="14.25" customHeight="1" x14ac:dyDescent="0.25">
      <c r="A385" s="252" t="s">
        <v>20053</v>
      </c>
      <c r="B385" s="252" t="s">
        <v>20073</v>
      </c>
      <c r="C385" s="252" t="s">
        <v>20074</v>
      </c>
      <c r="D385" s="252" t="s">
        <v>13630</v>
      </c>
      <c r="E385" s="253">
        <v>5.71</v>
      </c>
      <c r="F385" s="252" t="s">
        <v>13629</v>
      </c>
      <c r="G385" s="252" t="s">
        <v>640</v>
      </c>
      <c r="H385" s="254">
        <v>12192</v>
      </c>
    </row>
    <row r="386" spans="1:8" ht="14.25" customHeight="1" x14ac:dyDescent="0.25">
      <c r="A386" s="252" t="s">
        <v>20053</v>
      </c>
      <c r="B386" s="252" t="s">
        <v>20075</v>
      </c>
      <c r="C386" s="252" t="s">
        <v>20076</v>
      </c>
      <c r="D386" s="252" t="s">
        <v>1320</v>
      </c>
      <c r="E386" s="253">
        <v>6.1</v>
      </c>
      <c r="F386" s="252" t="s">
        <v>1319</v>
      </c>
      <c r="G386" s="252" t="s">
        <v>640</v>
      </c>
      <c r="H386" s="254">
        <v>12193</v>
      </c>
    </row>
    <row r="387" spans="1:8" ht="14.25" customHeight="1" x14ac:dyDescent="0.25">
      <c r="A387" s="252" t="s">
        <v>20053</v>
      </c>
      <c r="B387" s="252" t="s">
        <v>20077</v>
      </c>
      <c r="C387" s="252" t="s">
        <v>20078</v>
      </c>
      <c r="D387" s="252" t="s">
        <v>853</v>
      </c>
      <c r="E387" s="253">
        <v>5.24</v>
      </c>
      <c r="F387" s="252" t="s">
        <v>852</v>
      </c>
      <c r="G387" s="252" t="s">
        <v>640</v>
      </c>
      <c r="H387" s="254">
        <v>12194</v>
      </c>
    </row>
    <row r="388" spans="1:8" ht="14.25" customHeight="1" x14ac:dyDescent="0.25">
      <c r="A388" s="252" t="s">
        <v>20053</v>
      </c>
      <c r="B388" s="252" t="s">
        <v>20079</v>
      </c>
      <c r="C388" s="252" t="s">
        <v>20080</v>
      </c>
      <c r="D388" s="252" t="s">
        <v>810</v>
      </c>
      <c r="E388" s="253">
        <v>4.12</v>
      </c>
      <c r="F388" s="252" t="s">
        <v>809</v>
      </c>
      <c r="G388" s="252" t="s">
        <v>640</v>
      </c>
      <c r="H388" s="254">
        <v>12195</v>
      </c>
    </row>
    <row r="389" spans="1:8" ht="14.25" customHeight="1" x14ac:dyDescent="0.25">
      <c r="A389" s="252" t="s">
        <v>20053</v>
      </c>
      <c r="B389" s="252" t="s">
        <v>20081</v>
      </c>
      <c r="C389" s="252" t="s">
        <v>20082</v>
      </c>
      <c r="D389" s="252" t="s">
        <v>20083</v>
      </c>
      <c r="E389" s="253">
        <v>56.63</v>
      </c>
      <c r="F389" s="252" t="s">
        <v>20084</v>
      </c>
      <c r="G389" s="252" t="s">
        <v>640</v>
      </c>
      <c r="H389" s="254">
        <v>12196</v>
      </c>
    </row>
    <row r="390" spans="1:8" ht="14.25" customHeight="1" x14ac:dyDescent="0.25">
      <c r="A390" s="252" t="s">
        <v>20053</v>
      </c>
      <c r="B390" s="252" t="s">
        <v>20085</v>
      </c>
      <c r="C390" s="252" t="s">
        <v>20086</v>
      </c>
      <c r="D390" s="252" t="s">
        <v>733</v>
      </c>
      <c r="E390" s="253">
        <v>6.94</v>
      </c>
      <c r="F390" s="252" t="s">
        <v>732</v>
      </c>
      <c r="G390" s="252" t="s">
        <v>640</v>
      </c>
      <c r="H390" s="254">
        <v>12197</v>
      </c>
    </row>
    <row r="391" spans="1:8" ht="14.25" customHeight="1" x14ac:dyDescent="0.25">
      <c r="A391" s="252" t="s">
        <v>20053</v>
      </c>
      <c r="B391" s="252" t="s">
        <v>20087</v>
      </c>
      <c r="C391" s="252" t="s">
        <v>20088</v>
      </c>
      <c r="D391" s="252" t="s">
        <v>4045</v>
      </c>
      <c r="E391" s="253">
        <v>4.8</v>
      </c>
      <c r="F391" s="252" t="s">
        <v>4046</v>
      </c>
      <c r="G391" s="252" t="s">
        <v>640</v>
      </c>
      <c r="H391" s="254">
        <v>12198</v>
      </c>
    </row>
    <row r="392" spans="1:8" ht="14.25" customHeight="1" x14ac:dyDescent="0.25">
      <c r="A392" s="252" t="s">
        <v>20053</v>
      </c>
      <c r="B392" s="252" t="s">
        <v>20089</v>
      </c>
      <c r="C392" s="252" t="s">
        <v>20090</v>
      </c>
      <c r="D392" s="252" t="s">
        <v>4915</v>
      </c>
      <c r="E392" s="253">
        <v>8.3800000000000008</v>
      </c>
      <c r="F392" s="252" t="s">
        <v>4916</v>
      </c>
      <c r="G392" s="252" t="s">
        <v>640</v>
      </c>
      <c r="H392" s="254">
        <v>12199</v>
      </c>
    </row>
    <row r="393" spans="1:8" ht="14.25" customHeight="1" x14ac:dyDescent="0.25">
      <c r="A393" s="252" t="s">
        <v>20053</v>
      </c>
      <c r="B393" s="252" t="s">
        <v>20091</v>
      </c>
      <c r="C393" s="252" t="s">
        <v>20092</v>
      </c>
      <c r="D393" s="252" t="s">
        <v>757</v>
      </c>
      <c r="E393" s="253">
        <v>6.81</v>
      </c>
      <c r="F393" s="252" t="s">
        <v>756</v>
      </c>
      <c r="G393" s="252" t="s">
        <v>640</v>
      </c>
      <c r="H393" s="254">
        <v>12200</v>
      </c>
    </row>
    <row r="394" spans="1:8" ht="14.25" customHeight="1" x14ac:dyDescent="0.25">
      <c r="A394" s="252" t="s">
        <v>20053</v>
      </c>
      <c r="B394" s="252" t="s">
        <v>20093</v>
      </c>
      <c r="C394" s="252" t="s">
        <v>20094</v>
      </c>
      <c r="D394" s="252" t="s">
        <v>18808</v>
      </c>
      <c r="E394" s="253">
        <v>2.23</v>
      </c>
      <c r="F394" s="252" t="s">
        <v>18804</v>
      </c>
      <c r="G394" s="252" t="s">
        <v>640</v>
      </c>
      <c r="H394" s="254">
        <v>12201</v>
      </c>
    </row>
    <row r="395" spans="1:8" ht="14.25" customHeight="1" x14ac:dyDescent="0.25">
      <c r="A395" s="252" t="s">
        <v>20053</v>
      </c>
      <c r="B395" s="252" t="s">
        <v>20095</v>
      </c>
      <c r="C395" s="252" t="s">
        <v>20096</v>
      </c>
      <c r="D395" s="252" t="s">
        <v>18805</v>
      </c>
      <c r="E395" s="253">
        <v>13.54</v>
      </c>
      <c r="F395" s="252" t="s">
        <v>18804</v>
      </c>
      <c r="G395" s="252" t="s">
        <v>640</v>
      </c>
      <c r="H395" s="254">
        <v>12202</v>
      </c>
    </row>
    <row r="396" spans="1:8" ht="14.25" customHeight="1" x14ac:dyDescent="0.25">
      <c r="A396" s="252" t="s">
        <v>20053</v>
      </c>
      <c r="B396" s="252" t="s">
        <v>20097</v>
      </c>
      <c r="C396" s="252" t="s">
        <v>20098</v>
      </c>
      <c r="D396" s="252" t="s">
        <v>20099</v>
      </c>
      <c r="E396" s="253">
        <v>1.68</v>
      </c>
      <c r="F396" s="252" t="s">
        <v>20100</v>
      </c>
      <c r="G396" s="252" t="s">
        <v>640</v>
      </c>
      <c r="H396" s="254">
        <v>12203</v>
      </c>
    </row>
    <row r="397" spans="1:8" ht="14.25" customHeight="1" x14ac:dyDescent="0.25">
      <c r="A397" s="252" t="s">
        <v>20053</v>
      </c>
      <c r="B397" s="252" t="s">
        <v>20101</v>
      </c>
      <c r="C397" s="252" t="s">
        <v>20102</v>
      </c>
      <c r="D397" s="252" t="s">
        <v>993</v>
      </c>
      <c r="E397" s="253">
        <v>1.71</v>
      </c>
      <c r="F397" s="252" t="s">
        <v>992</v>
      </c>
      <c r="G397" s="252" t="s">
        <v>640</v>
      </c>
      <c r="H397" s="254">
        <v>12204</v>
      </c>
    </row>
    <row r="398" spans="1:8" ht="14.25" customHeight="1" x14ac:dyDescent="0.25">
      <c r="A398" s="252" t="s">
        <v>20053</v>
      </c>
      <c r="B398" s="252" t="s">
        <v>20103</v>
      </c>
      <c r="C398" s="252" t="s">
        <v>20104</v>
      </c>
      <c r="D398" s="252" t="s">
        <v>1213</v>
      </c>
      <c r="E398" s="253">
        <v>5.6</v>
      </c>
      <c r="F398" s="252" t="s">
        <v>1212</v>
      </c>
      <c r="G398" s="252" t="s">
        <v>640</v>
      </c>
      <c r="H398" s="254">
        <v>12205</v>
      </c>
    </row>
    <row r="399" spans="1:8" ht="14.25" customHeight="1" x14ac:dyDescent="0.25">
      <c r="A399" s="252"/>
      <c r="B399" s="252"/>
      <c r="C399" s="255" t="s">
        <v>3740</v>
      </c>
      <c r="D399" s="252"/>
      <c r="E399" s="258">
        <f>SUM(E377:E398)</f>
        <v>172.29</v>
      </c>
      <c r="F399" s="252"/>
      <c r="G399" s="252"/>
      <c r="H399" s="254"/>
    </row>
    <row r="400" spans="1:8" ht="14.25" customHeight="1" x14ac:dyDescent="0.25">
      <c r="A400" s="252" t="s">
        <v>20105</v>
      </c>
      <c r="B400" s="252" t="s">
        <v>20106</v>
      </c>
      <c r="C400" s="252" t="s">
        <v>20107</v>
      </c>
      <c r="D400" s="252" t="s">
        <v>948</v>
      </c>
      <c r="E400" s="253">
        <v>3.38</v>
      </c>
      <c r="F400" s="252" t="s">
        <v>947</v>
      </c>
      <c r="G400" s="252" t="s">
        <v>640</v>
      </c>
      <c r="H400" s="254">
        <v>12247</v>
      </c>
    </row>
    <row r="401" spans="1:8" ht="14.25" customHeight="1" x14ac:dyDescent="0.25">
      <c r="A401" s="252" t="s">
        <v>20105</v>
      </c>
      <c r="B401" s="252" t="s">
        <v>20108</v>
      </c>
      <c r="C401" s="252" t="s">
        <v>20109</v>
      </c>
      <c r="D401" s="252" t="s">
        <v>722</v>
      </c>
      <c r="E401" s="253">
        <v>4.5999999999999996</v>
      </c>
      <c r="F401" s="252" t="s">
        <v>721</v>
      </c>
      <c r="G401" s="252" t="s">
        <v>640</v>
      </c>
      <c r="H401" s="254">
        <v>12248</v>
      </c>
    </row>
    <row r="402" spans="1:8" ht="14.25" customHeight="1" x14ac:dyDescent="0.25">
      <c r="A402" s="252" t="s">
        <v>20105</v>
      </c>
      <c r="B402" s="252" t="s">
        <v>20110</v>
      </c>
      <c r="C402" s="252" t="s">
        <v>20111</v>
      </c>
      <c r="D402" s="252" t="s">
        <v>20112</v>
      </c>
      <c r="E402" s="253">
        <v>3.28</v>
      </c>
      <c r="F402" s="252" t="s">
        <v>20113</v>
      </c>
      <c r="G402" s="252" t="s">
        <v>640</v>
      </c>
      <c r="H402" s="254">
        <v>12249</v>
      </c>
    </row>
    <row r="403" spans="1:8" ht="14.25" customHeight="1" x14ac:dyDescent="0.25">
      <c r="A403" s="252" t="s">
        <v>20105</v>
      </c>
      <c r="B403" s="252" t="s">
        <v>20114</v>
      </c>
      <c r="C403" s="252" t="s">
        <v>20115</v>
      </c>
      <c r="D403" s="252" t="s">
        <v>20116</v>
      </c>
      <c r="E403" s="253">
        <v>19.010000000000002</v>
      </c>
      <c r="F403" s="252" t="s">
        <v>20117</v>
      </c>
      <c r="G403" s="252" t="s">
        <v>640</v>
      </c>
      <c r="H403" s="254">
        <v>12250</v>
      </c>
    </row>
    <row r="404" spans="1:8" ht="14.25" customHeight="1" x14ac:dyDescent="0.25">
      <c r="A404" s="252" t="s">
        <v>20105</v>
      </c>
      <c r="B404" s="252" t="s">
        <v>19060</v>
      </c>
      <c r="C404" s="252" t="s">
        <v>20118</v>
      </c>
      <c r="D404" s="252" t="s">
        <v>5261</v>
      </c>
      <c r="E404" s="253">
        <v>2.34</v>
      </c>
      <c r="F404" s="252" t="s">
        <v>5262</v>
      </c>
      <c r="G404" s="252" t="s">
        <v>640</v>
      </c>
      <c r="H404" s="254">
        <v>12251</v>
      </c>
    </row>
    <row r="405" spans="1:8" ht="14.25" customHeight="1" x14ac:dyDescent="0.25">
      <c r="A405" s="252" t="s">
        <v>20105</v>
      </c>
      <c r="B405" s="252" t="s">
        <v>20119</v>
      </c>
      <c r="C405" s="252" t="s">
        <v>20120</v>
      </c>
      <c r="D405" s="252" t="s">
        <v>770</v>
      </c>
      <c r="E405" s="253">
        <v>1.95</v>
      </c>
      <c r="F405" s="252" t="s">
        <v>769</v>
      </c>
      <c r="G405" s="252" t="s">
        <v>640</v>
      </c>
      <c r="H405" s="254">
        <v>12252</v>
      </c>
    </row>
    <row r="406" spans="1:8" ht="14.25" customHeight="1" x14ac:dyDescent="0.25">
      <c r="A406" s="252" t="s">
        <v>20105</v>
      </c>
      <c r="B406" s="252" t="s">
        <v>20121</v>
      </c>
      <c r="C406" s="252" t="s">
        <v>20122</v>
      </c>
      <c r="D406" s="252" t="s">
        <v>20123</v>
      </c>
      <c r="E406" s="253">
        <v>3.36</v>
      </c>
      <c r="F406" s="252" t="s">
        <v>20124</v>
      </c>
      <c r="G406" s="252" t="s">
        <v>640</v>
      </c>
      <c r="H406" s="254">
        <v>12253</v>
      </c>
    </row>
    <row r="407" spans="1:8" ht="14.25" customHeight="1" x14ac:dyDescent="0.25">
      <c r="A407" s="252" t="s">
        <v>20105</v>
      </c>
      <c r="B407" s="252" t="s">
        <v>20125</v>
      </c>
      <c r="C407" s="252" t="s">
        <v>20126</v>
      </c>
      <c r="D407" s="252" t="s">
        <v>20123</v>
      </c>
      <c r="E407" s="253">
        <v>3.36</v>
      </c>
      <c r="F407" s="252" t="s">
        <v>20124</v>
      </c>
      <c r="G407" s="252" t="s">
        <v>640</v>
      </c>
      <c r="H407" s="254" t="s">
        <v>20127</v>
      </c>
    </row>
    <row r="408" spans="1:8" ht="14.25" customHeight="1" x14ac:dyDescent="0.25">
      <c r="A408" s="252" t="s">
        <v>20105</v>
      </c>
      <c r="B408" s="252" t="s">
        <v>20128</v>
      </c>
      <c r="C408" s="252" t="s">
        <v>20129</v>
      </c>
      <c r="D408" s="252" t="s">
        <v>1210</v>
      </c>
      <c r="E408" s="253">
        <v>4.37</v>
      </c>
      <c r="F408" s="252" t="s">
        <v>1209</v>
      </c>
      <c r="G408" s="252" t="s">
        <v>640</v>
      </c>
      <c r="H408" s="254">
        <v>12254</v>
      </c>
    </row>
    <row r="409" spans="1:8" ht="14.25" customHeight="1" x14ac:dyDescent="0.25">
      <c r="A409" s="252" t="s">
        <v>20105</v>
      </c>
      <c r="B409" s="252" t="s">
        <v>20130</v>
      </c>
      <c r="C409" s="252" t="s">
        <v>20131</v>
      </c>
      <c r="D409" s="252" t="s">
        <v>1359</v>
      </c>
      <c r="E409" s="253">
        <v>7.19</v>
      </c>
      <c r="F409" s="252" t="s">
        <v>1358</v>
      </c>
      <c r="G409" s="252" t="s">
        <v>640</v>
      </c>
      <c r="H409" s="254">
        <v>12255</v>
      </c>
    </row>
    <row r="410" spans="1:8" ht="14.25" customHeight="1" x14ac:dyDescent="0.25">
      <c r="A410" s="252" t="s">
        <v>20105</v>
      </c>
      <c r="B410" s="252" t="s">
        <v>20132</v>
      </c>
      <c r="C410" s="252" t="s">
        <v>20133</v>
      </c>
      <c r="D410" s="252" t="s">
        <v>1442</v>
      </c>
      <c r="E410" s="253">
        <v>8.3800000000000008</v>
      </c>
      <c r="F410" s="252" t="s">
        <v>1441</v>
      </c>
      <c r="G410" s="252" t="s">
        <v>640</v>
      </c>
      <c r="H410" s="254">
        <v>12256</v>
      </c>
    </row>
    <row r="411" spans="1:8" ht="14.25" customHeight="1" x14ac:dyDescent="0.25">
      <c r="A411" s="252" t="s">
        <v>20105</v>
      </c>
      <c r="B411" s="252" t="s">
        <v>20134</v>
      </c>
      <c r="C411" s="252" t="s">
        <v>20135</v>
      </c>
      <c r="D411" s="252" t="s">
        <v>10550</v>
      </c>
      <c r="E411" s="253">
        <v>3.88</v>
      </c>
      <c r="F411" s="252" t="s">
        <v>10549</v>
      </c>
      <c r="G411" s="252" t="s">
        <v>640</v>
      </c>
      <c r="H411" s="254">
        <v>12257</v>
      </c>
    </row>
    <row r="412" spans="1:8" ht="14.25" customHeight="1" x14ac:dyDescent="0.25">
      <c r="A412" s="252" t="s">
        <v>20105</v>
      </c>
      <c r="B412" s="252" t="s">
        <v>20136</v>
      </c>
      <c r="C412" s="252" t="s">
        <v>20137</v>
      </c>
      <c r="D412" s="252" t="s">
        <v>706</v>
      </c>
      <c r="E412" s="253">
        <v>8.3800000000000008</v>
      </c>
      <c r="F412" s="252" t="s">
        <v>705</v>
      </c>
      <c r="G412" s="252" t="s">
        <v>640</v>
      </c>
      <c r="H412" s="254">
        <v>12258</v>
      </c>
    </row>
    <row r="413" spans="1:8" ht="14.25" customHeight="1" x14ac:dyDescent="0.25">
      <c r="A413" s="252" t="s">
        <v>20105</v>
      </c>
      <c r="B413" s="252" t="s">
        <v>20138</v>
      </c>
      <c r="C413" s="252" t="s">
        <v>20139</v>
      </c>
      <c r="D413" s="252" t="s">
        <v>1166</v>
      </c>
      <c r="E413" s="253">
        <v>5.97</v>
      </c>
      <c r="F413" s="252" t="s">
        <v>1165</v>
      </c>
      <c r="G413" s="252" t="s">
        <v>640</v>
      </c>
      <c r="H413" s="254">
        <v>12259</v>
      </c>
    </row>
    <row r="414" spans="1:8" ht="14.25" customHeight="1" x14ac:dyDescent="0.25">
      <c r="A414" s="252" t="s">
        <v>20105</v>
      </c>
      <c r="B414" s="252" t="s">
        <v>18692</v>
      </c>
      <c r="C414" s="252" t="s">
        <v>20140</v>
      </c>
      <c r="D414" s="252" t="s">
        <v>1243</v>
      </c>
      <c r="E414" s="253">
        <v>1.02</v>
      </c>
      <c r="F414" s="252" t="s">
        <v>1242</v>
      </c>
      <c r="G414" s="252" t="s">
        <v>640</v>
      </c>
      <c r="H414" s="254">
        <v>12260</v>
      </c>
    </row>
    <row r="415" spans="1:8" ht="14.25" customHeight="1" x14ac:dyDescent="0.25">
      <c r="A415" s="252" t="s">
        <v>20105</v>
      </c>
      <c r="B415" s="252" t="s">
        <v>20141</v>
      </c>
      <c r="C415" s="252" t="s">
        <v>20142</v>
      </c>
      <c r="D415" s="252" t="s">
        <v>3962</v>
      </c>
      <c r="E415" s="253">
        <v>6.66</v>
      </c>
      <c r="F415" s="252" t="s">
        <v>3963</v>
      </c>
      <c r="G415" s="252" t="s">
        <v>640</v>
      </c>
      <c r="H415" s="254">
        <v>12261</v>
      </c>
    </row>
    <row r="416" spans="1:8" ht="14.25" customHeight="1" x14ac:dyDescent="0.25">
      <c r="A416" s="252" t="s">
        <v>20105</v>
      </c>
      <c r="B416" s="252" t="s">
        <v>20143</v>
      </c>
      <c r="C416" s="252" t="s">
        <v>20144</v>
      </c>
      <c r="D416" s="252" t="s">
        <v>4878</v>
      </c>
      <c r="E416" s="253">
        <v>8.3800000000000008</v>
      </c>
      <c r="F416" s="252" t="s">
        <v>4879</v>
      </c>
      <c r="G416" s="252" t="s">
        <v>640</v>
      </c>
      <c r="H416" s="254">
        <v>12262</v>
      </c>
    </row>
    <row r="417" spans="1:8" ht="14.25" customHeight="1" x14ac:dyDescent="0.25">
      <c r="A417" s="252"/>
      <c r="B417" s="252"/>
      <c r="C417" s="255" t="s">
        <v>3740</v>
      </c>
      <c r="D417" s="252"/>
      <c r="E417" s="258">
        <f>SUM(E400:E416)</f>
        <v>95.509999999999977</v>
      </c>
      <c r="F417" s="252"/>
      <c r="G417" s="252"/>
      <c r="H417" s="254"/>
    </row>
    <row r="418" spans="1:8" ht="14.25" customHeight="1" x14ac:dyDescent="0.25">
      <c r="A418" s="252"/>
      <c r="B418" s="252"/>
      <c r="C418" s="252"/>
      <c r="D418" s="252"/>
      <c r="E418" s="253"/>
      <c r="F418" s="252"/>
      <c r="G418" s="252"/>
      <c r="H418" s="254"/>
    </row>
    <row r="419" spans="1:8" ht="14.25" customHeight="1" x14ac:dyDescent="0.25">
      <c r="A419" s="252"/>
      <c r="B419" s="252"/>
      <c r="C419" s="252"/>
      <c r="D419" s="252"/>
      <c r="E419" s="253"/>
      <c r="F419" s="252"/>
      <c r="G419" s="252"/>
      <c r="H419" s="254"/>
    </row>
    <row r="420" spans="1:8" ht="14.25" customHeight="1" x14ac:dyDescent="0.25">
      <c r="A420" s="252"/>
      <c r="B420" s="252"/>
      <c r="C420" s="252"/>
      <c r="D420" s="252"/>
      <c r="E420" s="253"/>
      <c r="F420" s="252"/>
      <c r="G420" s="252"/>
      <c r="H420" s="254"/>
    </row>
    <row r="421" spans="1:8" ht="14.25" customHeight="1" x14ac:dyDescent="0.25">
      <c r="A421" s="252"/>
      <c r="B421" s="252"/>
      <c r="C421" s="252"/>
      <c r="D421" s="252"/>
      <c r="E421" s="253"/>
      <c r="F421" s="252"/>
      <c r="G421" s="252"/>
      <c r="H421" s="254"/>
    </row>
    <row r="422" spans="1:8" ht="14.25" customHeight="1" x14ac:dyDescent="0.25">
      <c r="A422" s="252"/>
      <c r="B422" s="252"/>
      <c r="C422" s="252"/>
      <c r="D422" s="252"/>
      <c r="E422" s="253"/>
      <c r="F422" s="252"/>
      <c r="G422" s="252"/>
      <c r="H422" s="254"/>
    </row>
    <row r="423" spans="1:8" ht="14.25" customHeight="1" x14ac:dyDescent="0.25">
      <c r="A423" s="252"/>
      <c r="B423" s="252"/>
      <c r="C423" s="252"/>
      <c r="D423" s="252"/>
      <c r="E423" s="253"/>
      <c r="F423" s="252"/>
      <c r="G423" s="252"/>
      <c r="H423" s="254"/>
    </row>
    <row r="424" spans="1:8" ht="14.25" customHeight="1" x14ac:dyDescent="0.25">
      <c r="A424" s="252"/>
      <c r="B424" s="252"/>
      <c r="C424" s="252"/>
      <c r="D424" s="252"/>
      <c r="E424" s="253"/>
      <c r="F424" s="252"/>
      <c r="G424" s="252"/>
      <c r="H424" s="254"/>
    </row>
    <row r="425" spans="1:8" ht="14.25" customHeight="1" x14ac:dyDescent="0.25">
      <c r="A425" s="252"/>
      <c r="B425" s="252"/>
      <c r="C425" s="252"/>
      <c r="D425" s="252"/>
      <c r="E425" s="253"/>
      <c r="F425" s="252"/>
      <c r="G425" s="252"/>
      <c r="H425" s="254"/>
    </row>
    <row r="426" spans="1:8" ht="14.25" customHeight="1" x14ac:dyDescent="0.25">
      <c r="A426" s="252"/>
      <c r="B426" s="252"/>
      <c r="C426" s="252"/>
      <c r="D426" s="252"/>
      <c r="E426" s="253"/>
      <c r="F426" s="252"/>
      <c r="G426" s="252"/>
      <c r="H426" s="254"/>
    </row>
    <row r="427" spans="1:8" ht="14.25" customHeight="1" x14ac:dyDescent="0.25">
      <c r="A427" s="252"/>
      <c r="B427" s="252"/>
      <c r="C427" s="252"/>
      <c r="D427" s="252"/>
      <c r="E427" s="253"/>
      <c r="F427" s="252"/>
      <c r="G427" s="252"/>
      <c r="H427" s="254"/>
    </row>
    <row r="428" spans="1:8" ht="14.25" customHeight="1" x14ac:dyDescent="0.25">
      <c r="A428" s="252"/>
      <c r="B428" s="252"/>
      <c r="C428" s="252"/>
      <c r="D428" s="252"/>
      <c r="E428" s="253"/>
      <c r="F428" s="252"/>
      <c r="G428" s="252"/>
      <c r="H428" s="254"/>
    </row>
    <row r="429" spans="1:8" ht="14.25" customHeight="1" x14ac:dyDescent="0.25">
      <c r="A429" s="252"/>
      <c r="B429" s="252"/>
      <c r="C429" s="252"/>
      <c r="D429" s="252"/>
      <c r="E429" s="253"/>
      <c r="F429" s="252"/>
      <c r="G429" s="252"/>
      <c r="H429" s="254"/>
    </row>
    <row r="430" spans="1:8" ht="14.25" customHeight="1" x14ac:dyDescent="0.25">
      <c r="A430" s="252"/>
      <c r="B430" s="252"/>
      <c r="C430" s="252"/>
      <c r="D430" s="252"/>
      <c r="E430" s="253"/>
      <c r="F430" s="252"/>
      <c r="G430" s="252"/>
      <c r="H430" s="254"/>
    </row>
    <row r="431" spans="1:8" ht="14.25" customHeight="1" x14ac:dyDescent="0.25">
      <c r="A431" s="252"/>
      <c r="B431" s="252"/>
      <c r="C431" s="252"/>
      <c r="D431" s="252"/>
      <c r="E431" s="253"/>
      <c r="F431" s="252"/>
      <c r="G431" s="252"/>
      <c r="H431" s="254"/>
    </row>
    <row r="432" spans="1:8" ht="14.25" customHeight="1" x14ac:dyDescent="0.25">
      <c r="A432" s="252"/>
      <c r="B432" s="252"/>
      <c r="C432" s="252"/>
      <c r="D432" s="252"/>
      <c r="E432" s="253"/>
      <c r="F432" s="252"/>
      <c r="G432" s="252"/>
      <c r="H432" s="254"/>
    </row>
    <row r="433" spans="1:8" ht="14.25" customHeight="1" x14ac:dyDescent="0.25">
      <c r="A433" s="252"/>
      <c r="B433" s="252"/>
      <c r="C433" s="252"/>
      <c r="D433" s="252"/>
      <c r="E433" s="253"/>
      <c r="F433" s="252"/>
      <c r="G433" s="252"/>
      <c r="H433" s="254"/>
    </row>
    <row r="434" spans="1:8" ht="14.25" customHeight="1" x14ac:dyDescent="0.25">
      <c r="A434" s="252"/>
      <c r="B434" s="252"/>
      <c r="C434" s="252"/>
      <c r="D434" s="252"/>
      <c r="E434" s="253"/>
      <c r="F434" s="252"/>
      <c r="G434" s="252"/>
      <c r="H434" s="254"/>
    </row>
    <row r="435" spans="1:8" ht="14.25" customHeight="1" x14ac:dyDescent="0.25">
      <c r="A435" s="252"/>
      <c r="B435" s="252"/>
      <c r="C435" s="252"/>
      <c r="D435" s="252"/>
      <c r="E435" s="253"/>
      <c r="F435" s="252"/>
      <c r="G435" s="252"/>
      <c r="H435" s="254"/>
    </row>
    <row r="436" spans="1:8" ht="14.25" customHeight="1" x14ac:dyDescent="0.25">
      <c r="A436" s="252"/>
      <c r="B436" s="252"/>
      <c r="C436" s="252"/>
      <c r="D436" s="252"/>
      <c r="E436" s="258"/>
      <c r="F436" s="252"/>
      <c r="G436" s="252"/>
      <c r="H436" s="254"/>
    </row>
    <row r="437" spans="1:8" ht="14.25" customHeight="1" x14ac:dyDescent="0.25">
      <c r="A437" s="252"/>
      <c r="B437" s="252"/>
      <c r="C437" s="252"/>
      <c r="D437" s="252"/>
      <c r="E437" s="253"/>
      <c r="F437" s="252"/>
      <c r="G437" s="252"/>
      <c r="H437" s="254"/>
    </row>
    <row r="438" spans="1:8" ht="14.25" customHeight="1" x14ac:dyDescent="0.25">
      <c r="A438" s="252"/>
      <c r="B438" s="252"/>
      <c r="C438" s="252"/>
      <c r="D438" s="252"/>
      <c r="E438" s="253"/>
      <c r="F438" s="252"/>
      <c r="G438" s="252"/>
      <c r="H438" s="254"/>
    </row>
    <row r="439" spans="1:8" ht="14.25" customHeight="1" x14ac:dyDescent="0.25">
      <c r="A439" s="252"/>
      <c r="B439" s="252"/>
      <c r="C439" s="252"/>
      <c r="D439" s="252"/>
      <c r="E439" s="253"/>
      <c r="F439" s="252"/>
      <c r="G439" s="252"/>
      <c r="H439" s="254"/>
    </row>
    <row r="440" spans="1:8" ht="14.25" customHeight="1" x14ac:dyDescent="0.25">
      <c r="A440" s="252"/>
      <c r="B440" s="252"/>
      <c r="C440" s="252"/>
      <c r="D440" s="252"/>
      <c r="E440" s="253"/>
      <c r="F440" s="252"/>
      <c r="G440" s="252"/>
      <c r="H440" s="254"/>
    </row>
    <row r="441" spans="1:8" ht="14.25" customHeight="1" x14ac:dyDescent="0.25">
      <c r="A441" s="252"/>
      <c r="B441" s="252"/>
      <c r="C441" s="252"/>
      <c r="D441" s="252"/>
      <c r="E441" s="253"/>
      <c r="F441" s="252"/>
      <c r="G441" s="252"/>
      <c r="H441" s="254"/>
    </row>
    <row r="442" spans="1:8" ht="14.25" customHeight="1" x14ac:dyDescent="0.25">
      <c r="A442" s="252"/>
      <c r="B442" s="252"/>
      <c r="C442" s="252"/>
      <c r="D442" s="252"/>
      <c r="E442" s="253"/>
      <c r="F442" s="252"/>
      <c r="G442" s="252"/>
      <c r="H442" s="254"/>
    </row>
    <row r="443" spans="1:8" ht="14.25" customHeight="1" x14ac:dyDescent="0.25">
      <c r="A443" s="252"/>
      <c r="B443" s="252"/>
      <c r="C443" s="252"/>
      <c r="D443" s="252"/>
      <c r="E443" s="253"/>
      <c r="F443" s="252"/>
      <c r="G443" s="252"/>
      <c r="H443" s="254"/>
    </row>
    <row r="444" spans="1:8" ht="14.25" customHeight="1" x14ac:dyDescent="0.25">
      <c r="A444" s="252"/>
      <c r="B444" s="252"/>
      <c r="C444" s="252"/>
      <c r="D444" s="252"/>
      <c r="E444" s="253"/>
      <c r="F444" s="252"/>
      <c r="G444" s="252"/>
      <c r="H444" s="254"/>
    </row>
    <row r="445" spans="1:8" ht="14.25" customHeight="1" x14ac:dyDescent="0.25">
      <c r="A445" s="252"/>
      <c r="B445" s="252"/>
      <c r="C445" s="252"/>
      <c r="D445" s="252"/>
      <c r="E445" s="253"/>
      <c r="F445" s="252"/>
      <c r="G445" s="252"/>
      <c r="H445" s="254"/>
    </row>
    <row r="446" spans="1:8" ht="14.25" customHeight="1" x14ac:dyDescent="0.25">
      <c r="A446" s="252"/>
      <c r="B446" s="252"/>
      <c r="C446" s="252"/>
      <c r="D446" s="252"/>
      <c r="E446" s="258"/>
      <c r="F446" s="252"/>
      <c r="G446" s="252"/>
      <c r="H446" s="254"/>
    </row>
    <row r="447" spans="1:8" ht="14.25" customHeight="1" x14ac:dyDescent="0.25">
      <c r="A447" s="252"/>
      <c r="B447" s="252"/>
      <c r="C447" s="252"/>
      <c r="D447" s="252"/>
      <c r="E447" s="253"/>
      <c r="F447" s="252"/>
      <c r="G447" s="252"/>
      <c r="H447" s="254"/>
    </row>
    <row r="448" spans="1:8" ht="14.25" customHeight="1" x14ac:dyDescent="0.25">
      <c r="A448" s="252"/>
      <c r="B448" s="252"/>
      <c r="C448" s="252"/>
      <c r="D448" s="252"/>
      <c r="E448" s="253"/>
      <c r="F448" s="252"/>
      <c r="G448" s="252"/>
      <c r="H448" s="254"/>
    </row>
    <row r="449" spans="1:8" ht="14.25" customHeight="1" x14ac:dyDescent="0.25">
      <c r="A449" s="252"/>
      <c r="B449" s="252"/>
      <c r="C449" s="252"/>
      <c r="D449" s="252"/>
      <c r="E449" s="253"/>
      <c r="F449" s="252"/>
      <c r="G449" s="252"/>
      <c r="H449" s="254"/>
    </row>
    <row r="450" spans="1:8" ht="14.25" customHeight="1" x14ac:dyDescent="0.25">
      <c r="A450" s="252"/>
      <c r="B450" s="252"/>
      <c r="C450" s="252"/>
      <c r="D450" s="252"/>
      <c r="E450" s="253"/>
      <c r="F450" s="252"/>
      <c r="G450" s="252"/>
      <c r="H450" s="254"/>
    </row>
    <row r="451" spans="1:8" ht="14.25" customHeight="1" x14ac:dyDescent="0.25">
      <c r="A451" s="252"/>
      <c r="B451" s="252"/>
      <c r="C451" s="252"/>
      <c r="D451" s="252"/>
      <c r="E451" s="253"/>
      <c r="F451" s="252"/>
      <c r="G451" s="252"/>
      <c r="H451" s="254"/>
    </row>
    <row r="452" spans="1:8" ht="14.25" customHeight="1" x14ac:dyDescent="0.25">
      <c r="A452" s="252"/>
      <c r="B452" s="252"/>
      <c r="C452" s="252"/>
      <c r="D452" s="252"/>
      <c r="E452" s="253"/>
      <c r="F452" s="252"/>
      <c r="G452" s="252"/>
      <c r="H452" s="254"/>
    </row>
    <row r="453" spans="1:8" ht="14.25" customHeight="1" x14ac:dyDescent="0.25">
      <c r="A453" s="252"/>
      <c r="B453" s="252"/>
      <c r="C453" s="252"/>
      <c r="D453" s="252"/>
      <c r="E453" s="253"/>
      <c r="F453" s="252"/>
      <c r="G453" s="252"/>
      <c r="H453" s="254"/>
    </row>
    <row r="454" spans="1:8" ht="14.25" customHeight="1" x14ac:dyDescent="0.25">
      <c r="A454" s="252"/>
      <c r="B454" s="252"/>
      <c r="C454" s="252"/>
      <c r="D454" s="252"/>
      <c r="E454" s="258"/>
      <c r="F454" s="252"/>
      <c r="G454" s="252"/>
      <c r="H454" s="254"/>
    </row>
    <row r="455" spans="1:8" ht="14.25" customHeight="1" x14ac:dyDescent="0.25">
      <c r="A455" s="252"/>
      <c r="B455" s="252"/>
      <c r="C455" s="252"/>
      <c r="D455" s="252"/>
      <c r="E455" s="253"/>
      <c r="F455" s="252"/>
      <c r="G455" s="252"/>
      <c r="H455" s="254"/>
    </row>
    <row r="456" spans="1:8" ht="14.25" customHeight="1" x14ac:dyDescent="0.25">
      <c r="A456" s="252"/>
      <c r="B456" s="252"/>
      <c r="C456" s="252"/>
      <c r="D456" s="252"/>
      <c r="E456" s="253"/>
      <c r="F456" s="252"/>
      <c r="G456" s="252"/>
      <c r="H456" s="254"/>
    </row>
    <row r="457" spans="1:8" ht="14.25" customHeight="1" x14ac:dyDescent="0.25">
      <c r="A457" s="252"/>
      <c r="B457" s="252"/>
      <c r="C457" s="252"/>
      <c r="D457" s="252"/>
      <c r="E457" s="253"/>
      <c r="F457" s="252"/>
      <c r="G457" s="252"/>
      <c r="H457" s="254"/>
    </row>
    <row r="458" spans="1:8" ht="14.25" customHeight="1" x14ac:dyDescent="0.25">
      <c r="A458" s="252"/>
      <c r="B458" s="252"/>
      <c r="C458" s="252"/>
      <c r="D458" s="252"/>
      <c r="E458" s="253"/>
      <c r="F458" s="252"/>
      <c r="G458" s="252"/>
      <c r="H458" s="254"/>
    </row>
    <row r="459" spans="1:8" ht="14.25" customHeight="1" x14ac:dyDescent="0.25">
      <c r="A459" s="252"/>
      <c r="B459" s="252"/>
      <c r="C459" s="252"/>
      <c r="D459" s="252"/>
      <c r="E459" s="253"/>
      <c r="F459" s="252"/>
      <c r="G459" s="252"/>
      <c r="H459" s="254"/>
    </row>
    <row r="460" spans="1:8" ht="14.25" customHeight="1" x14ac:dyDescent="0.25">
      <c r="A460" s="252"/>
      <c r="B460" s="252"/>
      <c r="C460" s="252"/>
      <c r="D460" s="252"/>
      <c r="E460" s="253"/>
      <c r="F460" s="252"/>
      <c r="G460" s="252"/>
      <c r="H460" s="254"/>
    </row>
    <row r="461" spans="1:8" ht="14.25" customHeight="1" x14ac:dyDescent="0.25">
      <c r="A461" s="252"/>
      <c r="B461" s="252"/>
      <c r="C461" s="252"/>
      <c r="D461" s="252"/>
      <c r="E461" s="253"/>
      <c r="F461" s="252"/>
      <c r="G461" s="252"/>
      <c r="H461" s="254"/>
    </row>
    <row r="462" spans="1:8" ht="14.25" customHeight="1" x14ac:dyDescent="0.25">
      <c r="A462" s="252"/>
      <c r="B462" s="252"/>
      <c r="C462" s="252"/>
      <c r="D462" s="252"/>
      <c r="E462" s="253"/>
      <c r="F462" s="252"/>
      <c r="G462" s="252"/>
      <c r="H462" s="254"/>
    </row>
    <row r="463" spans="1:8" ht="14.25" customHeight="1" x14ac:dyDescent="0.25">
      <c r="A463" s="252"/>
      <c r="B463" s="252"/>
      <c r="C463" s="252"/>
      <c r="D463" s="252"/>
      <c r="E463" s="253"/>
      <c r="F463" s="252"/>
      <c r="G463" s="252"/>
      <c r="H463" s="254"/>
    </row>
    <row r="464" spans="1:8" ht="14.25" customHeight="1" x14ac:dyDescent="0.25">
      <c r="A464" s="252"/>
      <c r="B464" s="252"/>
      <c r="C464" s="252"/>
      <c r="D464" s="252"/>
      <c r="E464" s="253"/>
      <c r="F464" s="252"/>
      <c r="G464" s="252"/>
      <c r="H464" s="254"/>
    </row>
    <row r="465" spans="1:8" ht="14.25" customHeight="1" x14ac:dyDescent="0.25">
      <c r="A465" s="252"/>
      <c r="B465" s="252"/>
      <c r="C465" s="252"/>
      <c r="D465" s="252"/>
      <c r="E465" s="253"/>
      <c r="F465" s="252"/>
      <c r="G465" s="252"/>
      <c r="H465" s="254"/>
    </row>
    <row r="466" spans="1:8" ht="14.25" customHeight="1" x14ac:dyDescent="0.25">
      <c r="A466" s="252"/>
      <c r="B466" s="252"/>
      <c r="C466" s="252"/>
      <c r="D466" s="252"/>
      <c r="E466" s="253"/>
      <c r="F466" s="252"/>
      <c r="G466" s="252"/>
      <c r="H466" s="254"/>
    </row>
    <row r="467" spans="1:8" ht="14.25" customHeight="1" x14ac:dyDescent="0.25">
      <c r="A467" s="252"/>
      <c r="B467" s="252"/>
      <c r="C467" s="252"/>
      <c r="D467" s="252"/>
      <c r="E467" s="253"/>
      <c r="F467" s="252"/>
      <c r="G467" s="252"/>
      <c r="H467" s="254"/>
    </row>
    <row r="468" spans="1:8" ht="14.25" customHeight="1" x14ac:dyDescent="0.25">
      <c r="A468" s="252"/>
      <c r="B468" s="252"/>
      <c r="C468" s="252"/>
      <c r="D468" s="252"/>
      <c r="E468" s="253"/>
      <c r="F468" s="252"/>
      <c r="G468" s="252"/>
      <c r="H468" s="254"/>
    </row>
    <row r="469" spans="1:8" ht="14.25" customHeight="1" x14ac:dyDescent="0.25">
      <c r="A469" s="252"/>
      <c r="B469" s="252"/>
      <c r="C469" s="252"/>
      <c r="D469" s="252"/>
      <c r="E469" s="253"/>
      <c r="F469" s="252"/>
      <c r="G469" s="252"/>
      <c r="H469" s="254"/>
    </row>
    <row r="470" spans="1:8" ht="14.25" customHeight="1" x14ac:dyDescent="0.25">
      <c r="A470" s="252"/>
      <c r="B470" s="252"/>
      <c r="C470" s="252"/>
      <c r="D470" s="252"/>
      <c r="E470" s="253"/>
      <c r="F470" s="252"/>
      <c r="G470" s="252"/>
      <c r="H470" s="254"/>
    </row>
    <row r="471" spans="1:8" ht="14.25" customHeight="1" x14ac:dyDescent="0.25">
      <c r="A471" s="252"/>
      <c r="B471" s="252"/>
      <c r="C471" s="252"/>
      <c r="D471" s="252"/>
      <c r="E471" s="253"/>
      <c r="F471" s="252"/>
      <c r="G471" s="252"/>
      <c r="H471" s="254"/>
    </row>
    <row r="472" spans="1:8" ht="14.25" customHeight="1" x14ac:dyDescent="0.25">
      <c r="A472" s="252"/>
      <c r="B472" s="252"/>
      <c r="C472" s="252"/>
      <c r="D472" s="252"/>
      <c r="E472" s="253"/>
      <c r="F472" s="252"/>
      <c r="G472" s="252"/>
      <c r="H472" s="254"/>
    </row>
    <row r="473" spans="1:8" ht="14.25" customHeight="1" x14ac:dyDescent="0.25">
      <c r="A473" s="252"/>
      <c r="B473" s="252"/>
      <c r="C473" s="252"/>
      <c r="D473" s="252"/>
      <c r="E473" s="253"/>
      <c r="F473" s="252"/>
      <c r="G473" s="252"/>
      <c r="H473" s="254"/>
    </row>
    <row r="474" spans="1:8" ht="14.25" customHeight="1" x14ac:dyDescent="0.25">
      <c r="A474" s="252"/>
      <c r="B474" s="252"/>
      <c r="C474" s="252"/>
      <c r="D474" s="252"/>
      <c r="E474" s="253"/>
      <c r="F474" s="252"/>
      <c r="G474" s="252"/>
      <c r="H474" s="254"/>
    </row>
    <row r="475" spans="1:8" ht="14.25" customHeight="1" x14ac:dyDescent="0.25">
      <c r="A475" s="252"/>
      <c r="B475" s="252"/>
      <c r="C475" s="252"/>
      <c r="D475" s="252"/>
      <c r="E475" s="253"/>
      <c r="F475" s="252"/>
      <c r="G475" s="252"/>
      <c r="H475" s="254"/>
    </row>
    <row r="476" spans="1:8" ht="14.25" customHeight="1" x14ac:dyDescent="0.25">
      <c r="A476" s="252"/>
      <c r="B476" s="252"/>
      <c r="C476" s="252"/>
      <c r="D476" s="252"/>
      <c r="E476" s="253"/>
      <c r="F476" s="252"/>
      <c r="G476" s="252"/>
      <c r="H476" s="254"/>
    </row>
    <row r="477" spans="1:8" ht="14.25" customHeight="1" x14ac:dyDescent="0.25">
      <c r="A477" s="252"/>
      <c r="B477" s="252"/>
      <c r="C477" s="252"/>
      <c r="D477" s="252"/>
      <c r="E477" s="253"/>
      <c r="F477" s="252"/>
      <c r="G477" s="252"/>
      <c r="H477" s="254"/>
    </row>
    <row r="478" spans="1:8" ht="14.25" customHeight="1" x14ac:dyDescent="0.25">
      <c r="A478" s="252"/>
      <c r="B478" s="252"/>
      <c r="C478" s="252"/>
      <c r="D478" s="252"/>
      <c r="E478" s="253"/>
      <c r="F478" s="252"/>
      <c r="G478" s="252"/>
      <c r="H478" s="254"/>
    </row>
    <row r="479" spans="1:8" ht="14.25" customHeight="1" x14ac:dyDescent="0.25">
      <c r="A479" s="252"/>
      <c r="B479" s="252"/>
      <c r="C479" s="252"/>
      <c r="D479" s="252"/>
      <c r="E479" s="253"/>
      <c r="F479" s="252"/>
      <c r="G479" s="252"/>
      <c r="H479" s="254"/>
    </row>
    <row r="480" spans="1:8" ht="14.25" customHeight="1" x14ac:dyDescent="0.25">
      <c r="A480" s="252"/>
      <c r="B480" s="252"/>
      <c r="C480" s="252"/>
      <c r="D480" s="252"/>
      <c r="E480" s="258"/>
      <c r="F480" s="252"/>
      <c r="G480" s="252"/>
      <c r="H480" s="254"/>
    </row>
    <row r="481" spans="1:8" ht="14.25" customHeight="1" x14ac:dyDescent="0.25">
      <c r="A481" s="252"/>
      <c r="B481" s="252"/>
      <c r="C481" s="252"/>
      <c r="D481" s="252"/>
      <c r="E481" s="253"/>
      <c r="F481" s="252"/>
      <c r="G481" s="252"/>
      <c r="H481" s="254"/>
    </row>
    <row r="482" spans="1:8" ht="14.25" customHeight="1" x14ac:dyDescent="0.25">
      <c r="A482" s="252"/>
      <c r="B482" s="252"/>
      <c r="C482" s="252"/>
      <c r="D482" s="252"/>
      <c r="E482" s="253"/>
      <c r="F482" s="252"/>
      <c r="G482" s="252"/>
      <c r="H482" s="254"/>
    </row>
    <row r="483" spans="1:8" ht="14.25" customHeight="1" x14ac:dyDescent="0.25">
      <c r="A483" s="252"/>
      <c r="B483" s="252"/>
      <c r="C483" s="252"/>
      <c r="D483" s="252"/>
      <c r="E483" s="253"/>
      <c r="F483" s="252"/>
      <c r="G483" s="252"/>
      <c r="H483" s="254"/>
    </row>
    <row r="484" spans="1:8" ht="14.25" customHeight="1" x14ac:dyDescent="0.25">
      <c r="A484" s="252"/>
      <c r="B484" s="252"/>
      <c r="C484" s="252"/>
      <c r="D484" s="252"/>
      <c r="E484" s="253"/>
      <c r="F484" s="252"/>
      <c r="G484" s="252"/>
      <c r="H484" s="254"/>
    </row>
    <row r="485" spans="1:8" ht="14.25" customHeight="1" x14ac:dyDescent="0.25">
      <c r="A485" s="252"/>
      <c r="B485" s="252"/>
      <c r="C485" s="252"/>
      <c r="D485" s="252"/>
      <c r="E485" s="253"/>
      <c r="F485" s="252"/>
      <c r="G485" s="252"/>
      <c r="H485" s="254"/>
    </row>
    <row r="486" spans="1:8" ht="14.25" customHeight="1" x14ac:dyDescent="0.25">
      <c r="A486" s="252"/>
      <c r="B486" s="252"/>
      <c r="C486" s="252"/>
      <c r="D486" s="252"/>
      <c r="E486" s="253"/>
      <c r="F486" s="252"/>
      <c r="G486" s="252"/>
      <c r="H486" s="254"/>
    </row>
    <row r="487" spans="1:8" ht="14.25" customHeight="1" x14ac:dyDescent="0.25">
      <c r="A487" s="252"/>
      <c r="B487" s="252"/>
      <c r="C487" s="252"/>
      <c r="D487" s="252"/>
      <c r="E487" s="253"/>
      <c r="F487" s="252"/>
      <c r="G487" s="252"/>
      <c r="H487" s="254"/>
    </row>
    <row r="488" spans="1:8" ht="14.25" customHeight="1" x14ac:dyDescent="0.25">
      <c r="A488" s="252"/>
      <c r="B488" s="252"/>
      <c r="C488" s="252"/>
      <c r="D488" s="252"/>
      <c r="E488" s="253"/>
      <c r="F488" s="252"/>
      <c r="G488" s="252"/>
      <c r="H488" s="254"/>
    </row>
    <row r="489" spans="1:8" ht="14.25" customHeight="1" x14ac:dyDescent="0.25">
      <c r="A489" s="252"/>
      <c r="B489" s="252"/>
      <c r="C489" s="252"/>
      <c r="D489" s="252"/>
      <c r="E489" s="253"/>
      <c r="F489" s="252"/>
      <c r="G489" s="252"/>
      <c r="H489" s="254"/>
    </row>
    <row r="490" spans="1:8" ht="14.25" customHeight="1" x14ac:dyDescent="0.25">
      <c r="A490" s="252"/>
      <c r="B490" s="252"/>
      <c r="C490" s="252"/>
      <c r="D490" s="252"/>
      <c r="E490" s="253"/>
      <c r="F490" s="252"/>
      <c r="G490" s="252"/>
      <c r="H490" s="254"/>
    </row>
    <row r="491" spans="1:8" ht="14.25" customHeight="1" x14ac:dyDescent="0.25">
      <c r="A491" s="252"/>
      <c r="B491" s="252"/>
      <c r="C491" s="252"/>
      <c r="D491" s="252"/>
      <c r="E491" s="253"/>
      <c r="F491" s="252"/>
      <c r="G491" s="252"/>
      <c r="H491" s="254"/>
    </row>
    <row r="492" spans="1:8" ht="14.25" customHeight="1" x14ac:dyDescent="0.25">
      <c r="A492" s="252"/>
      <c r="B492" s="252"/>
      <c r="C492" s="252"/>
      <c r="D492" s="252"/>
      <c r="E492" s="253"/>
      <c r="F492" s="252"/>
      <c r="G492" s="252"/>
      <c r="H492" s="254"/>
    </row>
    <row r="493" spans="1:8" ht="14.25" customHeight="1" x14ac:dyDescent="0.25">
      <c r="A493" s="252"/>
      <c r="B493" s="252"/>
      <c r="C493" s="252"/>
      <c r="D493" s="252"/>
      <c r="E493" s="253"/>
      <c r="F493" s="252"/>
      <c r="G493" s="252"/>
      <c r="H493" s="254"/>
    </row>
    <row r="494" spans="1:8" ht="14.25" customHeight="1" x14ac:dyDescent="0.25">
      <c r="A494" s="252"/>
      <c r="B494" s="252"/>
      <c r="C494" s="252"/>
      <c r="D494" s="252"/>
      <c r="E494" s="253"/>
      <c r="F494" s="252"/>
      <c r="G494" s="252"/>
      <c r="H494" s="254"/>
    </row>
    <row r="495" spans="1:8" ht="14.25" customHeight="1" x14ac:dyDescent="0.25">
      <c r="A495" s="252"/>
      <c r="B495" s="252"/>
      <c r="C495" s="252"/>
      <c r="D495" s="252"/>
      <c r="E495" s="253"/>
      <c r="F495" s="252"/>
      <c r="G495" s="252"/>
      <c r="H495" s="254"/>
    </row>
    <row r="496" spans="1:8" ht="14.25" customHeight="1" x14ac:dyDescent="0.25">
      <c r="A496" s="252"/>
      <c r="B496" s="252"/>
      <c r="C496" s="252"/>
      <c r="D496" s="252"/>
      <c r="E496" s="253"/>
      <c r="F496" s="252"/>
      <c r="G496" s="252"/>
      <c r="H496" s="254"/>
    </row>
    <row r="497" spans="1:8" ht="14.25" customHeight="1" x14ac:dyDescent="0.25">
      <c r="A497" s="252"/>
      <c r="B497" s="252"/>
      <c r="C497" s="252"/>
      <c r="D497" s="252"/>
      <c r="E497" s="253"/>
      <c r="F497" s="252"/>
      <c r="G497" s="252"/>
      <c r="H497" s="254"/>
    </row>
    <row r="498" spans="1:8" ht="14.25" customHeight="1" x14ac:dyDescent="0.25">
      <c r="A498" s="252"/>
      <c r="B498" s="252"/>
      <c r="C498" s="252"/>
      <c r="D498" s="252"/>
      <c r="E498" s="253"/>
      <c r="F498" s="252"/>
      <c r="G498" s="252"/>
      <c r="H498" s="254"/>
    </row>
    <row r="499" spans="1:8" ht="14.25" customHeight="1" x14ac:dyDescent="0.25">
      <c r="A499" s="252"/>
      <c r="B499" s="252"/>
      <c r="C499" s="252"/>
      <c r="D499" s="252"/>
      <c r="E499" s="253"/>
      <c r="F499" s="252"/>
      <c r="G499" s="252"/>
      <c r="H499" s="254"/>
    </row>
    <row r="500" spans="1:8" ht="14.25" customHeight="1" x14ac:dyDescent="0.25">
      <c r="A500" s="252"/>
      <c r="B500" s="252"/>
      <c r="C500" s="252"/>
      <c r="D500" s="252"/>
      <c r="E500" s="253"/>
      <c r="F500" s="252"/>
      <c r="G500" s="252"/>
      <c r="H500" s="254"/>
    </row>
    <row r="501" spans="1:8" ht="14.25" customHeight="1" x14ac:dyDescent="0.25">
      <c r="A501" s="252"/>
      <c r="B501" s="252"/>
      <c r="C501" s="252"/>
      <c r="D501" s="252"/>
      <c r="E501" s="253"/>
      <c r="F501" s="252"/>
      <c r="G501" s="252"/>
      <c r="H501" s="254"/>
    </row>
    <row r="502" spans="1:8" ht="14.25" customHeight="1" x14ac:dyDescent="0.25">
      <c r="A502" s="252"/>
      <c r="B502" s="252"/>
      <c r="C502" s="252"/>
      <c r="D502" s="252"/>
      <c r="E502" s="253"/>
      <c r="F502" s="252"/>
      <c r="G502" s="252"/>
      <c r="H502" s="254"/>
    </row>
    <row r="503" spans="1:8" ht="14.25" customHeight="1" x14ac:dyDescent="0.25">
      <c r="A503" s="252"/>
      <c r="B503" s="252"/>
      <c r="C503" s="252"/>
      <c r="D503" s="252"/>
      <c r="E503" s="253"/>
      <c r="F503" s="252"/>
      <c r="G503" s="252"/>
      <c r="H503" s="254"/>
    </row>
    <row r="504" spans="1:8" ht="14.25" customHeight="1" x14ac:dyDescent="0.25">
      <c r="A504" s="252"/>
      <c r="B504" s="252"/>
      <c r="C504" s="252"/>
      <c r="D504" s="252"/>
      <c r="E504" s="253"/>
      <c r="F504" s="252"/>
      <c r="G504" s="252"/>
      <c r="H504" s="254"/>
    </row>
    <row r="505" spans="1:8" ht="14.25" customHeight="1" x14ac:dyDescent="0.25">
      <c r="A505" s="252"/>
      <c r="B505" s="252"/>
      <c r="C505" s="252"/>
      <c r="D505" s="252"/>
      <c r="E505" s="253"/>
      <c r="F505" s="252"/>
      <c r="G505" s="252"/>
      <c r="H505" s="254"/>
    </row>
    <row r="506" spans="1:8" ht="14.25" customHeight="1" x14ac:dyDescent="0.25">
      <c r="A506" s="252"/>
      <c r="B506" s="252"/>
      <c r="C506" s="252"/>
      <c r="D506" s="252"/>
      <c r="E506" s="253"/>
      <c r="F506" s="252"/>
      <c r="G506" s="252"/>
      <c r="H506" s="254"/>
    </row>
    <row r="507" spans="1:8" ht="14.25" customHeight="1" x14ac:dyDescent="0.25">
      <c r="A507" s="252"/>
      <c r="B507" s="252"/>
      <c r="C507" s="252"/>
      <c r="D507" s="252"/>
      <c r="E507" s="253"/>
      <c r="F507" s="252"/>
      <c r="G507" s="252"/>
      <c r="H507" s="254"/>
    </row>
    <row r="508" spans="1:8" ht="14.25" customHeight="1" x14ac:dyDescent="0.25">
      <c r="A508" s="252"/>
      <c r="B508" s="252"/>
      <c r="C508" s="252"/>
      <c r="D508" s="252"/>
      <c r="E508" s="253"/>
      <c r="F508" s="252"/>
      <c r="G508" s="252"/>
      <c r="H508" s="254"/>
    </row>
    <row r="509" spans="1:8" ht="14.25" customHeight="1" x14ac:dyDescent="0.25">
      <c r="A509" s="252"/>
      <c r="B509" s="252"/>
      <c r="C509" s="252"/>
      <c r="D509" s="252"/>
      <c r="E509" s="253"/>
      <c r="F509" s="252"/>
      <c r="G509" s="252"/>
      <c r="H509" s="254"/>
    </row>
    <row r="510" spans="1:8" ht="14.25" customHeight="1" x14ac:dyDescent="0.25">
      <c r="A510" s="252"/>
      <c r="B510" s="252"/>
      <c r="C510" s="252"/>
      <c r="D510" s="252"/>
      <c r="E510" s="253"/>
      <c r="F510" s="252"/>
      <c r="G510" s="252"/>
      <c r="H510" s="254"/>
    </row>
    <row r="511" spans="1:8" ht="14.25" customHeight="1" x14ac:dyDescent="0.25">
      <c r="A511" s="252"/>
      <c r="B511" s="252"/>
      <c r="C511" s="252"/>
      <c r="D511" s="252"/>
      <c r="E511" s="253"/>
      <c r="F511" s="252"/>
      <c r="G511" s="252"/>
      <c r="H511" s="254"/>
    </row>
    <row r="512" spans="1:8" ht="14.25" customHeight="1" x14ac:dyDescent="0.25">
      <c r="A512" s="252"/>
      <c r="B512" s="252"/>
      <c r="C512" s="252"/>
      <c r="D512" s="252"/>
      <c r="E512" s="253"/>
      <c r="F512" s="252"/>
      <c r="G512" s="252"/>
      <c r="H512" s="254"/>
    </row>
    <row r="513" spans="1:8" ht="14.25" customHeight="1" x14ac:dyDescent="0.25">
      <c r="A513" s="252"/>
      <c r="B513" s="252"/>
      <c r="C513" s="252"/>
      <c r="D513" s="252"/>
      <c r="E513" s="253"/>
      <c r="F513" s="252"/>
      <c r="G513" s="252"/>
      <c r="H513" s="254"/>
    </row>
    <row r="514" spans="1:8" ht="14.25" customHeight="1" x14ac:dyDescent="0.25">
      <c r="A514" s="252"/>
      <c r="B514" s="252"/>
      <c r="C514" s="252"/>
      <c r="D514" s="252"/>
      <c r="E514" s="253"/>
      <c r="F514" s="252"/>
      <c r="G514" s="252"/>
      <c r="H514" s="254"/>
    </row>
    <row r="515" spans="1:8" ht="14.25" customHeight="1" x14ac:dyDescent="0.25">
      <c r="A515" s="252"/>
      <c r="B515" s="252"/>
      <c r="C515" s="252"/>
      <c r="D515" s="252"/>
      <c r="E515" s="253"/>
      <c r="F515" s="252"/>
      <c r="G515" s="252"/>
      <c r="H515" s="254"/>
    </row>
    <row r="516" spans="1:8" ht="14.25" customHeight="1" x14ac:dyDescent="0.25">
      <c r="A516" s="252"/>
      <c r="B516" s="252"/>
      <c r="C516" s="252"/>
      <c r="D516" s="252"/>
      <c r="E516" s="253"/>
      <c r="F516" s="252"/>
      <c r="G516" s="252"/>
      <c r="H516" s="254"/>
    </row>
    <row r="517" spans="1:8" ht="14.25" customHeight="1" x14ac:dyDescent="0.25">
      <c r="A517" s="252"/>
      <c r="B517" s="252"/>
      <c r="C517" s="252"/>
      <c r="D517" s="252"/>
      <c r="E517" s="253"/>
      <c r="F517" s="252"/>
      <c r="G517" s="252"/>
      <c r="H517" s="254"/>
    </row>
    <row r="518" spans="1:8" ht="14.25" customHeight="1" x14ac:dyDescent="0.25">
      <c r="A518" s="252"/>
      <c r="B518" s="252"/>
      <c r="C518" s="252"/>
      <c r="D518" s="252"/>
      <c r="E518" s="253"/>
      <c r="F518" s="252"/>
      <c r="G518" s="252"/>
      <c r="H518" s="254"/>
    </row>
    <row r="519" spans="1:8" ht="14.25" customHeight="1" x14ac:dyDescent="0.25">
      <c r="A519" s="252"/>
      <c r="B519" s="252"/>
      <c r="C519" s="252"/>
      <c r="D519" s="252"/>
      <c r="E519" s="253"/>
      <c r="F519" s="252"/>
      <c r="G519" s="252"/>
      <c r="H519" s="254"/>
    </row>
    <row r="520" spans="1:8" ht="14.25" customHeight="1" x14ac:dyDescent="0.25">
      <c r="A520" s="252"/>
      <c r="B520" s="252"/>
      <c r="C520" s="252"/>
      <c r="D520" s="252"/>
      <c r="E520" s="253"/>
      <c r="F520" s="252"/>
      <c r="G520" s="252"/>
      <c r="H520" s="254"/>
    </row>
    <row r="521" spans="1:8" ht="14.25" customHeight="1" x14ac:dyDescent="0.25">
      <c r="A521" s="252"/>
      <c r="B521" s="252"/>
      <c r="C521" s="252"/>
      <c r="D521" s="252"/>
      <c r="E521" s="253"/>
      <c r="F521" s="252"/>
      <c r="G521" s="252"/>
      <c r="H521" s="254"/>
    </row>
    <row r="522" spans="1:8" ht="14.25" customHeight="1" x14ac:dyDescent="0.25">
      <c r="A522" s="252"/>
      <c r="B522" s="252"/>
      <c r="C522" s="252"/>
      <c r="D522" s="252"/>
      <c r="E522" s="253"/>
      <c r="F522" s="252"/>
      <c r="G522" s="252"/>
      <c r="H522" s="254"/>
    </row>
    <row r="523" spans="1:8" ht="14.25" customHeight="1" x14ac:dyDescent="0.25">
      <c r="A523" s="252"/>
      <c r="B523" s="252"/>
      <c r="C523" s="252"/>
      <c r="D523" s="252"/>
      <c r="E523" s="253"/>
      <c r="F523" s="252"/>
      <c r="G523" s="252"/>
      <c r="H523" s="254"/>
    </row>
    <row r="524" spans="1:8" ht="14.25" customHeight="1" x14ac:dyDescent="0.25">
      <c r="A524" s="252"/>
      <c r="B524" s="252"/>
      <c r="C524" s="252"/>
      <c r="D524" s="252"/>
      <c r="E524" s="253"/>
      <c r="F524" s="252"/>
      <c r="G524" s="252"/>
      <c r="H524" s="254"/>
    </row>
    <row r="525" spans="1:8" ht="15.75" x14ac:dyDescent="0.25">
      <c r="A525" s="252"/>
      <c r="B525" s="252"/>
      <c r="C525" s="252"/>
      <c r="D525" s="252"/>
      <c r="E525" s="258"/>
      <c r="F525" s="252"/>
      <c r="G525" s="252"/>
      <c r="H525" s="254"/>
    </row>
    <row r="526" spans="1:8" ht="15.75" x14ac:dyDescent="0.25">
      <c r="A526" s="252"/>
      <c r="B526" s="252"/>
      <c r="C526" s="252"/>
      <c r="D526" s="252"/>
      <c r="E526" s="253"/>
      <c r="F526" s="252"/>
      <c r="G526" s="252"/>
      <c r="H526" s="254"/>
    </row>
    <row r="527" spans="1:8" ht="15.75" x14ac:dyDescent="0.25">
      <c r="A527" s="252"/>
      <c r="B527" s="252"/>
      <c r="C527" s="252"/>
      <c r="D527" s="252"/>
      <c r="E527" s="253"/>
      <c r="F527" s="252"/>
      <c r="G527" s="252"/>
      <c r="H527" s="254"/>
    </row>
    <row r="528" spans="1:8" ht="15.75" x14ac:dyDescent="0.25">
      <c r="A528" s="252"/>
      <c r="B528" s="252"/>
      <c r="C528" s="252"/>
      <c r="D528" s="252"/>
      <c r="E528" s="253"/>
      <c r="F528" s="252"/>
      <c r="G528" s="252"/>
      <c r="H528" s="254"/>
    </row>
    <row r="529" spans="1:8" ht="15.75" x14ac:dyDescent="0.25">
      <c r="A529" s="252"/>
      <c r="B529" s="252"/>
      <c r="C529" s="252"/>
      <c r="D529" s="252"/>
      <c r="E529" s="253"/>
      <c r="F529" s="252"/>
      <c r="G529" s="252"/>
      <c r="H529" s="254"/>
    </row>
    <row r="530" spans="1:8" ht="15.75" x14ac:dyDescent="0.25">
      <c r="A530" s="252"/>
      <c r="B530" s="252"/>
      <c r="C530" s="252"/>
      <c r="D530" s="252"/>
      <c r="E530" s="253"/>
      <c r="F530" s="252"/>
      <c r="G530" s="252"/>
      <c r="H530" s="254"/>
    </row>
    <row r="531" spans="1:8" ht="15.75" x14ac:dyDescent="0.25">
      <c r="A531" s="252"/>
      <c r="B531" s="252"/>
      <c r="C531" s="252"/>
      <c r="D531" s="252"/>
      <c r="E531" s="253"/>
      <c r="F531" s="252"/>
      <c r="G531" s="252"/>
      <c r="H531" s="254"/>
    </row>
    <row r="532" spans="1:8" ht="15.75" x14ac:dyDescent="0.25">
      <c r="A532" s="252"/>
      <c r="B532" s="252"/>
      <c r="C532" s="252"/>
      <c r="D532" s="252"/>
      <c r="E532" s="253"/>
      <c r="F532" s="252"/>
      <c r="G532" s="252"/>
      <c r="H532" s="254"/>
    </row>
    <row r="533" spans="1:8" ht="15.75" x14ac:dyDescent="0.25">
      <c r="A533" s="252"/>
      <c r="B533" s="252"/>
      <c r="C533" s="252"/>
      <c r="D533" s="252"/>
      <c r="E533" s="253"/>
      <c r="F533" s="252"/>
      <c r="G533" s="252"/>
      <c r="H533" s="254"/>
    </row>
    <row r="534" spans="1:8" ht="15.75" x14ac:dyDescent="0.25">
      <c r="A534" s="252"/>
      <c r="B534" s="252"/>
      <c r="C534" s="252"/>
      <c r="D534" s="252"/>
      <c r="E534" s="253"/>
      <c r="F534" s="252"/>
      <c r="G534" s="252"/>
      <c r="H534" s="254"/>
    </row>
    <row r="535" spans="1:8" ht="15.75" x14ac:dyDescent="0.25">
      <c r="A535" s="252"/>
      <c r="B535" s="252"/>
      <c r="C535" s="252"/>
      <c r="D535" s="252"/>
      <c r="E535" s="253"/>
      <c r="F535" s="252"/>
      <c r="G535" s="252"/>
      <c r="H535" s="254"/>
    </row>
    <row r="536" spans="1:8" ht="15.75" x14ac:dyDescent="0.25">
      <c r="A536" s="252"/>
      <c r="B536" s="252"/>
      <c r="C536" s="252"/>
      <c r="D536" s="252"/>
      <c r="E536" s="253"/>
      <c r="F536" s="252"/>
      <c r="G536" s="252"/>
      <c r="H536" s="254"/>
    </row>
    <row r="537" spans="1:8" ht="15.75" x14ac:dyDescent="0.25">
      <c r="A537" s="252"/>
      <c r="B537" s="252"/>
      <c r="C537" s="252"/>
      <c r="D537" s="252"/>
      <c r="E537" s="253"/>
      <c r="F537" s="252"/>
      <c r="G537" s="252"/>
      <c r="H537" s="254"/>
    </row>
    <row r="538" spans="1:8" ht="15.75" x14ac:dyDescent="0.25">
      <c r="A538" s="252"/>
      <c r="B538" s="252"/>
      <c r="C538" s="252"/>
      <c r="D538" s="252"/>
      <c r="E538" s="253"/>
      <c r="F538" s="252"/>
      <c r="G538" s="252"/>
      <c r="H538" s="254"/>
    </row>
    <row r="539" spans="1:8" ht="15.75" x14ac:dyDescent="0.25">
      <c r="A539" s="252"/>
      <c r="B539" s="252"/>
      <c r="C539" s="252"/>
      <c r="D539" s="252"/>
      <c r="E539" s="253"/>
      <c r="F539" s="252"/>
      <c r="G539" s="252"/>
      <c r="H539" s="254"/>
    </row>
    <row r="540" spans="1:8" ht="15.75" x14ac:dyDescent="0.25">
      <c r="A540" s="252"/>
      <c r="B540" s="252"/>
      <c r="C540" s="252"/>
      <c r="D540" s="252"/>
      <c r="E540" s="253"/>
      <c r="F540" s="252"/>
      <c r="G540" s="252"/>
      <c r="H540" s="254"/>
    </row>
    <row r="541" spans="1:8" ht="15.75" x14ac:dyDescent="0.25">
      <c r="A541" s="252"/>
      <c r="B541" s="252"/>
      <c r="C541" s="252"/>
      <c r="D541" s="252"/>
      <c r="E541" s="253"/>
      <c r="F541" s="252"/>
      <c r="G541" s="252"/>
      <c r="H541" s="254"/>
    </row>
    <row r="542" spans="1:8" ht="15.75" x14ac:dyDescent="0.25">
      <c r="A542" s="252"/>
      <c r="B542" s="252"/>
      <c r="C542" s="252"/>
      <c r="D542" s="252"/>
      <c r="E542" s="253"/>
      <c r="F542" s="252"/>
      <c r="G542" s="252"/>
      <c r="H542" s="254"/>
    </row>
    <row r="543" spans="1:8" ht="15.75" x14ac:dyDescent="0.25">
      <c r="A543" s="252"/>
      <c r="B543" s="252"/>
      <c r="C543" s="252"/>
      <c r="D543" s="252"/>
      <c r="E543" s="253"/>
      <c r="F543" s="252"/>
      <c r="G543" s="252"/>
      <c r="H543" s="254"/>
    </row>
    <row r="544" spans="1:8" ht="15.75" x14ac:dyDescent="0.25">
      <c r="A544" s="252"/>
      <c r="B544" s="252"/>
      <c r="C544" s="252"/>
      <c r="D544" s="252"/>
      <c r="E544" s="253"/>
      <c r="F544" s="252"/>
      <c r="G544" s="252"/>
      <c r="H544" s="254"/>
    </row>
    <row r="545" spans="1:8" ht="15.75" x14ac:dyDescent="0.25">
      <c r="A545" s="252"/>
      <c r="B545" s="252"/>
      <c r="C545" s="252"/>
      <c r="D545" s="252"/>
      <c r="E545" s="253"/>
      <c r="F545" s="252"/>
      <c r="G545" s="252"/>
      <c r="H545" s="254"/>
    </row>
    <row r="546" spans="1:8" ht="15.75" x14ac:dyDescent="0.25">
      <c r="A546" s="252"/>
      <c r="B546" s="252"/>
      <c r="C546" s="252"/>
      <c r="D546" s="252"/>
      <c r="E546" s="253"/>
      <c r="F546" s="252"/>
      <c r="G546" s="252"/>
      <c r="H546" s="254"/>
    </row>
    <row r="547" spans="1:8" ht="15.75" x14ac:dyDescent="0.25">
      <c r="A547" s="252"/>
      <c r="B547" s="252"/>
      <c r="C547" s="252"/>
      <c r="D547" s="252"/>
      <c r="E547" s="253"/>
      <c r="F547" s="252"/>
      <c r="G547" s="252"/>
      <c r="H547" s="254"/>
    </row>
    <row r="548" spans="1:8" ht="15.75" x14ac:dyDescent="0.25">
      <c r="A548" s="252"/>
      <c r="B548" s="252"/>
      <c r="C548" s="252"/>
      <c r="D548" s="252"/>
      <c r="E548" s="253"/>
      <c r="F548" s="252"/>
      <c r="G548" s="252"/>
      <c r="H548" s="254"/>
    </row>
    <row r="549" spans="1:8" ht="15.75" x14ac:dyDescent="0.25">
      <c r="A549" s="252"/>
      <c r="B549" s="252"/>
      <c r="C549" s="252"/>
      <c r="D549" s="252"/>
      <c r="E549" s="253"/>
      <c r="F549" s="252"/>
      <c r="G549" s="252"/>
      <c r="H549" s="254"/>
    </row>
    <row r="550" spans="1:8" ht="15.75" x14ac:dyDescent="0.25">
      <c r="A550" s="252"/>
      <c r="B550" s="252"/>
      <c r="C550" s="252"/>
      <c r="D550" s="252"/>
      <c r="E550" s="253"/>
      <c r="F550" s="252"/>
      <c r="G550" s="252"/>
      <c r="H550" s="254"/>
    </row>
    <row r="551" spans="1:8" ht="15.75" x14ac:dyDescent="0.25">
      <c r="A551" s="252"/>
      <c r="B551" s="252"/>
      <c r="C551" s="252"/>
      <c r="D551" s="252"/>
      <c r="E551" s="253"/>
      <c r="F551" s="252"/>
      <c r="G551" s="252"/>
      <c r="H551" s="254"/>
    </row>
    <row r="552" spans="1:8" ht="15.75" x14ac:dyDescent="0.25">
      <c r="A552" s="252"/>
      <c r="B552" s="252"/>
      <c r="C552" s="252"/>
      <c r="D552" s="252"/>
      <c r="E552" s="253"/>
      <c r="F552" s="252"/>
      <c r="G552" s="252"/>
      <c r="H552" s="254"/>
    </row>
    <row r="553" spans="1:8" ht="15.75" x14ac:dyDescent="0.25">
      <c r="A553" s="252"/>
      <c r="B553" s="252"/>
      <c r="C553" s="252"/>
      <c r="D553" s="252"/>
      <c r="E553" s="253"/>
      <c r="F553" s="252"/>
      <c r="G553" s="252"/>
      <c r="H553" s="254"/>
    </row>
    <row r="554" spans="1:8" ht="15.75" x14ac:dyDescent="0.25">
      <c r="A554" s="252"/>
      <c r="B554" s="252"/>
      <c r="C554" s="252"/>
      <c r="D554" s="252"/>
      <c r="E554" s="253"/>
      <c r="F554" s="252"/>
      <c r="G554" s="252"/>
      <c r="H554" s="254"/>
    </row>
    <row r="555" spans="1:8" ht="15.75" x14ac:dyDescent="0.25">
      <c r="A555" s="252"/>
      <c r="B555" s="252"/>
      <c r="C555" s="252"/>
      <c r="D555" s="252"/>
      <c r="E555" s="253"/>
      <c r="F555" s="252"/>
      <c r="G555" s="252"/>
      <c r="H555" s="254"/>
    </row>
    <row r="556" spans="1:8" ht="15.75" x14ac:dyDescent="0.25">
      <c r="A556" s="252"/>
      <c r="B556" s="252"/>
      <c r="C556" s="252"/>
      <c r="D556" s="252"/>
      <c r="E556" s="253"/>
      <c r="F556" s="252"/>
      <c r="G556" s="252"/>
      <c r="H556" s="254"/>
    </row>
    <row r="557" spans="1:8" ht="15.75" x14ac:dyDescent="0.25">
      <c r="A557" s="252"/>
      <c r="B557" s="252"/>
      <c r="C557" s="252"/>
      <c r="D557" s="252"/>
      <c r="E557" s="253"/>
      <c r="F557" s="252"/>
      <c r="G557" s="252"/>
      <c r="H557" s="254"/>
    </row>
    <row r="558" spans="1:8" ht="15.75" x14ac:dyDescent="0.25">
      <c r="A558" s="252"/>
      <c r="B558" s="252"/>
      <c r="C558" s="252"/>
      <c r="D558" s="252"/>
      <c r="E558" s="253"/>
      <c r="F558" s="252"/>
      <c r="G558" s="252"/>
      <c r="H558" s="254"/>
    </row>
    <row r="559" spans="1:8" ht="15.75" x14ac:dyDescent="0.25">
      <c r="A559" s="252"/>
      <c r="B559" s="252"/>
      <c r="C559" s="252"/>
      <c r="D559" s="252"/>
      <c r="E559" s="253"/>
      <c r="F559" s="252"/>
      <c r="G559" s="252"/>
      <c r="H559" s="254"/>
    </row>
    <row r="560" spans="1:8" ht="15.75" x14ac:dyDescent="0.25">
      <c r="A560" s="252"/>
      <c r="B560" s="252"/>
      <c r="C560" s="252"/>
      <c r="D560" s="252"/>
      <c r="E560" s="253"/>
      <c r="F560" s="252"/>
      <c r="G560" s="252"/>
      <c r="H560" s="254"/>
    </row>
    <row r="561" spans="1:8" ht="15.75" x14ac:dyDescent="0.25">
      <c r="A561" s="252"/>
      <c r="B561" s="252"/>
      <c r="C561" s="252"/>
      <c r="D561" s="252"/>
      <c r="E561" s="253"/>
      <c r="F561" s="252"/>
      <c r="G561" s="252"/>
      <c r="H561" s="254"/>
    </row>
    <row r="562" spans="1:8" ht="15.75" x14ac:dyDescent="0.25">
      <c r="A562" s="252"/>
      <c r="B562" s="252"/>
      <c r="C562" s="252"/>
      <c r="D562" s="252"/>
      <c r="E562" s="253"/>
      <c r="F562" s="252"/>
      <c r="G562" s="252"/>
      <c r="H562" s="254"/>
    </row>
    <row r="563" spans="1:8" ht="15.75" x14ac:dyDescent="0.25">
      <c r="A563" s="252"/>
      <c r="B563" s="252"/>
      <c r="C563" s="252"/>
      <c r="D563" s="252"/>
      <c r="E563" s="253"/>
      <c r="F563" s="252"/>
      <c r="G563" s="252"/>
      <c r="H563" s="254"/>
    </row>
    <row r="564" spans="1:8" ht="15.75" x14ac:dyDescent="0.25">
      <c r="A564" s="252"/>
      <c r="B564" s="252"/>
      <c r="C564" s="252"/>
      <c r="D564" s="252"/>
      <c r="E564" s="253"/>
      <c r="F564" s="252"/>
      <c r="G564" s="252"/>
      <c r="H564" s="254"/>
    </row>
    <row r="565" spans="1:8" ht="15.75" x14ac:dyDescent="0.25">
      <c r="A565" s="252"/>
      <c r="B565" s="252"/>
      <c r="C565" s="252"/>
      <c r="D565" s="252"/>
      <c r="E565" s="253"/>
      <c r="F565" s="252"/>
      <c r="G565" s="252"/>
      <c r="H565" s="254"/>
    </row>
    <row r="566" spans="1:8" ht="15.75" x14ac:dyDescent="0.25">
      <c r="A566" s="252"/>
      <c r="B566" s="252"/>
      <c r="C566" s="252"/>
      <c r="D566" s="252"/>
      <c r="E566" s="253"/>
      <c r="F566" s="252"/>
      <c r="G566" s="252"/>
      <c r="H566" s="254"/>
    </row>
    <row r="567" spans="1:8" ht="15.75" x14ac:dyDescent="0.25">
      <c r="A567" s="252"/>
      <c r="B567" s="252"/>
      <c r="C567" s="252"/>
      <c r="D567" s="252"/>
      <c r="E567" s="253"/>
      <c r="F567" s="252"/>
      <c r="G567" s="252"/>
      <c r="H567" s="254"/>
    </row>
    <row r="568" spans="1:8" ht="15.75" x14ac:dyDescent="0.25">
      <c r="A568" s="252"/>
      <c r="B568" s="252"/>
      <c r="C568" s="252"/>
      <c r="D568" s="252"/>
      <c r="E568" s="253"/>
      <c r="F568" s="252"/>
      <c r="G568" s="252"/>
      <c r="H568" s="254"/>
    </row>
    <row r="569" spans="1:8" ht="15.75" x14ac:dyDescent="0.25">
      <c r="A569" s="252"/>
      <c r="B569" s="252"/>
      <c r="C569" s="252"/>
      <c r="D569" s="252"/>
      <c r="E569" s="253"/>
      <c r="F569" s="252"/>
      <c r="G569" s="252"/>
      <c r="H569" s="254"/>
    </row>
    <row r="570" spans="1:8" ht="15.75" x14ac:dyDescent="0.25">
      <c r="A570" s="252"/>
      <c r="B570" s="252"/>
      <c r="C570" s="252"/>
      <c r="D570" s="252"/>
      <c r="E570" s="253"/>
      <c r="F570" s="252"/>
      <c r="G570" s="252"/>
      <c r="H570" s="254"/>
    </row>
    <row r="571" spans="1:8" ht="15.75" x14ac:dyDescent="0.25">
      <c r="A571" s="252"/>
      <c r="B571" s="252"/>
      <c r="C571" s="252"/>
      <c r="D571" s="252"/>
      <c r="E571" s="253"/>
      <c r="F571" s="252"/>
      <c r="G571" s="252"/>
      <c r="H571" s="254"/>
    </row>
    <row r="572" spans="1:8" ht="15.75" x14ac:dyDescent="0.25">
      <c r="A572" s="252"/>
      <c r="B572" s="252"/>
      <c r="C572" s="252"/>
      <c r="D572" s="252"/>
      <c r="E572" s="253"/>
      <c r="F572" s="252"/>
      <c r="G572" s="252"/>
      <c r="H572" s="254"/>
    </row>
    <row r="573" spans="1:8" ht="15.75" x14ac:dyDescent="0.25">
      <c r="A573" s="252"/>
      <c r="B573" s="252"/>
      <c r="C573" s="252"/>
      <c r="D573" s="252"/>
      <c r="E573" s="253"/>
      <c r="F573" s="252"/>
      <c r="G573" s="252"/>
      <c r="H573" s="254"/>
    </row>
    <row r="574" spans="1:8" ht="15.75" x14ac:dyDescent="0.25">
      <c r="A574" s="252"/>
      <c r="B574" s="252"/>
      <c r="C574" s="252"/>
      <c r="D574" s="252"/>
      <c r="E574" s="253"/>
      <c r="F574" s="252"/>
      <c r="G574" s="252"/>
      <c r="H574" s="254"/>
    </row>
    <row r="575" spans="1:8" ht="15.75" x14ac:dyDescent="0.25">
      <c r="A575" s="252"/>
      <c r="B575" s="252"/>
      <c r="C575" s="252"/>
      <c r="D575" s="252"/>
      <c r="E575" s="253"/>
      <c r="F575" s="252"/>
      <c r="G575" s="252"/>
      <c r="H575" s="254"/>
    </row>
    <row r="576" spans="1:8" ht="15.75" x14ac:dyDescent="0.25">
      <c r="A576" s="252"/>
      <c r="B576" s="252"/>
      <c r="C576" s="252"/>
      <c r="D576" s="252"/>
      <c r="E576" s="253"/>
      <c r="F576" s="252"/>
      <c r="G576" s="252"/>
      <c r="H576" s="254"/>
    </row>
    <row r="577" spans="1:8" ht="15.75" x14ac:dyDescent="0.25">
      <c r="A577" s="252"/>
      <c r="B577" s="252"/>
      <c r="C577" s="252"/>
      <c r="D577" s="252"/>
      <c r="E577" s="253"/>
      <c r="F577" s="252"/>
      <c r="G577" s="252"/>
      <c r="H577" s="254"/>
    </row>
    <row r="578" spans="1:8" ht="15.75" x14ac:dyDescent="0.25">
      <c r="A578" s="252"/>
      <c r="B578" s="252"/>
      <c r="C578" s="252"/>
      <c r="D578" s="252"/>
      <c r="E578" s="253"/>
      <c r="F578" s="252"/>
      <c r="G578" s="252"/>
      <c r="H578" s="254"/>
    </row>
    <row r="579" spans="1:8" ht="15.75" x14ac:dyDescent="0.25">
      <c r="A579" s="252"/>
      <c r="B579" s="252"/>
      <c r="C579" s="252"/>
      <c r="D579" s="252"/>
      <c r="E579" s="253"/>
      <c r="F579" s="252"/>
      <c r="G579" s="252"/>
      <c r="H579" s="254"/>
    </row>
    <row r="580" spans="1:8" ht="15.75" x14ac:dyDescent="0.25">
      <c r="A580" s="252"/>
      <c r="B580" s="252"/>
      <c r="C580" s="252"/>
      <c r="D580" s="252"/>
      <c r="E580" s="253"/>
      <c r="F580" s="252"/>
      <c r="G580" s="252"/>
      <c r="H580" s="254"/>
    </row>
    <row r="581" spans="1:8" ht="15.75" x14ac:dyDescent="0.25">
      <c r="A581" s="252"/>
      <c r="B581" s="252"/>
      <c r="C581" s="252"/>
      <c r="D581" s="252"/>
      <c r="E581" s="253"/>
      <c r="F581" s="252"/>
      <c r="G581" s="252"/>
      <c r="H581" s="254"/>
    </row>
    <row r="582" spans="1:8" ht="15.75" x14ac:dyDescent="0.25">
      <c r="A582" s="252"/>
      <c r="B582" s="252"/>
      <c r="C582" s="252"/>
      <c r="D582" s="252"/>
      <c r="E582" s="253"/>
      <c r="F582" s="252"/>
      <c r="G582" s="252"/>
      <c r="H582" s="254"/>
    </row>
    <row r="583" spans="1:8" ht="15.75" x14ac:dyDescent="0.25">
      <c r="A583" s="252"/>
      <c r="B583" s="252"/>
      <c r="C583" s="252"/>
      <c r="D583" s="252"/>
      <c r="E583" s="253"/>
      <c r="F583" s="252"/>
      <c r="G583" s="252"/>
      <c r="H583" s="254"/>
    </row>
    <row r="584" spans="1:8" ht="15.75" x14ac:dyDescent="0.25">
      <c r="A584" s="252"/>
      <c r="B584" s="252"/>
      <c r="C584" s="252"/>
      <c r="D584" s="252"/>
      <c r="E584" s="253"/>
      <c r="F584" s="252"/>
      <c r="G584" s="252"/>
      <c r="H584" s="254"/>
    </row>
    <row r="585" spans="1:8" ht="15.75" x14ac:dyDescent="0.25">
      <c r="A585" s="252"/>
      <c r="B585" s="252"/>
      <c r="C585" s="252"/>
      <c r="D585" s="252"/>
      <c r="E585" s="253"/>
      <c r="F585" s="252"/>
      <c r="G585" s="252"/>
      <c r="H585" s="254"/>
    </row>
    <row r="586" spans="1:8" ht="15.75" x14ac:dyDescent="0.25">
      <c r="A586" s="252"/>
      <c r="B586" s="252"/>
      <c r="C586" s="252"/>
      <c r="D586" s="252"/>
      <c r="E586" s="253"/>
      <c r="F586" s="252"/>
      <c r="G586" s="252"/>
      <c r="H586" s="254"/>
    </row>
    <row r="587" spans="1:8" ht="15.75" x14ac:dyDescent="0.25">
      <c r="A587" s="252"/>
      <c r="B587" s="252"/>
      <c r="C587" s="252"/>
      <c r="D587" s="252"/>
      <c r="E587" s="253"/>
      <c r="F587" s="252"/>
      <c r="G587" s="252"/>
      <c r="H587" s="254"/>
    </row>
    <row r="588" spans="1:8" ht="15.75" x14ac:dyDescent="0.25">
      <c r="A588" s="252"/>
      <c r="B588" s="252"/>
      <c r="C588" s="252"/>
      <c r="D588" s="252"/>
      <c r="E588" s="253"/>
      <c r="F588" s="252"/>
      <c r="G588" s="252"/>
      <c r="H588" s="254"/>
    </row>
    <row r="589" spans="1:8" ht="15.75" x14ac:dyDescent="0.25">
      <c r="A589" s="252"/>
      <c r="B589" s="252"/>
      <c r="C589" s="252"/>
      <c r="D589" s="252"/>
      <c r="E589" s="253"/>
      <c r="F589" s="252"/>
      <c r="G589" s="252"/>
      <c r="H589" s="254"/>
    </row>
    <row r="590" spans="1:8" ht="15.75" x14ac:dyDescent="0.25">
      <c r="A590" s="252"/>
      <c r="B590" s="252"/>
      <c r="C590" s="252"/>
      <c r="D590" s="252"/>
      <c r="E590" s="253"/>
      <c r="F590" s="252"/>
      <c r="G590" s="252"/>
      <c r="H590" s="254"/>
    </row>
    <row r="591" spans="1:8" ht="15.75" x14ac:dyDescent="0.25">
      <c r="A591" s="252"/>
      <c r="B591" s="252"/>
      <c r="C591" s="252"/>
      <c r="D591" s="252"/>
      <c r="E591" s="253"/>
      <c r="F591" s="252"/>
      <c r="G591" s="252"/>
      <c r="H591" s="254"/>
    </row>
    <row r="592" spans="1:8" ht="15.75" x14ac:dyDescent="0.25">
      <c r="A592" s="252"/>
      <c r="B592" s="252"/>
      <c r="C592" s="252"/>
      <c r="D592" s="252"/>
      <c r="E592" s="253"/>
      <c r="F592" s="252"/>
      <c r="G592" s="252"/>
      <c r="H592" s="254"/>
    </row>
    <row r="593" spans="1:8" ht="15.75" x14ac:dyDescent="0.25">
      <c r="A593" s="252"/>
      <c r="B593" s="252"/>
      <c r="C593" s="252"/>
      <c r="D593" s="252"/>
      <c r="E593" s="253"/>
      <c r="F593" s="252"/>
      <c r="G593" s="252"/>
      <c r="H593" s="254"/>
    </row>
    <row r="594" spans="1:8" ht="15.75" x14ac:dyDescent="0.25">
      <c r="A594" s="252"/>
      <c r="B594" s="252"/>
      <c r="C594" s="252"/>
      <c r="D594" s="252"/>
      <c r="E594" s="253"/>
      <c r="F594" s="252"/>
      <c r="G594" s="252"/>
      <c r="H594" s="254"/>
    </row>
    <row r="595" spans="1:8" ht="15.75" x14ac:dyDescent="0.25">
      <c r="A595" s="252"/>
      <c r="B595" s="252"/>
      <c r="C595" s="252"/>
      <c r="D595" s="252"/>
      <c r="E595" s="253"/>
      <c r="F595" s="252"/>
      <c r="G595" s="252"/>
      <c r="H595" s="254"/>
    </row>
    <row r="596" spans="1:8" ht="15.75" x14ac:dyDescent="0.25">
      <c r="A596" s="252"/>
      <c r="B596" s="252"/>
      <c r="C596" s="252"/>
      <c r="D596" s="252"/>
      <c r="E596" s="253"/>
      <c r="F596" s="252"/>
      <c r="G596" s="252"/>
      <c r="H596" s="254"/>
    </row>
    <row r="597" spans="1:8" ht="15.75" x14ac:dyDescent="0.25">
      <c r="A597" s="252"/>
      <c r="B597" s="252"/>
      <c r="C597" s="252"/>
      <c r="D597" s="252"/>
      <c r="E597" s="253"/>
      <c r="F597" s="252"/>
      <c r="G597" s="252"/>
      <c r="H597" s="254"/>
    </row>
    <row r="598" spans="1:8" ht="15.75" x14ac:dyDescent="0.25">
      <c r="A598" s="252"/>
      <c r="B598" s="252"/>
      <c r="C598" s="252"/>
      <c r="D598" s="252"/>
      <c r="E598" s="253"/>
      <c r="F598" s="252"/>
      <c r="G598" s="252"/>
      <c r="H598" s="254"/>
    </row>
    <row r="599" spans="1:8" ht="15.75" x14ac:dyDescent="0.25">
      <c r="A599" s="252"/>
      <c r="B599" s="252"/>
      <c r="C599" s="252"/>
      <c r="D599" s="252"/>
      <c r="E599" s="253"/>
      <c r="F599" s="252"/>
      <c r="G599" s="252"/>
      <c r="H599" s="254"/>
    </row>
    <row r="600" spans="1:8" ht="15.75" x14ac:dyDescent="0.25">
      <c r="A600" s="252"/>
      <c r="B600" s="252"/>
      <c r="C600" s="252"/>
      <c r="D600" s="252"/>
      <c r="E600" s="253"/>
      <c r="F600" s="252"/>
      <c r="G600" s="252"/>
      <c r="H600" s="254"/>
    </row>
    <row r="601" spans="1:8" ht="15.75" x14ac:dyDescent="0.25">
      <c r="A601" s="252"/>
      <c r="B601" s="252"/>
      <c r="C601" s="252"/>
      <c r="D601" s="252"/>
      <c r="E601" s="253"/>
      <c r="F601" s="252"/>
      <c r="G601" s="252"/>
      <c r="H601" s="254"/>
    </row>
    <row r="602" spans="1:8" ht="15.75" x14ac:dyDescent="0.25">
      <c r="A602" s="252"/>
      <c r="B602" s="252"/>
      <c r="C602" s="252"/>
      <c r="D602" s="252"/>
      <c r="E602" s="253"/>
      <c r="F602" s="252"/>
      <c r="G602" s="252"/>
      <c r="H602" s="254"/>
    </row>
    <row r="603" spans="1:8" ht="15.75" x14ac:dyDescent="0.25">
      <c r="A603" s="252"/>
      <c r="B603" s="252"/>
      <c r="C603" s="252"/>
      <c r="D603" s="252"/>
      <c r="E603" s="253"/>
      <c r="F603" s="252"/>
      <c r="G603" s="252"/>
      <c r="H603" s="254"/>
    </row>
    <row r="604" spans="1:8" ht="15.75" x14ac:dyDescent="0.25">
      <c r="A604" s="252"/>
      <c r="B604" s="252"/>
      <c r="C604" s="252"/>
      <c r="D604" s="252"/>
      <c r="E604" s="253"/>
      <c r="F604" s="252"/>
      <c r="G604" s="252"/>
      <c r="H604" s="254"/>
    </row>
    <row r="605" spans="1:8" ht="15.75" x14ac:dyDescent="0.25">
      <c r="A605" s="252"/>
      <c r="B605" s="252"/>
      <c r="C605" s="252"/>
      <c r="D605" s="252"/>
      <c r="E605" s="253"/>
      <c r="F605" s="252"/>
      <c r="G605" s="252"/>
      <c r="H605" s="254"/>
    </row>
    <row r="606" spans="1:8" ht="15.75" x14ac:dyDescent="0.25">
      <c r="A606" s="252"/>
      <c r="B606" s="252"/>
      <c r="C606" s="252"/>
      <c r="D606" s="252"/>
      <c r="E606" s="253"/>
      <c r="F606" s="252"/>
      <c r="G606" s="252"/>
      <c r="H606" s="254"/>
    </row>
    <row r="607" spans="1:8" ht="15.75" x14ac:dyDescent="0.25">
      <c r="A607" s="252"/>
      <c r="B607" s="252"/>
      <c r="C607" s="252"/>
      <c r="D607" s="252"/>
      <c r="E607" s="253"/>
      <c r="F607" s="252"/>
      <c r="G607" s="252"/>
      <c r="H607" s="254"/>
    </row>
    <row r="608" spans="1:8" ht="15.75" x14ac:dyDescent="0.25">
      <c r="A608" s="252"/>
      <c r="B608" s="252"/>
      <c r="C608" s="252"/>
      <c r="D608" s="252"/>
      <c r="E608" s="253"/>
      <c r="F608" s="252"/>
      <c r="G608" s="252"/>
      <c r="H608" s="254"/>
    </row>
    <row r="609" spans="1:8" ht="15.75" x14ac:dyDescent="0.25">
      <c r="A609" s="252"/>
      <c r="B609" s="252"/>
      <c r="C609" s="252"/>
      <c r="D609" s="252"/>
      <c r="E609" s="253"/>
      <c r="F609" s="252"/>
      <c r="G609" s="252"/>
      <c r="H609" s="254"/>
    </row>
    <row r="610" spans="1:8" ht="15.75" x14ac:dyDescent="0.25">
      <c r="A610" s="252"/>
      <c r="B610" s="252"/>
      <c r="C610" s="252"/>
      <c r="D610" s="252"/>
      <c r="E610" s="253"/>
      <c r="F610" s="252"/>
      <c r="G610" s="252"/>
      <c r="H610" s="254"/>
    </row>
    <row r="611" spans="1:8" ht="15.75" x14ac:dyDescent="0.25">
      <c r="A611" s="252"/>
      <c r="B611" s="252"/>
      <c r="C611" s="252"/>
      <c r="D611" s="252"/>
      <c r="E611" s="253"/>
      <c r="F611" s="252"/>
      <c r="G611" s="252"/>
      <c r="H611" s="254"/>
    </row>
    <row r="612" spans="1:8" ht="15.75" x14ac:dyDescent="0.25">
      <c r="A612" s="252"/>
      <c r="B612" s="252"/>
      <c r="C612" s="252"/>
      <c r="D612" s="252"/>
      <c r="E612" s="253"/>
      <c r="F612" s="252"/>
      <c r="G612" s="252"/>
      <c r="H612" s="254"/>
    </row>
    <row r="613" spans="1:8" ht="15.75" x14ac:dyDescent="0.25">
      <c r="A613" s="252"/>
      <c r="B613" s="252"/>
      <c r="C613" s="252"/>
      <c r="D613" s="252"/>
      <c r="E613" s="253"/>
      <c r="F613" s="252"/>
      <c r="G613" s="252"/>
      <c r="H613" s="254"/>
    </row>
    <row r="614" spans="1:8" ht="15.75" x14ac:dyDescent="0.25">
      <c r="A614" s="252"/>
      <c r="B614" s="252"/>
      <c r="C614" s="252"/>
      <c r="D614" s="252"/>
      <c r="E614" s="253"/>
      <c r="F614" s="252"/>
      <c r="G614" s="252"/>
      <c r="H614" s="254"/>
    </row>
    <row r="615" spans="1:8" ht="15.75" x14ac:dyDescent="0.25">
      <c r="A615" s="252"/>
      <c r="B615" s="252"/>
      <c r="C615" s="252"/>
      <c r="D615" s="252"/>
      <c r="E615" s="253"/>
      <c r="F615" s="252"/>
      <c r="G615" s="252"/>
      <c r="H615" s="254"/>
    </row>
    <row r="616" spans="1:8" ht="15.75" x14ac:dyDescent="0.25">
      <c r="A616" s="252"/>
      <c r="B616" s="252"/>
      <c r="C616" s="252"/>
      <c r="D616" s="252"/>
      <c r="E616" s="253"/>
      <c r="F616" s="252"/>
      <c r="G616" s="252"/>
      <c r="H616" s="254"/>
    </row>
    <row r="617" spans="1:8" ht="15.75" x14ac:dyDescent="0.25">
      <c r="A617" s="252"/>
      <c r="B617" s="252"/>
      <c r="C617" s="252"/>
      <c r="D617" s="252"/>
      <c r="E617" s="253"/>
      <c r="F617" s="252"/>
      <c r="G617" s="252"/>
      <c r="H617" s="254"/>
    </row>
    <row r="618" spans="1:8" ht="15.75" x14ac:dyDescent="0.25">
      <c r="A618" s="252"/>
      <c r="B618" s="252"/>
      <c r="C618" s="252"/>
      <c r="D618" s="252"/>
      <c r="E618" s="253"/>
      <c r="F618" s="252"/>
      <c r="G618" s="252"/>
      <c r="H618" s="254"/>
    </row>
    <row r="619" spans="1:8" ht="15.75" x14ac:dyDescent="0.25">
      <c r="A619" s="252"/>
      <c r="B619" s="252"/>
      <c r="C619" s="252"/>
      <c r="D619" s="252"/>
      <c r="E619" s="253"/>
      <c r="F619" s="252"/>
      <c r="G619" s="252"/>
      <c r="H619" s="254"/>
    </row>
    <row r="620" spans="1:8" ht="15.75" x14ac:dyDescent="0.25">
      <c r="A620" s="252"/>
      <c r="B620" s="252"/>
      <c r="C620" s="252"/>
      <c r="D620" s="252"/>
      <c r="E620" s="253"/>
      <c r="F620" s="252"/>
      <c r="G620" s="252"/>
      <c r="H620" s="254"/>
    </row>
    <row r="621" spans="1:8" ht="15.75" x14ac:dyDescent="0.25">
      <c r="A621" s="252"/>
      <c r="B621" s="252"/>
      <c r="C621" s="252"/>
      <c r="D621" s="252"/>
      <c r="E621" s="253"/>
      <c r="F621" s="252"/>
      <c r="G621" s="252"/>
      <c r="H621" s="254"/>
    </row>
    <row r="622" spans="1:8" ht="15.75" x14ac:dyDescent="0.25">
      <c r="A622" s="252"/>
      <c r="B622" s="252"/>
      <c r="C622" s="252"/>
      <c r="D622" s="252"/>
      <c r="E622" s="253"/>
      <c r="F622" s="252"/>
      <c r="G622" s="252"/>
      <c r="H622" s="254"/>
    </row>
    <row r="623" spans="1:8" ht="15.75" x14ac:dyDescent="0.25">
      <c r="A623" s="252"/>
      <c r="B623" s="252"/>
      <c r="C623" s="252"/>
      <c r="D623" s="252"/>
      <c r="E623" s="253"/>
      <c r="F623" s="252"/>
      <c r="G623" s="252"/>
      <c r="H623" s="254"/>
    </row>
    <row r="624" spans="1:8" ht="15.75" x14ac:dyDescent="0.25">
      <c r="A624" s="252"/>
      <c r="B624" s="252"/>
      <c r="C624" s="252"/>
      <c r="D624" s="252"/>
      <c r="E624" s="253"/>
      <c r="F624" s="252"/>
      <c r="G624" s="252"/>
      <c r="H624" s="254"/>
    </row>
    <row r="625" spans="1:8" ht="15.75" x14ac:dyDescent="0.25">
      <c r="A625" s="252"/>
      <c r="B625" s="252"/>
      <c r="C625" s="252"/>
      <c r="D625" s="252"/>
      <c r="E625" s="253"/>
      <c r="F625" s="252"/>
      <c r="G625" s="252"/>
      <c r="H625" s="254"/>
    </row>
    <row r="626" spans="1:8" ht="15.75" x14ac:dyDescent="0.25">
      <c r="A626" s="252"/>
      <c r="B626" s="252"/>
      <c r="C626" s="252"/>
      <c r="D626" s="252"/>
      <c r="E626" s="253"/>
      <c r="F626" s="252"/>
      <c r="G626" s="252"/>
      <c r="H626" s="254"/>
    </row>
    <row r="627" spans="1:8" ht="15.75" x14ac:dyDescent="0.25">
      <c r="A627" s="252"/>
      <c r="B627" s="252"/>
      <c r="C627" s="252"/>
      <c r="D627" s="252"/>
      <c r="E627" s="253"/>
      <c r="F627" s="252"/>
      <c r="G627" s="252"/>
      <c r="H627" s="254"/>
    </row>
    <row r="628" spans="1:8" ht="15.75" x14ac:dyDescent="0.25">
      <c r="A628" s="252"/>
      <c r="B628" s="252"/>
      <c r="C628" s="252"/>
      <c r="D628" s="252"/>
      <c r="E628" s="253"/>
      <c r="F628" s="252"/>
      <c r="G628" s="252"/>
      <c r="H628" s="254"/>
    </row>
    <row r="629" spans="1:8" ht="15.75" x14ac:dyDescent="0.25">
      <c r="A629" s="252"/>
      <c r="B629" s="252"/>
      <c r="C629" s="252"/>
      <c r="D629" s="252"/>
      <c r="E629" s="253"/>
      <c r="F629" s="252"/>
      <c r="G629" s="252"/>
      <c r="H629" s="254"/>
    </row>
    <row r="630" spans="1:8" ht="15.75" x14ac:dyDescent="0.25">
      <c r="A630" s="252"/>
      <c r="B630" s="252"/>
      <c r="C630" s="252"/>
      <c r="D630" s="252"/>
      <c r="E630" s="253"/>
      <c r="F630" s="252"/>
      <c r="G630" s="252"/>
      <c r="H630" s="254"/>
    </row>
    <row r="631" spans="1:8" ht="15.75" x14ac:dyDescent="0.25">
      <c r="A631" s="252"/>
      <c r="B631" s="252"/>
      <c r="C631" s="252"/>
      <c r="D631" s="252"/>
      <c r="E631" s="253"/>
      <c r="F631" s="252"/>
      <c r="G631" s="252"/>
      <c r="H631" s="254"/>
    </row>
    <row r="632" spans="1:8" ht="15.75" x14ac:dyDescent="0.25">
      <c r="A632" s="252"/>
      <c r="B632" s="252"/>
      <c r="C632" s="252"/>
      <c r="D632" s="252"/>
      <c r="E632" s="253"/>
      <c r="F632" s="252"/>
      <c r="G632" s="252"/>
      <c r="H632" s="254"/>
    </row>
    <row r="633" spans="1:8" ht="15.75" x14ac:dyDescent="0.25">
      <c r="A633" s="252"/>
      <c r="B633" s="252"/>
      <c r="C633" s="252"/>
      <c r="D633" s="252"/>
      <c r="E633" s="253"/>
      <c r="F633" s="252"/>
      <c r="G633" s="252"/>
      <c r="H633" s="254"/>
    </row>
    <row r="634" spans="1:8" ht="15.75" x14ac:dyDescent="0.25">
      <c r="A634" s="252"/>
      <c r="B634" s="252"/>
      <c r="C634" s="252"/>
      <c r="D634" s="252"/>
      <c r="E634" s="253"/>
      <c r="F634" s="252"/>
      <c r="G634" s="252"/>
      <c r="H634" s="254"/>
    </row>
    <row r="635" spans="1:8" ht="15.75" x14ac:dyDescent="0.25">
      <c r="A635" s="252"/>
      <c r="B635" s="252"/>
      <c r="C635" s="252"/>
      <c r="D635" s="252"/>
      <c r="E635" s="253"/>
      <c r="F635" s="252"/>
      <c r="G635" s="252"/>
      <c r="H635" s="254"/>
    </row>
    <row r="636" spans="1:8" ht="15.75" x14ac:dyDescent="0.25">
      <c r="A636" s="252"/>
      <c r="B636" s="252"/>
      <c r="C636" s="252"/>
      <c r="D636" s="252"/>
      <c r="E636" s="253"/>
      <c r="F636" s="252"/>
      <c r="G636" s="252"/>
      <c r="H636" s="254"/>
    </row>
    <row r="637" spans="1:8" ht="15.75" x14ac:dyDescent="0.25">
      <c r="A637" s="252"/>
      <c r="B637" s="252"/>
      <c r="C637" s="252"/>
      <c r="D637" s="252"/>
      <c r="E637" s="253"/>
      <c r="F637" s="252"/>
      <c r="G637" s="252"/>
      <c r="H637" s="254"/>
    </row>
    <row r="638" spans="1:8" ht="15.75" x14ac:dyDescent="0.25">
      <c r="A638" s="252"/>
      <c r="B638" s="252"/>
      <c r="C638" s="252"/>
      <c r="D638" s="252"/>
      <c r="E638" s="253"/>
      <c r="F638" s="252"/>
      <c r="G638" s="252"/>
      <c r="H638" s="254"/>
    </row>
    <row r="639" spans="1:8" ht="15.75" x14ac:dyDescent="0.25">
      <c r="A639" s="252"/>
      <c r="B639" s="252"/>
      <c r="C639" s="252"/>
      <c r="D639" s="252"/>
      <c r="E639" s="253"/>
      <c r="F639" s="252"/>
      <c r="G639" s="252"/>
      <c r="H639" s="254"/>
    </row>
    <row r="640" spans="1:8" ht="15.75" x14ac:dyDescent="0.25">
      <c r="A640" s="252"/>
      <c r="B640" s="252"/>
      <c r="C640" s="252"/>
      <c r="D640" s="252"/>
      <c r="E640" s="253"/>
      <c r="F640" s="252"/>
      <c r="G640" s="252"/>
      <c r="H640" s="254"/>
    </row>
    <row r="641" spans="1:8" ht="15.75" x14ac:dyDescent="0.25">
      <c r="A641" s="252"/>
      <c r="B641" s="252"/>
      <c r="C641" s="252"/>
      <c r="D641" s="252"/>
      <c r="E641" s="253"/>
      <c r="F641" s="252"/>
      <c r="G641" s="252"/>
      <c r="H641" s="254"/>
    </row>
    <row r="642" spans="1:8" ht="15.75" x14ac:dyDescent="0.25">
      <c r="A642" s="252"/>
      <c r="B642" s="252"/>
      <c r="C642" s="252"/>
      <c r="D642" s="252"/>
      <c r="E642" s="253"/>
      <c r="F642" s="252"/>
      <c r="G642" s="252"/>
      <c r="H642" s="254"/>
    </row>
    <row r="643" spans="1:8" ht="15.75" x14ac:dyDescent="0.25">
      <c r="A643" s="252"/>
      <c r="B643" s="252"/>
      <c r="C643" s="252"/>
      <c r="D643" s="252"/>
      <c r="E643" s="253"/>
      <c r="F643" s="252"/>
      <c r="G643" s="252"/>
      <c r="H643" s="254"/>
    </row>
    <row r="644" spans="1:8" ht="15.75" x14ac:dyDescent="0.25">
      <c r="A644" s="252"/>
      <c r="B644" s="252"/>
      <c r="C644" s="252"/>
      <c r="D644" s="252"/>
      <c r="E644" s="253"/>
      <c r="F644" s="252"/>
      <c r="G644" s="252"/>
      <c r="H644" s="254"/>
    </row>
    <row r="645" spans="1:8" ht="15.75" x14ac:dyDescent="0.25">
      <c r="A645" s="252"/>
      <c r="B645" s="252"/>
      <c r="C645" s="252"/>
      <c r="D645" s="252"/>
      <c r="E645" s="253"/>
      <c r="F645" s="252"/>
      <c r="G645" s="252"/>
      <c r="H645" s="254"/>
    </row>
    <row r="646" spans="1:8" ht="15.75" x14ac:dyDescent="0.25">
      <c r="A646" s="252"/>
      <c r="B646" s="252"/>
      <c r="C646" s="252"/>
      <c r="D646" s="252"/>
      <c r="E646" s="253"/>
      <c r="F646" s="252"/>
      <c r="G646" s="252"/>
      <c r="H646" s="254"/>
    </row>
    <row r="647" spans="1:8" ht="15.75" x14ac:dyDescent="0.25">
      <c r="A647" s="252"/>
      <c r="B647" s="252"/>
      <c r="C647" s="252"/>
      <c r="D647" s="252"/>
      <c r="E647" s="253"/>
      <c r="F647" s="252"/>
      <c r="G647" s="252"/>
      <c r="H647" s="254"/>
    </row>
    <row r="648" spans="1:8" ht="15.75" x14ac:dyDescent="0.25">
      <c r="A648" s="252"/>
      <c r="B648" s="252"/>
      <c r="C648" s="252"/>
      <c r="D648" s="252"/>
      <c r="E648" s="253"/>
      <c r="F648" s="252"/>
      <c r="G648" s="252"/>
      <c r="H648" s="254"/>
    </row>
    <row r="649" spans="1:8" ht="15.75" x14ac:dyDescent="0.25">
      <c r="A649" s="252"/>
      <c r="B649" s="252"/>
      <c r="C649" s="252"/>
      <c r="D649" s="252"/>
      <c r="E649" s="253"/>
      <c r="F649" s="252"/>
      <c r="G649" s="252"/>
      <c r="H649" s="254"/>
    </row>
    <row r="650" spans="1:8" ht="15.75" x14ac:dyDescent="0.25">
      <c r="A650" s="252"/>
      <c r="B650" s="252"/>
      <c r="C650" s="252"/>
      <c r="D650" s="252"/>
      <c r="E650" s="253"/>
      <c r="F650" s="252"/>
      <c r="G650" s="252"/>
      <c r="H650" s="254"/>
    </row>
    <row r="651" spans="1:8" ht="15.75" x14ac:dyDescent="0.25">
      <c r="A651" s="252"/>
      <c r="B651" s="252"/>
      <c r="C651" s="252"/>
      <c r="D651" s="252"/>
      <c r="E651" s="253"/>
      <c r="F651" s="252"/>
      <c r="G651" s="252"/>
      <c r="H651" s="254"/>
    </row>
    <row r="652" spans="1:8" ht="15.75" x14ac:dyDescent="0.25">
      <c r="A652" s="252"/>
      <c r="B652" s="252"/>
      <c r="C652" s="252"/>
      <c r="D652" s="252"/>
      <c r="E652" s="253"/>
      <c r="F652" s="252"/>
      <c r="G652" s="252"/>
      <c r="H652" s="254"/>
    </row>
    <row r="653" spans="1:8" ht="15.75" x14ac:dyDescent="0.25">
      <c r="A653" s="252"/>
      <c r="B653" s="252"/>
      <c r="C653" s="252"/>
      <c r="D653" s="252"/>
      <c r="E653" s="253"/>
      <c r="F653" s="252"/>
      <c r="G653" s="252"/>
      <c r="H653" s="254"/>
    </row>
    <row r="654" spans="1:8" ht="15.75" x14ac:dyDescent="0.25">
      <c r="A654" s="252"/>
      <c r="B654" s="252"/>
      <c r="C654" s="252"/>
      <c r="D654" s="252"/>
      <c r="E654" s="253"/>
      <c r="F654" s="252"/>
      <c r="G654" s="252"/>
      <c r="H654" s="254"/>
    </row>
    <row r="655" spans="1:8" ht="15.75" x14ac:dyDescent="0.25">
      <c r="A655" s="252"/>
      <c r="B655" s="252"/>
      <c r="C655" s="252"/>
      <c r="D655" s="252"/>
      <c r="E655" s="253"/>
      <c r="F655" s="252"/>
      <c r="G655" s="252"/>
      <c r="H655" s="254"/>
    </row>
    <row r="656" spans="1:8" ht="15.75" x14ac:dyDescent="0.25">
      <c r="A656" s="252"/>
      <c r="B656" s="252"/>
      <c r="C656" s="252"/>
      <c r="D656" s="252"/>
      <c r="E656" s="253"/>
      <c r="F656" s="252"/>
      <c r="G656" s="252"/>
      <c r="H656" s="254"/>
    </row>
    <row r="657" spans="1:8" ht="15.75" x14ac:dyDescent="0.25">
      <c r="A657" s="252"/>
      <c r="B657" s="252"/>
      <c r="C657" s="252"/>
      <c r="D657" s="252"/>
      <c r="E657" s="253"/>
      <c r="F657" s="252"/>
      <c r="G657" s="252"/>
      <c r="H657" s="254"/>
    </row>
    <row r="658" spans="1:8" ht="15.75" x14ac:dyDescent="0.25">
      <c r="A658" s="252"/>
      <c r="B658" s="252"/>
      <c r="C658" s="252"/>
      <c r="D658" s="252"/>
      <c r="E658" s="253"/>
      <c r="F658" s="252"/>
      <c r="G658" s="252"/>
      <c r="H658" s="254"/>
    </row>
    <row r="659" spans="1:8" ht="15.75" x14ac:dyDescent="0.25">
      <c r="A659" s="252"/>
      <c r="B659" s="252"/>
      <c r="C659" s="252"/>
      <c r="D659" s="252"/>
      <c r="E659" s="253"/>
      <c r="F659" s="252"/>
      <c r="G659" s="252"/>
      <c r="H659" s="254"/>
    </row>
    <row r="660" spans="1:8" ht="15.75" x14ac:dyDescent="0.25">
      <c r="A660" s="252"/>
      <c r="B660" s="252"/>
      <c r="C660" s="252"/>
      <c r="D660" s="252"/>
      <c r="E660" s="253"/>
      <c r="F660" s="252"/>
      <c r="G660" s="252"/>
      <c r="H660" s="254"/>
    </row>
    <row r="661" spans="1:8" ht="15.75" x14ac:dyDescent="0.25">
      <c r="A661" s="252"/>
      <c r="B661" s="252"/>
      <c r="C661" s="252"/>
      <c r="D661" s="252"/>
      <c r="E661" s="253"/>
      <c r="F661" s="252"/>
      <c r="G661" s="252"/>
      <c r="H661" s="254"/>
    </row>
    <row r="662" spans="1:8" ht="15.75" x14ac:dyDescent="0.25">
      <c r="A662" s="252"/>
      <c r="B662" s="252"/>
      <c r="C662" s="252"/>
      <c r="D662" s="252"/>
      <c r="E662" s="253"/>
      <c r="F662" s="252"/>
      <c r="G662" s="252"/>
      <c r="H662" s="254"/>
    </row>
    <row r="663" spans="1:8" ht="15.75" x14ac:dyDescent="0.25">
      <c r="A663" s="252"/>
      <c r="B663" s="252"/>
      <c r="C663" s="252"/>
      <c r="D663" s="252"/>
      <c r="E663" s="253"/>
      <c r="F663" s="252"/>
      <c r="G663" s="252"/>
      <c r="H663" s="254"/>
    </row>
    <row r="664" spans="1:8" ht="15.75" x14ac:dyDescent="0.25">
      <c r="A664" s="252"/>
      <c r="B664" s="252"/>
      <c r="C664" s="252"/>
      <c r="D664" s="252"/>
      <c r="E664" s="253"/>
      <c r="F664" s="252"/>
      <c r="G664" s="252"/>
      <c r="H664" s="254"/>
    </row>
    <row r="665" spans="1:8" ht="15.75" x14ac:dyDescent="0.25">
      <c r="A665" s="252"/>
      <c r="B665" s="252"/>
      <c r="C665" s="252"/>
      <c r="D665" s="252"/>
      <c r="E665" s="253"/>
      <c r="F665" s="252"/>
      <c r="G665" s="252"/>
      <c r="H665" s="254"/>
    </row>
    <row r="666" spans="1:8" ht="15.75" x14ac:dyDescent="0.25">
      <c r="A666" s="252"/>
      <c r="B666" s="252"/>
      <c r="C666" s="252"/>
      <c r="D666" s="252"/>
      <c r="E666" s="253"/>
      <c r="F666" s="252"/>
      <c r="G666" s="252"/>
      <c r="H666" s="254"/>
    </row>
    <row r="667" spans="1:8" ht="15.75" x14ac:dyDescent="0.25">
      <c r="A667" s="252"/>
      <c r="B667" s="252"/>
      <c r="C667" s="252"/>
      <c r="D667" s="252"/>
      <c r="E667" s="253"/>
      <c r="F667" s="252"/>
      <c r="G667" s="252"/>
      <c r="H667" s="254"/>
    </row>
    <row r="668" spans="1:8" ht="15.75" x14ac:dyDescent="0.25">
      <c r="A668" s="252"/>
      <c r="B668" s="252"/>
      <c r="C668" s="252"/>
      <c r="D668" s="252"/>
      <c r="E668" s="253"/>
      <c r="F668" s="252"/>
      <c r="G668" s="252"/>
      <c r="H668" s="254"/>
    </row>
    <row r="669" spans="1:8" ht="15.75" x14ac:dyDescent="0.25">
      <c r="A669" s="252"/>
      <c r="B669" s="252"/>
      <c r="C669" s="252"/>
      <c r="D669" s="252"/>
      <c r="E669" s="253"/>
      <c r="F669" s="252"/>
      <c r="G669" s="252"/>
      <c r="H669" s="254"/>
    </row>
    <row r="670" spans="1:8" ht="15.75" x14ac:dyDescent="0.25">
      <c r="A670" s="252"/>
      <c r="B670" s="252"/>
      <c r="C670" s="252"/>
      <c r="D670" s="252"/>
      <c r="E670" s="253"/>
      <c r="F670" s="252"/>
      <c r="G670" s="252"/>
      <c r="H670" s="254"/>
    </row>
    <row r="671" spans="1:8" ht="15.75" x14ac:dyDescent="0.25">
      <c r="A671" s="252"/>
      <c r="B671" s="252"/>
      <c r="C671" s="252"/>
      <c r="D671" s="252"/>
      <c r="E671" s="253"/>
      <c r="F671" s="252"/>
      <c r="G671" s="252"/>
      <c r="H671" s="254"/>
    </row>
    <row r="672" spans="1:8" ht="15.75" x14ac:dyDescent="0.25">
      <c r="A672" s="252"/>
      <c r="B672" s="252"/>
      <c r="C672" s="252"/>
      <c r="D672" s="252"/>
      <c r="E672" s="253"/>
      <c r="F672" s="252"/>
      <c r="G672" s="252"/>
      <c r="H672" s="254"/>
    </row>
    <row r="673" spans="1:8" ht="15.75" x14ac:dyDescent="0.25">
      <c r="A673" s="252"/>
      <c r="B673" s="252"/>
      <c r="C673" s="252"/>
      <c r="D673" s="252"/>
      <c r="E673" s="253"/>
      <c r="F673" s="252"/>
      <c r="G673" s="252"/>
      <c r="H673" s="254"/>
    </row>
    <row r="674" spans="1:8" ht="15.75" x14ac:dyDescent="0.25">
      <c r="A674" s="252"/>
      <c r="B674" s="252"/>
      <c r="C674" s="252"/>
      <c r="D674" s="252"/>
      <c r="E674" s="253"/>
      <c r="F674" s="252"/>
      <c r="G674" s="252"/>
      <c r="H674" s="254"/>
    </row>
    <row r="675" spans="1:8" ht="15.75" x14ac:dyDescent="0.25">
      <c r="A675" s="252"/>
      <c r="B675" s="252"/>
      <c r="C675" s="252"/>
      <c r="D675" s="252"/>
      <c r="E675" s="253"/>
      <c r="F675" s="252"/>
      <c r="G675" s="252"/>
      <c r="H675" s="254"/>
    </row>
    <row r="676" spans="1:8" ht="15.75" x14ac:dyDescent="0.25">
      <c r="A676" s="252"/>
      <c r="B676" s="252"/>
      <c r="C676" s="252"/>
      <c r="D676" s="252"/>
      <c r="E676" s="253"/>
      <c r="F676" s="252"/>
      <c r="G676" s="252"/>
      <c r="H676" s="254"/>
    </row>
    <row r="677" spans="1:8" ht="15.75" x14ac:dyDescent="0.25">
      <c r="A677" s="252"/>
      <c r="B677" s="252"/>
      <c r="C677" s="252"/>
      <c r="D677" s="252"/>
      <c r="E677" s="253"/>
      <c r="F677" s="252"/>
      <c r="G677" s="252"/>
      <c r="H677" s="254"/>
    </row>
    <row r="678" spans="1:8" ht="15.75" x14ac:dyDescent="0.25">
      <c r="A678" s="252"/>
      <c r="B678" s="252"/>
      <c r="C678" s="252"/>
      <c r="D678" s="252"/>
      <c r="E678" s="253"/>
      <c r="F678" s="252"/>
      <c r="G678" s="252"/>
      <c r="H678" s="254"/>
    </row>
    <row r="679" spans="1:8" ht="15.75" x14ac:dyDescent="0.25">
      <c r="A679" s="252"/>
      <c r="B679" s="252"/>
      <c r="C679" s="252"/>
      <c r="D679" s="252"/>
      <c r="E679" s="253"/>
      <c r="F679" s="252"/>
      <c r="G679" s="252"/>
      <c r="H679" s="254"/>
    </row>
    <row r="680" spans="1:8" ht="15.75" x14ac:dyDescent="0.25">
      <c r="A680" s="252"/>
      <c r="B680" s="252"/>
      <c r="C680" s="252"/>
      <c r="D680" s="252"/>
      <c r="E680" s="253"/>
      <c r="F680" s="252"/>
      <c r="G680" s="252"/>
      <c r="H680" s="254"/>
    </row>
    <row r="681" spans="1:8" ht="15.75" x14ac:dyDescent="0.25">
      <c r="A681" s="252"/>
      <c r="B681" s="252"/>
      <c r="C681" s="252"/>
      <c r="D681" s="252"/>
      <c r="E681" s="253"/>
      <c r="F681" s="252"/>
      <c r="G681" s="252"/>
      <c r="H681" s="254"/>
    </row>
    <row r="682" spans="1:8" ht="15.75" x14ac:dyDescent="0.25">
      <c r="A682" s="252"/>
      <c r="B682" s="252"/>
      <c r="C682" s="252"/>
      <c r="D682" s="252"/>
      <c r="E682" s="253"/>
      <c r="F682" s="252"/>
      <c r="G682" s="252"/>
      <c r="H682" s="254"/>
    </row>
    <row r="683" spans="1:8" ht="15.75" x14ac:dyDescent="0.25">
      <c r="A683" s="252"/>
      <c r="B683" s="252"/>
      <c r="C683" s="252"/>
      <c r="D683" s="252"/>
      <c r="E683" s="253"/>
      <c r="F683" s="252"/>
      <c r="G683" s="252"/>
      <c r="H683" s="254"/>
    </row>
    <row r="684" spans="1:8" ht="15.75" x14ac:dyDescent="0.25">
      <c r="A684" s="252"/>
      <c r="B684" s="252"/>
      <c r="C684" s="252"/>
      <c r="D684" s="252"/>
      <c r="E684" s="253"/>
      <c r="F684" s="252"/>
      <c r="G684" s="252"/>
      <c r="H684" s="254"/>
    </row>
    <row r="685" spans="1:8" ht="15.75" x14ac:dyDescent="0.25">
      <c r="A685" s="252"/>
      <c r="B685" s="252"/>
      <c r="C685" s="252"/>
      <c r="D685" s="252"/>
      <c r="E685" s="253"/>
      <c r="F685" s="252"/>
      <c r="G685" s="252"/>
      <c r="H685" s="254"/>
    </row>
    <row r="686" spans="1:8" ht="15.75" x14ac:dyDescent="0.25">
      <c r="A686" s="252"/>
      <c r="B686" s="252"/>
      <c r="C686" s="252"/>
      <c r="D686" s="252"/>
      <c r="E686" s="253"/>
      <c r="F686" s="252"/>
      <c r="G686" s="252"/>
      <c r="H686" s="254"/>
    </row>
    <row r="687" spans="1:8" ht="15.75" x14ac:dyDescent="0.25">
      <c r="A687" s="252"/>
      <c r="B687" s="252"/>
      <c r="C687" s="252"/>
      <c r="D687" s="252"/>
      <c r="E687" s="253"/>
      <c r="F687" s="252"/>
      <c r="G687" s="252"/>
      <c r="H687" s="254"/>
    </row>
    <row r="688" spans="1:8" ht="15.75" x14ac:dyDescent="0.25">
      <c r="A688" s="252"/>
      <c r="B688" s="252"/>
      <c r="C688" s="252"/>
      <c r="D688" s="252"/>
      <c r="E688" s="253"/>
      <c r="F688" s="252"/>
      <c r="G688" s="252"/>
      <c r="H688" s="254"/>
    </row>
    <row r="689" spans="1:8" ht="15.75" x14ac:dyDescent="0.25">
      <c r="A689" s="252"/>
      <c r="B689" s="252"/>
      <c r="C689" s="252"/>
      <c r="D689" s="252"/>
      <c r="E689" s="253"/>
      <c r="F689" s="252"/>
      <c r="G689" s="252"/>
      <c r="H689" s="254"/>
    </row>
    <row r="690" spans="1:8" ht="15.75" x14ac:dyDescent="0.25">
      <c r="A690" s="252"/>
      <c r="B690" s="252"/>
      <c r="C690" s="252"/>
      <c r="D690" s="252"/>
      <c r="E690" s="253"/>
      <c r="F690" s="252"/>
      <c r="G690" s="252"/>
      <c r="H690" s="254"/>
    </row>
    <row r="691" spans="1:8" ht="15.75" x14ac:dyDescent="0.25">
      <c r="A691" s="252"/>
      <c r="B691" s="252"/>
      <c r="C691" s="252"/>
      <c r="D691" s="252"/>
      <c r="E691" s="253"/>
      <c r="F691" s="252"/>
      <c r="G691" s="252"/>
      <c r="H691" s="254"/>
    </row>
    <row r="692" spans="1:8" x14ac:dyDescent="0.25">
      <c r="A692" s="252"/>
      <c r="B692" s="252"/>
      <c r="C692" s="252"/>
      <c r="D692" s="252"/>
      <c r="E692" s="253"/>
      <c r="F692" s="252"/>
      <c r="G692" s="252"/>
    </row>
    <row r="693" spans="1:8" x14ac:dyDescent="0.25">
      <c r="A693" s="252"/>
      <c r="B693" s="252"/>
      <c r="C693" s="252"/>
      <c r="D693" s="252"/>
      <c r="E693" s="253"/>
      <c r="F693" s="252"/>
      <c r="G693" s="252"/>
    </row>
    <row r="694" spans="1:8" x14ac:dyDescent="0.25">
      <c r="A694" s="252"/>
      <c r="B694" s="252"/>
      <c r="C694" s="252"/>
      <c r="D694" s="252"/>
      <c r="E694" s="253"/>
      <c r="F694" s="252"/>
      <c r="G694" s="252"/>
    </row>
    <row r="695" spans="1:8" x14ac:dyDescent="0.25">
      <c r="A695" s="252"/>
      <c r="B695" s="252"/>
      <c r="C695" s="252"/>
      <c r="D695" s="252"/>
      <c r="E695" s="253"/>
      <c r="F695" s="252"/>
      <c r="G695" s="252"/>
    </row>
    <row r="696" spans="1:8" x14ac:dyDescent="0.25">
      <c r="A696" s="252"/>
      <c r="B696" s="252"/>
      <c r="C696" s="252"/>
      <c r="D696" s="252"/>
      <c r="E696" s="253"/>
      <c r="F696" s="252"/>
      <c r="G696" s="252"/>
    </row>
    <row r="697" spans="1:8" x14ac:dyDescent="0.25">
      <c r="A697" s="252"/>
      <c r="B697" s="252"/>
      <c r="C697" s="252"/>
      <c r="D697" s="252"/>
      <c r="E697" s="253"/>
      <c r="F697" s="252"/>
      <c r="G697" s="252"/>
    </row>
    <row r="698" spans="1:8" x14ac:dyDescent="0.25">
      <c r="A698" s="252"/>
      <c r="B698" s="252"/>
      <c r="C698" s="252"/>
      <c r="D698" s="252"/>
      <c r="E698" s="253"/>
      <c r="F698" s="252"/>
      <c r="G698" s="252"/>
    </row>
    <row r="699" spans="1:8" x14ac:dyDescent="0.25">
      <c r="A699" s="252"/>
      <c r="B699" s="252"/>
      <c r="C699" s="252"/>
      <c r="D699" s="252"/>
      <c r="E699" s="253"/>
      <c r="F699" s="252"/>
      <c r="G699" s="252"/>
    </row>
    <row r="700" spans="1:8" x14ac:dyDescent="0.25">
      <c r="A700" s="252"/>
      <c r="B700" s="252"/>
      <c r="C700" s="252"/>
      <c r="D700" s="252"/>
      <c r="E700" s="253"/>
      <c r="F700" s="252"/>
      <c r="G700" s="252"/>
    </row>
    <row r="701" spans="1:8" x14ac:dyDescent="0.25">
      <c r="A701" s="252"/>
      <c r="B701" s="252"/>
      <c r="C701" s="252"/>
      <c r="D701" s="252"/>
      <c r="E701" s="253"/>
      <c r="F701" s="252"/>
      <c r="G701" s="252"/>
    </row>
    <row r="702" spans="1:8" x14ac:dyDescent="0.25">
      <c r="A702" s="252"/>
      <c r="B702" s="252"/>
      <c r="C702" s="252"/>
      <c r="D702" s="252"/>
      <c r="E702" s="253"/>
      <c r="F702" s="252"/>
      <c r="G702" s="252"/>
    </row>
    <row r="703" spans="1:8" x14ac:dyDescent="0.25">
      <c r="A703" s="252"/>
      <c r="B703" s="252"/>
      <c r="C703" s="252"/>
      <c r="D703" s="252"/>
      <c r="E703" s="253"/>
      <c r="F703" s="252"/>
      <c r="G703" s="252"/>
    </row>
    <row r="704" spans="1:8" x14ac:dyDescent="0.25">
      <c r="A704" s="252"/>
      <c r="B704" s="252"/>
      <c r="C704" s="252"/>
      <c r="D704" s="252"/>
      <c r="E704" s="253"/>
      <c r="F704" s="252"/>
      <c r="G704" s="252"/>
    </row>
    <row r="705" spans="1:7" x14ac:dyDescent="0.25">
      <c r="A705" s="252"/>
      <c r="B705" s="252"/>
      <c r="C705" s="252"/>
      <c r="D705" s="252"/>
      <c r="E705" s="253"/>
      <c r="F705" s="252"/>
      <c r="G705" s="252"/>
    </row>
    <row r="706" spans="1:7" x14ac:dyDescent="0.25">
      <c r="A706" s="252"/>
      <c r="B706" s="252"/>
      <c r="C706" s="252"/>
      <c r="D706" s="252"/>
      <c r="E706" s="253"/>
      <c r="F706" s="252"/>
      <c r="G706" s="252"/>
    </row>
    <row r="707" spans="1:7" x14ac:dyDescent="0.25">
      <c r="A707" s="252"/>
      <c r="B707" s="252"/>
      <c r="C707" s="252"/>
      <c r="D707" s="252"/>
      <c r="E707" s="253"/>
      <c r="F707" s="252"/>
      <c r="G707" s="252"/>
    </row>
    <row r="708" spans="1:7" x14ac:dyDescent="0.25">
      <c r="A708" s="252"/>
      <c r="B708" s="252"/>
      <c r="C708" s="252"/>
      <c r="D708" s="252"/>
      <c r="E708" s="253"/>
      <c r="F708" s="252"/>
      <c r="G708" s="252"/>
    </row>
    <row r="709" spans="1:7" x14ac:dyDescent="0.25">
      <c r="A709" s="252"/>
      <c r="B709" s="252"/>
      <c r="C709" s="252"/>
      <c r="D709" s="252"/>
      <c r="E709" s="253"/>
      <c r="F709" s="252"/>
      <c r="G709" s="252"/>
    </row>
    <row r="710" spans="1:7" x14ac:dyDescent="0.25">
      <c r="A710" s="252"/>
      <c r="B710" s="252"/>
      <c r="C710" s="252"/>
      <c r="D710" s="252"/>
      <c r="E710" s="253"/>
      <c r="F710" s="252"/>
      <c r="G710" s="252"/>
    </row>
    <row r="711" spans="1:7" x14ac:dyDescent="0.25">
      <c r="A711" s="252"/>
      <c r="B711" s="252"/>
      <c r="C711" s="252"/>
      <c r="D711" s="252"/>
      <c r="E711" s="253"/>
      <c r="F711" s="252"/>
      <c r="G711" s="252"/>
    </row>
    <row r="712" spans="1:7" x14ac:dyDescent="0.25">
      <c r="A712" s="252"/>
      <c r="B712" s="252"/>
      <c r="C712" s="252"/>
      <c r="D712" s="252"/>
      <c r="E712" s="253"/>
      <c r="F712" s="252"/>
      <c r="G712" s="252"/>
    </row>
    <row r="713" spans="1:7" x14ac:dyDescent="0.25">
      <c r="A713" s="252"/>
      <c r="B713" s="252"/>
      <c r="C713" s="252"/>
      <c r="D713" s="252"/>
      <c r="E713" s="253"/>
      <c r="F713" s="252"/>
      <c r="G713" s="252"/>
    </row>
    <row r="714" spans="1:7" x14ac:dyDescent="0.25">
      <c r="A714" s="252"/>
      <c r="B714" s="252"/>
      <c r="C714" s="252"/>
      <c r="D714" s="252"/>
      <c r="E714" s="253"/>
      <c r="F714" s="252"/>
      <c r="G714" s="252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56E48-A219-42AE-A7D1-45C9EA15EA62}">
  <dimension ref="A5:O369"/>
  <sheetViews>
    <sheetView tabSelected="1" topLeftCell="A32" workbookViewId="0">
      <selection activeCell="C33" sqref="C33"/>
    </sheetView>
  </sheetViews>
  <sheetFormatPr baseColWidth="10" defaultRowHeight="12.75" x14ac:dyDescent="0.2"/>
  <cols>
    <col min="1" max="1" width="11.42578125" style="22"/>
    <col min="2" max="2" width="28.7109375" style="22" customWidth="1"/>
    <col min="3" max="16384" width="11.42578125" style="22"/>
  </cols>
  <sheetData>
    <row r="5" spans="1:8" x14ac:dyDescent="0.2">
      <c r="A5" s="1" t="s">
        <v>0</v>
      </c>
      <c r="B5" s="2"/>
      <c r="C5" s="7"/>
      <c r="D5" s="160"/>
      <c r="E5" s="3"/>
      <c r="F5" s="3"/>
      <c r="G5" s="3"/>
      <c r="H5" s="4"/>
    </row>
    <row r="6" spans="1:8" x14ac:dyDescent="0.2">
      <c r="A6" s="1"/>
      <c r="B6" s="2"/>
      <c r="C6" s="7"/>
      <c r="D6" s="160"/>
      <c r="E6" s="3"/>
      <c r="F6" s="3"/>
      <c r="G6" s="3"/>
      <c r="H6" s="4"/>
    </row>
    <row r="7" spans="1:8" x14ac:dyDescent="0.2">
      <c r="A7" s="1"/>
      <c r="B7" s="2"/>
      <c r="C7" s="7"/>
      <c r="D7" s="160"/>
      <c r="E7" s="3"/>
      <c r="F7" s="3"/>
      <c r="G7" s="3"/>
      <c r="H7" s="4"/>
    </row>
    <row r="8" spans="1:8" x14ac:dyDescent="0.2">
      <c r="A8" s="1" t="s">
        <v>1</v>
      </c>
      <c r="B8" s="1"/>
      <c r="C8" s="73"/>
      <c r="D8" s="161"/>
      <c r="E8" s="5"/>
      <c r="F8" s="6"/>
      <c r="G8" s="5"/>
      <c r="H8" s="5"/>
    </row>
    <row r="9" spans="1:8" x14ac:dyDescent="0.2">
      <c r="A9" s="7"/>
      <c r="B9" s="2"/>
      <c r="C9" s="7"/>
      <c r="D9" s="160"/>
      <c r="E9" s="3"/>
      <c r="F9" s="3"/>
      <c r="G9" s="3"/>
      <c r="H9" s="4"/>
    </row>
    <row r="10" spans="1:8" x14ac:dyDescent="0.2">
      <c r="A10" s="7"/>
      <c r="B10" s="2"/>
      <c r="C10" s="7"/>
      <c r="D10" s="160"/>
      <c r="E10" s="3"/>
      <c r="F10" s="3"/>
      <c r="G10" s="3"/>
      <c r="H10" s="4"/>
    </row>
    <row r="11" spans="1:8" ht="16.5" customHeight="1" x14ac:dyDescent="0.2">
      <c r="A11" s="7"/>
      <c r="B11" s="299" t="s">
        <v>2</v>
      </c>
      <c r="C11" s="299"/>
      <c r="D11" s="299"/>
      <c r="E11" s="299"/>
      <c r="F11" s="3"/>
      <c r="G11" s="3"/>
      <c r="H11" s="4"/>
    </row>
    <row r="12" spans="1:8" x14ac:dyDescent="0.2">
      <c r="A12" s="7"/>
      <c r="B12" s="2"/>
      <c r="C12" s="7"/>
      <c r="D12" s="160"/>
      <c r="E12" s="3"/>
      <c r="F12" s="3"/>
      <c r="G12" s="3"/>
      <c r="H12" s="4"/>
    </row>
    <row r="13" spans="1:8" x14ac:dyDescent="0.2">
      <c r="A13" s="9" t="s">
        <v>16673</v>
      </c>
      <c r="B13" s="9"/>
      <c r="C13" s="74"/>
      <c r="D13" s="160"/>
      <c r="E13" s="3"/>
      <c r="F13" s="3"/>
      <c r="G13" s="10" t="s">
        <v>3</v>
      </c>
      <c r="H13" s="11">
        <v>95935.42</v>
      </c>
    </row>
    <row r="14" spans="1:8" x14ac:dyDescent="0.2">
      <c r="A14" s="3"/>
      <c r="B14" s="8"/>
      <c r="C14" s="7"/>
      <c r="D14" s="160"/>
      <c r="E14" s="3"/>
      <c r="F14" s="3"/>
      <c r="G14" s="3"/>
      <c r="H14" s="4"/>
    </row>
    <row r="15" spans="1:8" x14ac:dyDescent="0.2">
      <c r="A15" s="12"/>
      <c r="B15" s="13" t="s">
        <v>4</v>
      </c>
      <c r="C15" s="7"/>
      <c r="D15" s="162"/>
      <c r="E15" s="14"/>
      <c r="F15" s="15"/>
      <c r="G15" s="3"/>
      <c r="H15" s="4"/>
    </row>
    <row r="16" spans="1:8" ht="17.25" customHeight="1" x14ac:dyDescent="0.2">
      <c r="A16" s="12"/>
      <c r="B16" s="300" t="s">
        <v>1553</v>
      </c>
      <c r="C16" s="300"/>
      <c r="D16" s="300"/>
      <c r="E16" s="300"/>
      <c r="F16" s="15"/>
      <c r="G16" s="3"/>
      <c r="H16" s="4"/>
    </row>
    <row r="17" spans="1:8" x14ac:dyDescent="0.2">
      <c r="A17" s="12"/>
      <c r="B17" s="8"/>
      <c r="C17" s="7"/>
      <c r="D17" s="162"/>
      <c r="E17" s="14"/>
      <c r="F17" s="15"/>
      <c r="G17" s="3"/>
      <c r="H17" s="4"/>
    </row>
    <row r="18" spans="1:8" x14ac:dyDescent="0.2">
      <c r="A18" s="38" t="s">
        <v>5</v>
      </c>
      <c r="B18" s="39" t="s">
        <v>6</v>
      </c>
      <c r="C18" s="75" t="s">
        <v>7</v>
      </c>
      <c r="D18" s="163" t="s">
        <v>8</v>
      </c>
      <c r="E18" s="41"/>
      <c r="F18" s="41" t="s">
        <v>9</v>
      </c>
      <c r="G18" s="42"/>
      <c r="H18" s="36"/>
    </row>
    <row r="19" spans="1:8" x14ac:dyDescent="0.2">
      <c r="A19" s="200">
        <v>44372</v>
      </c>
      <c r="B19" s="199" t="s">
        <v>14666</v>
      </c>
      <c r="C19" s="201" t="s">
        <v>14667</v>
      </c>
      <c r="D19" s="164"/>
      <c r="E19" s="41"/>
      <c r="F19" s="46">
        <v>83.73</v>
      </c>
      <c r="G19" s="42"/>
      <c r="H19" s="36"/>
    </row>
    <row r="20" spans="1:8" x14ac:dyDescent="0.2">
      <c r="A20" s="200"/>
      <c r="B20" s="199"/>
      <c r="C20" s="201"/>
      <c r="D20" s="164"/>
      <c r="E20" s="41"/>
      <c r="F20" s="241"/>
      <c r="G20" s="42"/>
      <c r="H20" s="36"/>
    </row>
    <row r="21" spans="1:8" x14ac:dyDescent="0.2">
      <c r="A21" s="47"/>
      <c r="B21" s="48"/>
      <c r="C21" s="77"/>
      <c r="D21" s="149"/>
      <c r="E21" s="41"/>
      <c r="F21" s="68"/>
      <c r="G21" s="42"/>
      <c r="H21" s="49">
        <f>SUM(F19:F20)</f>
        <v>83.73</v>
      </c>
    </row>
    <row r="22" spans="1:8" x14ac:dyDescent="0.2">
      <c r="A22" s="38"/>
      <c r="B22" s="50"/>
      <c r="C22" s="78"/>
      <c r="D22" s="163"/>
      <c r="E22" s="41"/>
      <c r="F22" s="51"/>
      <c r="G22" s="52"/>
      <c r="H22" s="36"/>
    </row>
    <row r="23" spans="1:8" x14ac:dyDescent="0.2">
      <c r="A23" s="42"/>
      <c r="B23" s="53" t="s">
        <v>4</v>
      </c>
      <c r="C23" s="78"/>
      <c r="D23" s="165"/>
      <c r="E23" s="54"/>
      <c r="F23" s="41" t="s">
        <v>9</v>
      </c>
      <c r="G23" s="42"/>
      <c r="H23" s="36"/>
    </row>
    <row r="24" spans="1:8" ht="15" customHeight="1" x14ac:dyDescent="0.2">
      <c r="A24" s="40" t="s">
        <v>5</v>
      </c>
      <c r="B24" s="301" t="s">
        <v>10</v>
      </c>
      <c r="C24" s="301"/>
      <c r="D24" s="301"/>
      <c r="E24" s="54"/>
      <c r="F24" s="51"/>
      <c r="G24" s="42"/>
      <c r="H24" s="36"/>
    </row>
    <row r="25" spans="1:8" x14ac:dyDescent="0.2">
      <c r="A25" s="90">
        <v>44305</v>
      </c>
      <c r="B25" s="216" t="s">
        <v>11660</v>
      </c>
      <c r="C25" s="78"/>
      <c r="D25" s="165"/>
      <c r="E25" s="54"/>
      <c r="F25" s="51">
        <v>1.08</v>
      </c>
      <c r="G25" s="42"/>
      <c r="H25" s="36"/>
    </row>
    <row r="26" spans="1:8" x14ac:dyDescent="0.2">
      <c r="A26" s="90">
        <v>44313</v>
      </c>
      <c r="B26" s="216" t="s">
        <v>11661</v>
      </c>
      <c r="C26" s="78"/>
      <c r="D26" s="165"/>
      <c r="E26" s="54"/>
      <c r="F26" s="214">
        <v>16.760000000000002</v>
      </c>
      <c r="G26" s="42"/>
      <c r="H26" s="36"/>
    </row>
    <row r="27" spans="1:8" x14ac:dyDescent="0.2">
      <c r="A27" s="200">
        <v>44319</v>
      </c>
      <c r="B27" s="216" t="s">
        <v>13223</v>
      </c>
      <c r="C27" s="78"/>
      <c r="D27" s="165"/>
      <c r="E27" s="54"/>
      <c r="F27" s="214">
        <v>3.8</v>
      </c>
      <c r="G27" s="42"/>
      <c r="H27" s="36"/>
    </row>
    <row r="28" spans="1:8" x14ac:dyDescent="0.2">
      <c r="A28" s="200">
        <v>44319</v>
      </c>
      <c r="B28" s="216" t="s">
        <v>13224</v>
      </c>
      <c r="C28" s="78"/>
      <c r="D28" s="165"/>
      <c r="E28" s="54"/>
      <c r="F28" s="214">
        <v>12.3</v>
      </c>
      <c r="G28" s="42"/>
      <c r="H28" s="36"/>
    </row>
    <row r="29" spans="1:8" x14ac:dyDescent="0.2">
      <c r="A29" s="200">
        <v>44321</v>
      </c>
      <c r="B29" s="216" t="s">
        <v>13219</v>
      </c>
      <c r="C29" s="78"/>
      <c r="D29" s="165"/>
      <c r="E29" s="54"/>
      <c r="F29" s="214">
        <v>1.95</v>
      </c>
      <c r="G29" s="42"/>
      <c r="H29" s="36"/>
    </row>
    <row r="30" spans="1:8" x14ac:dyDescent="0.2">
      <c r="A30" s="200">
        <v>44321</v>
      </c>
      <c r="B30" s="216" t="s">
        <v>13220</v>
      </c>
      <c r="C30" s="78"/>
      <c r="D30" s="165"/>
      <c r="E30" s="54"/>
      <c r="F30" s="214">
        <v>1.65</v>
      </c>
      <c r="G30" s="42"/>
      <c r="H30" s="36"/>
    </row>
    <row r="31" spans="1:8" x14ac:dyDescent="0.2">
      <c r="A31" s="200">
        <v>44323</v>
      </c>
      <c r="B31" s="216" t="s">
        <v>13225</v>
      </c>
      <c r="C31" s="78"/>
      <c r="D31" s="165"/>
      <c r="E31" s="54"/>
      <c r="F31" s="214">
        <v>8.43</v>
      </c>
      <c r="G31" s="42"/>
      <c r="H31" s="36"/>
    </row>
    <row r="32" spans="1:8" x14ac:dyDescent="0.2">
      <c r="A32" s="200">
        <v>44341</v>
      </c>
      <c r="B32" s="216" t="s">
        <v>13226</v>
      </c>
      <c r="C32" s="78"/>
      <c r="D32" s="165"/>
      <c r="E32" s="54"/>
      <c r="F32" s="214">
        <v>4.32</v>
      </c>
      <c r="G32" s="42"/>
      <c r="H32" s="36"/>
    </row>
    <row r="33" spans="1:8" x14ac:dyDescent="0.2">
      <c r="A33" s="200">
        <v>44343</v>
      </c>
      <c r="B33" s="216" t="s">
        <v>13221</v>
      </c>
      <c r="C33" s="78"/>
      <c r="D33" s="165"/>
      <c r="E33" s="54"/>
      <c r="F33" s="214">
        <v>3.57</v>
      </c>
      <c r="G33" s="42"/>
      <c r="H33" s="36"/>
    </row>
    <row r="34" spans="1:8" x14ac:dyDescent="0.2">
      <c r="A34" s="200">
        <v>44343</v>
      </c>
      <c r="B34" s="216" t="s">
        <v>13222</v>
      </c>
      <c r="C34" s="78"/>
      <c r="D34" s="165"/>
      <c r="E34" s="54"/>
      <c r="F34" s="214">
        <v>12.8</v>
      </c>
      <c r="G34" s="42"/>
      <c r="H34" s="36"/>
    </row>
    <row r="35" spans="1:8" x14ac:dyDescent="0.2">
      <c r="A35" s="200">
        <v>44347</v>
      </c>
      <c r="B35" s="216" t="s">
        <v>13220</v>
      </c>
      <c r="C35" s="78"/>
      <c r="D35" s="165"/>
      <c r="E35" s="54"/>
      <c r="F35" s="214">
        <v>1.75</v>
      </c>
      <c r="G35" s="42"/>
      <c r="H35" s="36"/>
    </row>
    <row r="36" spans="1:8" x14ac:dyDescent="0.2">
      <c r="A36" s="200">
        <v>44350</v>
      </c>
      <c r="B36" s="216" t="s">
        <v>16672</v>
      </c>
      <c r="C36" s="78"/>
      <c r="D36" s="165"/>
      <c r="E36" s="54"/>
      <c r="F36" s="214">
        <v>1.68</v>
      </c>
      <c r="G36" s="42"/>
      <c r="H36" s="36"/>
    </row>
    <row r="37" spans="1:8" x14ac:dyDescent="0.2">
      <c r="A37" s="200">
        <v>44355</v>
      </c>
      <c r="B37" s="216" t="s">
        <v>13220</v>
      </c>
      <c r="C37" s="78"/>
      <c r="D37" s="165"/>
      <c r="E37" s="54"/>
      <c r="F37" s="214">
        <v>3</v>
      </c>
      <c r="G37" s="42"/>
      <c r="H37" s="36"/>
    </row>
    <row r="38" spans="1:8" x14ac:dyDescent="0.2">
      <c r="A38" s="200">
        <v>44372</v>
      </c>
      <c r="B38" s="216" t="s">
        <v>16671</v>
      </c>
      <c r="C38" s="78"/>
      <c r="D38" s="165"/>
      <c r="E38" s="54"/>
      <c r="F38" s="214">
        <v>117.15</v>
      </c>
      <c r="G38" s="42"/>
      <c r="H38" s="36"/>
    </row>
    <row r="39" spans="1:8" x14ac:dyDescent="0.2">
      <c r="A39" s="200">
        <v>44375</v>
      </c>
      <c r="B39" s="216" t="s">
        <v>16670</v>
      </c>
      <c r="C39" s="78"/>
      <c r="D39" s="165"/>
      <c r="E39" s="54"/>
      <c r="F39" s="214">
        <v>31.82</v>
      </c>
      <c r="G39" s="42"/>
      <c r="H39" s="36"/>
    </row>
    <row r="40" spans="1:8" x14ac:dyDescent="0.2">
      <c r="A40" s="200">
        <v>44389</v>
      </c>
      <c r="B40" s="216" t="s">
        <v>18278</v>
      </c>
      <c r="C40" s="78"/>
      <c r="D40" s="165"/>
      <c r="E40" s="54"/>
      <c r="F40" s="214">
        <v>2.04</v>
      </c>
      <c r="G40" s="42"/>
      <c r="H40" s="36"/>
    </row>
    <row r="41" spans="1:8" x14ac:dyDescent="0.2">
      <c r="A41" s="200">
        <v>44391</v>
      </c>
      <c r="B41" s="216" t="s">
        <v>13220</v>
      </c>
      <c r="C41" s="78"/>
      <c r="D41" s="165"/>
      <c r="E41" s="54"/>
      <c r="F41" s="214">
        <v>10</v>
      </c>
      <c r="G41" s="42"/>
      <c r="H41" s="36"/>
    </row>
    <row r="42" spans="1:8" x14ac:dyDescent="0.2">
      <c r="A42" s="200">
        <v>44406</v>
      </c>
      <c r="B42" s="216" t="s">
        <v>13220</v>
      </c>
      <c r="C42" s="78"/>
      <c r="D42" s="165"/>
      <c r="E42" s="54"/>
      <c r="F42" s="214">
        <v>20</v>
      </c>
      <c r="G42" s="42"/>
      <c r="H42" s="36"/>
    </row>
    <row r="43" spans="1:8" x14ac:dyDescent="0.2">
      <c r="A43" s="200">
        <v>44407</v>
      </c>
      <c r="B43" s="216" t="s">
        <v>16671</v>
      </c>
      <c r="C43" s="78"/>
      <c r="D43" s="165"/>
      <c r="E43" s="54"/>
      <c r="F43" s="214">
        <v>973.41</v>
      </c>
      <c r="G43" s="42"/>
      <c r="H43" s="36"/>
    </row>
    <row r="44" spans="1:8" x14ac:dyDescent="0.2">
      <c r="A44" s="200">
        <v>44410</v>
      </c>
      <c r="B44" s="216" t="s">
        <v>18278</v>
      </c>
      <c r="C44" s="78"/>
      <c r="D44" s="165"/>
      <c r="E44" s="54"/>
      <c r="F44" s="214">
        <v>2.04</v>
      </c>
      <c r="G44" s="42"/>
      <c r="H44" s="36"/>
    </row>
    <row r="45" spans="1:8" x14ac:dyDescent="0.2">
      <c r="A45" s="200">
        <v>44434</v>
      </c>
      <c r="B45" s="216" t="s">
        <v>18278</v>
      </c>
      <c r="C45" s="78"/>
      <c r="D45" s="165"/>
      <c r="E45" s="54"/>
      <c r="F45" s="214">
        <v>16.760000000000002</v>
      </c>
      <c r="G45" s="42"/>
      <c r="H45" s="36"/>
    </row>
    <row r="46" spans="1:8" x14ac:dyDescent="0.2">
      <c r="A46" s="284">
        <v>44412</v>
      </c>
      <c r="B46" s="285" t="s">
        <v>20209</v>
      </c>
      <c r="C46" s="286" t="s">
        <v>20208</v>
      </c>
      <c r="D46" s="287" t="s">
        <v>20214</v>
      </c>
      <c r="E46" s="288">
        <v>3</v>
      </c>
      <c r="F46" s="303">
        <v>14.16</v>
      </c>
      <c r="G46" s="42"/>
      <c r="H46" s="36"/>
    </row>
    <row r="47" spans="1:8" x14ac:dyDescent="0.2">
      <c r="A47" s="284">
        <v>44412</v>
      </c>
      <c r="B47" s="285" t="s">
        <v>20211</v>
      </c>
      <c r="C47" s="286" t="s">
        <v>20210</v>
      </c>
      <c r="D47" s="287" t="s">
        <v>20214</v>
      </c>
      <c r="E47" s="288">
        <v>3</v>
      </c>
      <c r="F47" s="303">
        <v>14.36</v>
      </c>
      <c r="G47" s="42"/>
      <c r="H47" s="36"/>
    </row>
    <row r="48" spans="1:8" x14ac:dyDescent="0.2">
      <c r="A48" s="284">
        <v>44434</v>
      </c>
      <c r="B48" s="285" t="s">
        <v>20213</v>
      </c>
      <c r="C48" s="286" t="s">
        <v>20212</v>
      </c>
      <c r="D48" s="287" t="s">
        <v>20214</v>
      </c>
      <c r="E48" s="288" t="s">
        <v>3740</v>
      </c>
      <c r="F48" s="304">
        <v>6.66</v>
      </c>
      <c r="G48" s="42"/>
      <c r="H48" s="36"/>
    </row>
    <row r="49" spans="1:14" x14ac:dyDescent="0.2">
      <c r="A49" s="90"/>
      <c r="B49" s="89"/>
      <c r="C49" s="91"/>
      <c r="D49" s="148"/>
      <c r="F49" s="147"/>
      <c r="G49" s="42"/>
      <c r="H49" s="49">
        <f>SUM(F25:F48)</f>
        <v>1281.49</v>
      </c>
    </row>
    <row r="50" spans="1:14" x14ac:dyDescent="0.2">
      <c r="A50" s="58"/>
      <c r="B50" s="59" t="s">
        <v>12</v>
      </c>
      <c r="C50" s="75"/>
      <c r="D50" s="166"/>
      <c r="E50" s="40"/>
      <c r="F50" s="42"/>
      <c r="G50" s="60"/>
      <c r="H50" s="37"/>
    </row>
    <row r="51" spans="1:14" x14ac:dyDescent="0.2">
      <c r="A51" s="40" t="s">
        <v>5</v>
      </c>
      <c r="B51" s="59" t="s">
        <v>13</v>
      </c>
      <c r="C51" s="75"/>
      <c r="D51" s="166"/>
      <c r="E51" s="40"/>
      <c r="F51" s="41" t="s">
        <v>9</v>
      </c>
      <c r="G51" s="60"/>
      <c r="H51" s="37"/>
    </row>
    <row r="52" spans="1:14" x14ac:dyDescent="0.2">
      <c r="A52" s="43">
        <v>44439</v>
      </c>
      <c r="B52" s="44" t="s">
        <v>6128</v>
      </c>
      <c r="C52" s="78"/>
      <c r="D52" s="165"/>
      <c r="E52" s="54"/>
      <c r="F52" s="69"/>
      <c r="G52" s="42"/>
      <c r="H52" s="36"/>
    </row>
    <row r="53" spans="1:14" x14ac:dyDescent="0.2">
      <c r="A53" s="43"/>
      <c r="B53" s="44"/>
      <c r="C53" s="78"/>
      <c r="D53" s="165"/>
      <c r="E53" s="54"/>
      <c r="F53" s="51"/>
      <c r="G53" s="42"/>
      <c r="H53" s="36"/>
    </row>
    <row r="54" spans="1:14" x14ac:dyDescent="0.2">
      <c r="A54" s="61"/>
      <c r="B54" s="57"/>
      <c r="C54" s="78"/>
      <c r="D54" s="165"/>
      <c r="E54" s="54"/>
      <c r="F54" s="51"/>
      <c r="G54" s="42"/>
      <c r="H54" s="49">
        <f>SUM(F52:F53)</f>
        <v>0</v>
      </c>
    </row>
    <row r="55" spans="1:14" x14ac:dyDescent="0.2">
      <c r="A55" s="42"/>
      <c r="B55" s="57"/>
      <c r="C55" s="78"/>
      <c r="D55" s="165"/>
      <c r="E55" s="54"/>
      <c r="F55" s="51"/>
      <c r="G55" s="42"/>
      <c r="H55" s="36"/>
      <c r="M55" s="154"/>
      <c r="N55" s="154"/>
    </row>
    <row r="56" spans="1:14" x14ac:dyDescent="0.2">
      <c r="A56" s="42"/>
      <c r="B56" s="59" t="s">
        <v>12</v>
      </c>
      <c r="C56" s="78"/>
      <c r="D56" s="165"/>
      <c r="E56" s="54"/>
      <c r="F56" s="41" t="s">
        <v>9</v>
      </c>
      <c r="G56" s="42"/>
      <c r="H56" s="235"/>
      <c r="I56" s="233"/>
      <c r="M56" s="154"/>
      <c r="N56" s="154"/>
    </row>
    <row r="57" spans="1:14" x14ac:dyDescent="0.2">
      <c r="A57" s="40" t="s">
        <v>5</v>
      </c>
      <c r="B57" s="55" t="s">
        <v>14</v>
      </c>
      <c r="C57" s="78"/>
      <c r="D57" s="165"/>
      <c r="E57" s="54"/>
      <c r="F57" s="52"/>
      <c r="G57" s="42"/>
      <c r="H57" s="235"/>
      <c r="I57" s="233"/>
      <c r="M57" s="154"/>
      <c r="N57" s="154"/>
    </row>
    <row r="58" spans="1:14" x14ac:dyDescent="0.2">
      <c r="A58" s="200">
        <v>44324.679699074077</v>
      </c>
      <c r="B58" s="199" t="s">
        <v>12647</v>
      </c>
      <c r="C58" s="217" t="s">
        <v>12648</v>
      </c>
      <c r="D58" s="148"/>
      <c r="E58" s="35"/>
      <c r="F58" s="232">
        <v>1.95</v>
      </c>
      <c r="G58" s="185"/>
      <c r="H58" s="237"/>
      <c r="I58" s="233"/>
      <c r="J58" s="233"/>
      <c r="K58" s="233"/>
      <c r="L58" s="251"/>
      <c r="M58" s="251"/>
      <c r="N58" s="233"/>
    </row>
    <row r="59" spans="1:14" x14ac:dyDescent="0.2">
      <c r="A59" s="200">
        <v>44329.581377314818</v>
      </c>
      <c r="B59" s="199" t="s">
        <v>12404</v>
      </c>
      <c r="C59" s="217" t="s">
        <v>12405</v>
      </c>
      <c r="D59" s="148"/>
      <c r="E59" s="35"/>
      <c r="F59" s="232">
        <v>1.08</v>
      </c>
      <c r="G59" s="185"/>
      <c r="H59" s="237"/>
      <c r="I59" s="233"/>
      <c r="J59" s="233"/>
      <c r="K59" s="233"/>
      <c r="L59" s="251"/>
      <c r="M59" s="251"/>
      <c r="N59" s="233"/>
    </row>
    <row r="60" spans="1:14" x14ac:dyDescent="0.2">
      <c r="A60" s="200">
        <v>44341.698692129627</v>
      </c>
      <c r="B60" s="199" t="s">
        <v>12045</v>
      </c>
      <c r="C60" s="217" t="s">
        <v>12046</v>
      </c>
      <c r="D60" s="148"/>
      <c r="E60" s="35"/>
      <c r="F60" s="198">
        <v>8.43</v>
      </c>
      <c r="G60" s="42"/>
      <c r="H60" s="238"/>
      <c r="I60" s="233"/>
      <c r="J60" s="233"/>
      <c r="K60" s="233"/>
      <c r="L60" s="233"/>
      <c r="M60" s="233"/>
      <c r="N60" s="233"/>
    </row>
    <row r="61" spans="1:14" x14ac:dyDescent="0.2">
      <c r="A61" s="200">
        <v>44345.534768518519</v>
      </c>
      <c r="B61" s="199" t="s">
        <v>11739</v>
      </c>
      <c r="C61" s="217" t="s">
        <v>11740</v>
      </c>
      <c r="D61" s="148"/>
      <c r="E61" s="35"/>
      <c r="F61" s="198">
        <v>12.8</v>
      </c>
      <c r="G61" s="6"/>
      <c r="H61" s="239"/>
      <c r="I61" s="233"/>
      <c r="J61" s="233"/>
      <c r="K61" s="233"/>
      <c r="L61" s="233"/>
      <c r="M61" s="233"/>
      <c r="N61" s="233"/>
    </row>
    <row r="62" spans="1:14" x14ac:dyDescent="0.2">
      <c r="A62" s="200">
        <v>44357</v>
      </c>
      <c r="B62" s="199" t="s">
        <v>15240</v>
      </c>
      <c r="C62" s="201" t="s">
        <v>15241</v>
      </c>
      <c r="D62" s="148"/>
      <c r="E62" s="35"/>
      <c r="F62" s="198">
        <v>4.32</v>
      </c>
      <c r="G62" s="6"/>
      <c r="H62" s="239"/>
      <c r="I62" s="233"/>
      <c r="J62" s="233"/>
      <c r="K62" s="233"/>
      <c r="L62" s="233"/>
      <c r="M62" s="233"/>
      <c r="N62" s="233"/>
    </row>
    <row r="63" spans="1:14" x14ac:dyDescent="0.2">
      <c r="A63" s="200">
        <v>44365</v>
      </c>
      <c r="B63" s="199" t="s">
        <v>14879</v>
      </c>
      <c r="C63" s="201" t="s">
        <v>14880</v>
      </c>
      <c r="D63" s="148"/>
      <c r="E63" s="35"/>
      <c r="F63" s="198">
        <v>35.799999999999997</v>
      </c>
      <c r="G63" s="6"/>
      <c r="H63" s="239"/>
      <c r="I63" s="233"/>
      <c r="J63" s="233"/>
      <c r="K63" s="233"/>
      <c r="L63" s="233"/>
      <c r="M63" s="233"/>
      <c r="N63" s="233"/>
    </row>
    <row r="64" spans="1:14" x14ac:dyDescent="0.2">
      <c r="A64" s="200">
        <v>44365</v>
      </c>
      <c r="B64" s="199" t="s">
        <v>14871</v>
      </c>
      <c r="C64" s="201" t="s">
        <v>14872</v>
      </c>
      <c r="D64" s="148"/>
      <c r="E64" s="35"/>
      <c r="F64" s="198">
        <v>3.39</v>
      </c>
      <c r="G64" s="6"/>
      <c r="H64" s="239"/>
      <c r="I64" s="233"/>
      <c r="J64" s="233"/>
      <c r="K64" s="233"/>
      <c r="L64" s="233"/>
      <c r="M64" s="233"/>
      <c r="N64" s="233"/>
    </row>
    <row r="65" spans="1:14" x14ac:dyDescent="0.2">
      <c r="A65" s="200">
        <v>44365</v>
      </c>
      <c r="B65" s="199" t="s">
        <v>14869</v>
      </c>
      <c r="C65" s="201" t="s">
        <v>14870</v>
      </c>
      <c r="D65" s="148"/>
      <c r="E65" s="35"/>
      <c r="F65" s="198">
        <v>4.58</v>
      </c>
      <c r="G65" s="6"/>
      <c r="H65" s="239"/>
      <c r="I65" s="233"/>
      <c r="J65" s="233"/>
      <c r="K65" s="233"/>
      <c r="L65" s="233"/>
      <c r="M65" s="233"/>
      <c r="N65" s="233"/>
    </row>
    <row r="66" spans="1:14" x14ac:dyDescent="0.2">
      <c r="A66" s="200">
        <v>44365</v>
      </c>
      <c r="B66" s="199" t="s">
        <v>14867</v>
      </c>
      <c r="C66" s="201" t="s">
        <v>14868</v>
      </c>
      <c r="D66" s="148"/>
      <c r="E66" s="35"/>
      <c r="F66" s="198">
        <v>11.24</v>
      </c>
      <c r="G66" s="6"/>
      <c r="H66" s="239"/>
      <c r="I66" s="233"/>
      <c r="J66" s="233"/>
      <c r="K66" s="233"/>
      <c r="L66" s="233"/>
      <c r="M66" s="233"/>
      <c r="N66" s="233"/>
    </row>
    <row r="67" spans="1:14" x14ac:dyDescent="0.2">
      <c r="A67" s="200">
        <v>44365</v>
      </c>
      <c r="B67" s="199" t="s">
        <v>14865</v>
      </c>
      <c r="C67" s="201" t="s">
        <v>14866</v>
      </c>
      <c r="D67" s="148"/>
      <c r="E67" s="35"/>
      <c r="F67" s="198">
        <v>1.68</v>
      </c>
      <c r="G67" s="6"/>
      <c r="H67" s="239"/>
      <c r="I67" s="233"/>
      <c r="J67" s="233"/>
      <c r="K67" s="233"/>
      <c r="L67" s="233"/>
      <c r="M67" s="233"/>
      <c r="N67" s="233"/>
    </row>
    <row r="68" spans="1:14" x14ac:dyDescent="0.2">
      <c r="A68" s="200">
        <v>44365</v>
      </c>
      <c r="B68" s="199" t="s">
        <v>14863</v>
      </c>
      <c r="C68" s="201" t="s">
        <v>14864</v>
      </c>
      <c r="D68" s="148"/>
      <c r="E68" s="35"/>
      <c r="F68" s="198">
        <v>1.94</v>
      </c>
      <c r="G68" s="6"/>
      <c r="H68" s="239"/>
      <c r="I68" s="233"/>
      <c r="J68" s="233"/>
      <c r="K68" s="233"/>
      <c r="L68" s="233"/>
      <c r="M68" s="233"/>
      <c r="N68" s="233"/>
    </row>
    <row r="69" spans="1:14" x14ac:dyDescent="0.2">
      <c r="A69" s="200">
        <v>44365</v>
      </c>
      <c r="B69" s="199" t="s">
        <v>14861</v>
      </c>
      <c r="C69" s="201" t="s">
        <v>14862</v>
      </c>
      <c r="D69" s="148"/>
      <c r="E69" s="35"/>
      <c r="F69" s="198">
        <v>3.19</v>
      </c>
      <c r="G69" s="6"/>
      <c r="H69" s="239"/>
      <c r="I69" s="233"/>
      <c r="J69" s="233"/>
      <c r="K69" s="233"/>
      <c r="L69" s="233"/>
      <c r="M69" s="233"/>
      <c r="N69" s="233"/>
    </row>
    <row r="70" spans="1:14" x14ac:dyDescent="0.2">
      <c r="A70" s="200">
        <v>44365</v>
      </c>
      <c r="B70" s="199" t="s">
        <v>14859</v>
      </c>
      <c r="C70" s="201" t="s">
        <v>14860</v>
      </c>
      <c r="D70" s="148"/>
      <c r="E70" s="35"/>
      <c r="F70" s="198">
        <v>1.68</v>
      </c>
      <c r="G70" s="6"/>
      <c r="H70" s="239"/>
      <c r="I70" s="233"/>
      <c r="J70" s="233"/>
      <c r="K70" s="233"/>
      <c r="L70" s="233"/>
      <c r="M70" s="233"/>
      <c r="N70" s="233"/>
    </row>
    <row r="71" spans="1:14" x14ac:dyDescent="0.2">
      <c r="A71" s="200">
        <v>44365</v>
      </c>
      <c r="B71" s="199" t="s">
        <v>14857</v>
      </c>
      <c r="C71" s="201" t="s">
        <v>14858</v>
      </c>
      <c r="D71" s="148"/>
      <c r="E71" s="35"/>
      <c r="F71" s="198">
        <v>5.29</v>
      </c>
      <c r="G71" s="6"/>
      <c r="H71" s="239"/>
      <c r="I71" s="233"/>
      <c r="J71" s="233"/>
      <c r="K71" s="233"/>
      <c r="L71" s="233"/>
      <c r="M71" s="233"/>
      <c r="N71" s="233"/>
    </row>
    <row r="72" spans="1:14" x14ac:dyDescent="0.2">
      <c r="A72" s="200">
        <v>44365</v>
      </c>
      <c r="B72" s="199" t="s">
        <v>14855</v>
      </c>
      <c r="C72" s="201" t="s">
        <v>14856</v>
      </c>
      <c r="D72" s="148"/>
      <c r="E72" s="35"/>
      <c r="F72" s="198">
        <v>5.21</v>
      </c>
      <c r="G72" s="6"/>
      <c r="H72" s="239"/>
      <c r="I72" s="233"/>
      <c r="J72" s="233"/>
      <c r="K72" s="233"/>
      <c r="L72" s="233"/>
      <c r="M72" s="233"/>
      <c r="N72" s="233"/>
    </row>
    <row r="73" spans="1:14" x14ac:dyDescent="0.2">
      <c r="A73" s="200">
        <v>44365</v>
      </c>
      <c r="B73" s="199" t="s">
        <v>14853</v>
      </c>
      <c r="C73" s="201" t="s">
        <v>14854</v>
      </c>
      <c r="D73" s="148"/>
      <c r="E73" s="35"/>
      <c r="F73" s="198">
        <v>5.03</v>
      </c>
      <c r="G73" s="6"/>
      <c r="H73" s="239"/>
      <c r="I73" s="233"/>
      <c r="J73" s="233"/>
      <c r="K73" s="233"/>
      <c r="L73" s="233"/>
      <c r="M73" s="233"/>
      <c r="N73" s="233"/>
    </row>
    <row r="74" spans="1:14" x14ac:dyDescent="0.2">
      <c r="A74" s="200">
        <v>44365</v>
      </c>
      <c r="B74" s="199" t="s">
        <v>14851</v>
      </c>
      <c r="C74" s="201" t="s">
        <v>14852</v>
      </c>
      <c r="D74" s="148"/>
      <c r="E74" s="35"/>
      <c r="F74" s="198">
        <v>32.97</v>
      </c>
      <c r="G74" s="6"/>
      <c r="H74" s="239"/>
      <c r="I74" s="233"/>
      <c r="J74" s="233"/>
      <c r="K74" s="233"/>
      <c r="L74" s="233"/>
      <c r="M74" s="233"/>
      <c r="N74" s="233"/>
    </row>
    <row r="75" spans="1:14" x14ac:dyDescent="0.2">
      <c r="A75" s="200">
        <v>44365</v>
      </c>
      <c r="B75" s="199" t="s">
        <v>14849</v>
      </c>
      <c r="C75" s="201" t="s">
        <v>14850</v>
      </c>
      <c r="D75" s="148"/>
      <c r="E75" s="35"/>
      <c r="F75" s="198">
        <v>9.86</v>
      </c>
      <c r="G75" s="6"/>
      <c r="H75" s="239"/>
      <c r="I75" s="233"/>
      <c r="J75" s="233"/>
      <c r="K75" s="233"/>
      <c r="L75" s="233"/>
      <c r="M75" s="233"/>
      <c r="N75" s="233"/>
    </row>
    <row r="76" spans="1:14" x14ac:dyDescent="0.2">
      <c r="A76" s="200">
        <v>44366</v>
      </c>
      <c r="B76" s="199" t="s">
        <v>14838</v>
      </c>
      <c r="C76" s="201" t="s">
        <v>14839</v>
      </c>
      <c r="D76" s="148"/>
      <c r="E76" s="35"/>
      <c r="F76" s="198">
        <v>1.68</v>
      </c>
      <c r="G76" s="6"/>
      <c r="H76" s="239"/>
      <c r="I76" s="233"/>
      <c r="J76" s="233"/>
      <c r="K76" s="233"/>
      <c r="L76" s="233"/>
      <c r="M76" s="233"/>
      <c r="N76" s="233"/>
    </row>
    <row r="77" spans="1:14" x14ac:dyDescent="0.2">
      <c r="A77" s="200">
        <v>44366</v>
      </c>
      <c r="B77" s="199" t="s">
        <v>14836</v>
      </c>
      <c r="C77" s="201" t="s">
        <v>14837</v>
      </c>
      <c r="D77" s="148"/>
      <c r="E77" s="35"/>
      <c r="F77" s="198">
        <v>1.93</v>
      </c>
      <c r="G77" s="6"/>
      <c r="H77" s="239"/>
      <c r="I77" s="233"/>
      <c r="J77" s="233"/>
      <c r="K77" s="233"/>
      <c r="L77" s="233"/>
      <c r="M77" s="233"/>
      <c r="N77" s="233"/>
    </row>
    <row r="78" spans="1:14" x14ac:dyDescent="0.2">
      <c r="A78" s="200">
        <v>44366</v>
      </c>
      <c r="B78" s="199" t="s">
        <v>14834</v>
      </c>
      <c r="C78" s="201" t="s">
        <v>14835</v>
      </c>
      <c r="D78" s="148"/>
      <c r="E78" s="35"/>
      <c r="F78" s="198">
        <v>2.46</v>
      </c>
      <c r="G78" s="6"/>
      <c r="H78" s="239"/>
      <c r="I78" s="233"/>
      <c r="J78" s="233"/>
      <c r="K78" s="233"/>
      <c r="L78" s="233"/>
      <c r="M78" s="233"/>
      <c r="N78" s="233"/>
    </row>
    <row r="79" spans="1:14" x14ac:dyDescent="0.2">
      <c r="A79" s="200">
        <v>44366</v>
      </c>
      <c r="B79" s="199" t="s">
        <v>14832</v>
      </c>
      <c r="C79" s="201" t="s">
        <v>14833</v>
      </c>
      <c r="D79" s="148"/>
      <c r="E79" s="35"/>
      <c r="F79" s="198">
        <v>1.99</v>
      </c>
      <c r="G79" s="6"/>
      <c r="H79" s="239"/>
      <c r="I79" s="233"/>
      <c r="J79" s="233"/>
      <c r="K79" s="233"/>
      <c r="L79" s="233"/>
      <c r="M79" s="233"/>
      <c r="N79" s="233"/>
    </row>
    <row r="80" spans="1:14" x14ac:dyDescent="0.2">
      <c r="A80" s="200">
        <v>44366</v>
      </c>
      <c r="B80" s="199" t="s">
        <v>14830</v>
      </c>
      <c r="C80" s="201" t="s">
        <v>14831</v>
      </c>
      <c r="D80" s="148"/>
      <c r="E80" s="35"/>
      <c r="F80" s="198">
        <v>2.4</v>
      </c>
      <c r="G80" s="6"/>
      <c r="H80" s="239"/>
      <c r="I80" s="233"/>
      <c r="J80" s="233"/>
      <c r="K80" s="233"/>
      <c r="L80" s="233"/>
      <c r="M80" s="233"/>
      <c r="N80" s="233"/>
    </row>
    <row r="81" spans="1:14" x14ac:dyDescent="0.2">
      <c r="A81" s="200">
        <v>44366</v>
      </c>
      <c r="B81" s="199" t="s">
        <v>14828</v>
      </c>
      <c r="C81" s="201" t="s">
        <v>14829</v>
      </c>
      <c r="D81" s="148"/>
      <c r="E81" s="35"/>
      <c r="F81" s="198">
        <v>7.32</v>
      </c>
      <c r="G81" s="6"/>
      <c r="H81" s="239"/>
      <c r="I81" s="233"/>
      <c r="J81" s="233"/>
      <c r="K81" s="233"/>
      <c r="L81" s="233"/>
      <c r="M81" s="233"/>
      <c r="N81" s="233"/>
    </row>
    <row r="82" spans="1:14" x14ac:dyDescent="0.2">
      <c r="A82" s="200">
        <v>44366</v>
      </c>
      <c r="B82" s="199" t="s">
        <v>14826</v>
      </c>
      <c r="C82" s="201" t="s">
        <v>14827</v>
      </c>
      <c r="D82" s="148"/>
      <c r="E82" s="35"/>
      <c r="F82" s="198">
        <v>6.21</v>
      </c>
      <c r="G82" s="6"/>
      <c r="H82" s="239"/>
      <c r="I82" s="233"/>
      <c r="J82" s="233"/>
      <c r="K82" s="233"/>
      <c r="L82" s="233"/>
      <c r="M82" s="233"/>
      <c r="N82" s="233"/>
    </row>
    <row r="83" spans="1:14" x14ac:dyDescent="0.2">
      <c r="A83" s="200">
        <v>44366</v>
      </c>
      <c r="B83" s="199" t="s">
        <v>14824</v>
      </c>
      <c r="C83" s="201" t="s">
        <v>14825</v>
      </c>
      <c r="D83" s="148"/>
      <c r="E83" s="35"/>
      <c r="F83" s="198">
        <v>4.82</v>
      </c>
      <c r="G83" s="6"/>
      <c r="H83" s="239"/>
      <c r="I83" s="233"/>
      <c r="J83" s="233"/>
      <c r="K83" s="233"/>
      <c r="L83" s="233"/>
      <c r="M83" s="233"/>
      <c r="N83" s="233"/>
    </row>
    <row r="84" spans="1:14" x14ac:dyDescent="0.2">
      <c r="A84" s="200">
        <v>44367</v>
      </c>
      <c r="B84" s="199" t="s">
        <v>14822</v>
      </c>
      <c r="C84" s="201" t="s">
        <v>14823</v>
      </c>
      <c r="D84" s="148"/>
      <c r="E84" s="35"/>
      <c r="F84" s="198">
        <v>3.19</v>
      </c>
      <c r="G84" s="6"/>
      <c r="H84" s="239"/>
      <c r="I84" s="233"/>
      <c r="J84" s="233"/>
      <c r="K84" s="233"/>
      <c r="L84" s="233"/>
      <c r="M84" s="236"/>
      <c r="N84" s="233"/>
    </row>
    <row r="85" spans="1:14" x14ac:dyDescent="0.2">
      <c r="A85" s="200">
        <v>44367</v>
      </c>
      <c r="B85" s="199" t="s">
        <v>14820</v>
      </c>
      <c r="C85" s="201" t="s">
        <v>14821</v>
      </c>
      <c r="D85" s="148"/>
      <c r="E85" s="35"/>
      <c r="F85" s="198">
        <v>3.36</v>
      </c>
      <c r="G85" s="6"/>
      <c r="H85" s="239"/>
      <c r="I85" s="233"/>
      <c r="J85" s="233"/>
      <c r="K85" s="233"/>
      <c r="L85" s="233"/>
      <c r="M85" s="233"/>
      <c r="N85" s="233"/>
    </row>
    <row r="86" spans="1:14" x14ac:dyDescent="0.2">
      <c r="A86" s="200">
        <v>44367</v>
      </c>
      <c r="B86" s="199" t="s">
        <v>14818</v>
      </c>
      <c r="C86" s="201" t="s">
        <v>14819</v>
      </c>
      <c r="D86" s="148"/>
      <c r="E86" s="35"/>
      <c r="F86" s="198">
        <v>14.03</v>
      </c>
      <c r="G86" s="6"/>
      <c r="H86" s="239"/>
      <c r="I86" s="233"/>
      <c r="J86" s="233"/>
      <c r="K86" s="233"/>
      <c r="L86" s="236"/>
      <c r="M86" s="233"/>
      <c r="N86" s="233"/>
    </row>
    <row r="87" spans="1:14" x14ac:dyDescent="0.2">
      <c r="A87" s="200">
        <v>44368</v>
      </c>
      <c r="B87" s="199" t="s">
        <v>14792</v>
      </c>
      <c r="C87" s="201" t="s">
        <v>14793</v>
      </c>
      <c r="D87" s="148"/>
      <c r="E87" s="35"/>
      <c r="F87" s="198">
        <v>12.57</v>
      </c>
      <c r="G87" s="6"/>
      <c r="H87" s="239"/>
      <c r="I87" s="233"/>
      <c r="J87" s="233"/>
      <c r="K87" s="233"/>
      <c r="L87" s="233"/>
      <c r="M87" s="233"/>
      <c r="N87" s="233"/>
    </row>
    <row r="88" spans="1:14" x14ac:dyDescent="0.2">
      <c r="A88" s="200">
        <v>44368</v>
      </c>
      <c r="B88" s="199" t="s">
        <v>14790</v>
      </c>
      <c r="C88" s="201" t="s">
        <v>14791</v>
      </c>
      <c r="D88" s="148"/>
      <c r="E88" s="35"/>
      <c r="F88" s="198">
        <v>5.22</v>
      </c>
      <c r="G88" s="6"/>
      <c r="H88" s="239"/>
      <c r="I88" s="233"/>
      <c r="J88" s="233"/>
      <c r="K88" s="233"/>
      <c r="L88" s="233"/>
      <c r="M88" s="233"/>
      <c r="N88" s="233"/>
    </row>
    <row r="89" spans="1:14" x14ac:dyDescent="0.2">
      <c r="A89" s="200">
        <v>44368</v>
      </c>
      <c r="B89" s="199" t="s">
        <v>14788</v>
      </c>
      <c r="C89" s="201" t="s">
        <v>14789</v>
      </c>
      <c r="D89" s="148"/>
      <c r="E89" s="35"/>
      <c r="F89" s="198">
        <v>5.04</v>
      </c>
      <c r="G89" s="6"/>
      <c r="H89" s="239"/>
      <c r="I89" s="233"/>
      <c r="J89" s="233"/>
      <c r="K89" s="233"/>
      <c r="L89" s="233"/>
      <c r="M89" s="233"/>
      <c r="N89" s="233"/>
    </row>
    <row r="90" spans="1:14" x14ac:dyDescent="0.2">
      <c r="A90" s="200">
        <v>44371</v>
      </c>
      <c r="B90" s="199" t="s">
        <v>14740</v>
      </c>
      <c r="C90" s="201" t="s">
        <v>14741</v>
      </c>
      <c r="D90" s="148"/>
      <c r="E90" s="35"/>
      <c r="F90" s="198">
        <v>6.8</v>
      </c>
      <c r="G90" s="6"/>
      <c r="H90" s="239"/>
      <c r="I90" s="233"/>
      <c r="J90" s="233"/>
      <c r="K90" s="233"/>
      <c r="L90" s="233"/>
      <c r="M90" s="233"/>
      <c r="N90" s="233"/>
    </row>
    <row r="91" spans="1:14" x14ac:dyDescent="0.2">
      <c r="A91" s="200">
        <v>44401</v>
      </c>
      <c r="B91" s="199" t="s">
        <v>17171</v>
      </c>
      <c r="C91" s="201" t="s">
        <v>17172</v>
      </c>
      <c r="D91" s="148"/>
      <c r="E91" s="35"/>
      <c r="F91" s="198">
        <v>5.14</v>
      </c>
      <c r="G91" s="6"/>
      <c r="H91" s="239"/>
      <c r="I91" s="233"/>
      <c r="J91" s="233"/>
      <c r="K91" s="233"/>
      <c r="L91" s="233"/>
      <c r="M91" s="233"/>
      <c r="N91" s="233"/>
    </row>
    <row r="92" spans="1:14" x14ac:dyDescent="0.2">
      <c r="A92" s="200">
        <v>44401</v>
      </c>
      <c r="B92" s="199" t="s">
        <v>17169</v>
      </c>
      <c r="C92" s="201" t="s">
        <v>17170</v>
      </c>
      <c r="D92" s="148"/>
      <c r="E92" s="35"/>
      <c r="F92" s="198">
        <v>6.9</v>
      </c>
      <c r="G92" s="6"/>
      <c r="H92" s="239"/>
      <c r="I92" s="233"/>
      <c r="J92" s="233"/>
      <c r="K92" s="233"/>
      <c r="L92" s="233"/>
      <c r="M92" s="233"/>
      <c r="N92" s="233"/>
    </row>
    <row r="93" spans="1:14" x14ac:dyDescent="0.2">
      <c r="A93" s="200">
        <v>44401</v>
      </c>
      <c r="B93" s="199" t="s">
        <v>17167</v>
      </c>
      <c r="C93" s="201" t="s">
        <v>17168</v>
      </c>
      <c r="D93" s="148"/>
      <c r="E93" s="35"/>
      <c r="F93" s="198">
        <v>2.76</v>
      </c>
      <c r="G93" s="6"/>
      <c r="H93" s="239"/>
      <c r="I93" s="233"/>
      <c r="J93" s="233"/>
      <c r="K93" s="233"/>
      <c r="L93" s="233"/>
      <c r="M93" s="233"/>
      <c r="N93" s="233"/>
    </row>
    <row r="94" spans="1:14" x14ac:dyDescent="0.2">
      <c r="A94" s="200">
        <v>44401</v>
      </c>
      <c r="B94" s="199" t="s">
        <v>17165</v>
      </c>
      <c r="C94" s="201" t="s">
        <v>17166</v>
      </c>
      <c r="D94" s="148"/>
      <c r="E94" s="35"/>
      <c r="F94" s="198">
        <v>5.13</v>
      </c>
      <c r="G94" s="6"/>
      <c r="H94" s="239"/>
      <c r="I94" s="233"/>
      <c r="J94" s="233"/>
      <c r="K94" s="233"/>
      <c r="L94" s="233"/>
      <c r="M94" s="233"/>
      <c r="N94" s="233"/>
    </row>
    <row r="95" spans="1:14" x14ac:dyDescent="0.2">
      <c r="A95" s="200">
        <v>44401</v>
      </c>
      <c r="B95" s="199" t="s">
        <v>17163</v>
      </c>
      <c r="C95" s="201" t="s">
        <v>17164</v>
      </c>
      <c r="D95" s="148"/>
      <c r="E95" s="35"/>
      <c r="F95" s="198">
        <v>1.68</v>
      </c>
      <c r="G95" s="6"/>
      <c r="H95" s="239"/>
      <c r="I95" s="233"/>
      <c r="J95" s="233"/>
      <c r="K95" s="233"/>
      <c r="L95" s="233"/>
      <c r="M95" s="233"/>
      <c r="N95" s="233"/>
    </row>
    <row r="96" spans="1:14" x14ac:dyDescent="0.2">
      <c r="A96" s="200">
        <v>44401</v>
      </c>
      <c r="B96" s="199" t="s">
        <v>17161</v>
      </c>
      <c r="C96" s="201" t="s">
        <v>17162</v>
      </c>
      <c r="D96" s="148"/>
      <c r="E96" s="35"/>
      <c r="F96" s="198">
        <v>4.78</v>
      </c>
      <c r="G96" s="6"/>
      <c r="H96" s="239"/>
      <c r="I96" s="233"/>
      <c r="J96" s="233"/>
      <c r="K96" s="233"/>
      <c r="L96" s="233"/>
      <c r="M96" s="233"/>
      <c r="N96" s="233"/>
    </row>
    <row r="97" spans="1:14" x14ac:dyDescent="0.2">
      <c r="A97" s="200">
        <v>44401</v>
      </c>
      <c r="B97" s="199" t="s">
        <v>17159</v>
      </c>
      <c r="C97" s="201" t="s">
        <v>17160</v>
      </c>
      <c r="D97" s="148"/>
      <c r="E97" s="35"/>
      <c r="F97" s="198">
        <v>2.42</v>
      </c>
      <c r="G97" s="6"/>
      <c r="H97" s="239"/>
      <c r="I97" s="233"/>
      <c r="J97" s="233"/>
      <c r="K97" s="233"/>
      <c r="L97" s="233"/>
      <c r="M97" s="233"/>
      <c r="N97" s="233"/>
    </row>
    <row r="98" spans="1:14" x14ac:dyDescent="0.2">
      <c r="A98" s="200">
        <v>44401</v>
      </c>
      <c r="B98" s="199" t="s">
        <v>17157</v>
      </c>
      <c r="C98" s="201" t="s">
        <v>17158</v>
      </c>
      <c r="D98" s="148"/>
      <c r="E98" s="35"/>
      <c r="F98" s="198">
        <v>3.56</v>
      </c>
      <c r="G98" s="6"/>
      <c r="H98" s="239"/>
      <c r="I98" s="233"/>
      <c r="J98" s="233"/>
      <c r="K98" s="233"/>
      <c r="L98" s="233"/>
      <c r="M98" s="233"/>
      <c r="N98" s="233"/>
    </row>
    <row r="99" spans="1:14" x14ac:dyDescent="0.2">
      <c r="A99" s="200">
        <v>44401</v>
      </c>
      <c r="B99" s="199" t="s">
        <v>17155</v>
      </c>
      <c r="C99" s="201" t="s">
        <v>17156</v>
      </c>
      <c r="D99" s="148"/>
      <c r="E99" s="35"/>
      <c r="F99" s="198">
        <v>6.99</v>
      </c>
      <c r="G99" s="6"/>
      <c r="H99" s="239"/>
      <c r="I99" s="233"/>
      <c r="J99" s="233"/>
      <c r="K99" s="233"/>
      <c r="L99" s="233"/>
      <c r="M99" s="233"/>
      <c r="N99" s="233"/>
    </row>
    <row r="100" spans="1:14" x14ac:dyDescent="0.2">
      <c r="A100" s="200">
        <v>44401</v>
      </c>
      <c r="B100" s="199" t="s">
        <v>17153</v>
      </c>
      <c r="C100" s="201" t="s">
        <v>17154</v>
      </c>
      <c r="D100" s="148"/>
      <c r="E100" s="35"/>
      <c r="F100" s="198">
        <v>1.79</v>
      </c>
      <c r="G100" s="6"/>
      <c r="H100" s="239"/>
      <c r="I100" s="233"/>
      <c r="J100" s="233"/>
      <c r="K100" s="236"/>
      <c r="L100" s="233"/>
      <c r="M100" s="233"/>
      <c r="N100" s="233"/>
    </row>
    <row r="101" spans="1:14" x14ac:dyDescent="0.2">
      <c r="A101" s="200">
        <v>44401</v>
      </c>
      <c r="B101" s="199" t="s">
        <v>17151</v>
      </c>
      <c r="C101" s="201" t="s">
        <v>17152</v>
      </c>
      <c r="D101" s="148"/>
      <c r="E101" s="35"/>
      <c r="F101" s="198">
        <v>5.0599999999999996</v>
      </c>
      <c r="G101" s="6"/>
      <c r="H101" s="239"/>
      <c r="I101" s="233"/>
      <c r="J101" s="233"/>
      <c r="K101" s="233"/>
      <c r="L101" s="233"/>
      <c r="M101" s="233"/>
      <c r="N101" s="233"/>
    </row>
    <row r="102" spans="1:14" x14ac:dyDescent="0.2">
      <c r="A102" s="200">
        <v>44401</v>
      </c>
      <c r="B102" s="199" t="s">
        <v>17149</v>
      </c>
      <c r="C102" s="201" t="s">
        <v>17150</v>
      </c>
      <c r="D102" s="148"/>
      <c r="E102" s="35"/>
      <c r="F102" s="198">
        <v>2.77</v>
      </c>
      <c r="G102" s="6"/>
      <c r="H102" s="239"/>
      <c r="I102" s="233"/>
      <c r="J102" s="233"/>
      <c r="K102" s="233"/>
      <c r="L102" s="233"/>
      <c r="M102" s="233"/>
      <c r="N102" s="233"/>
    </row>
    <row r="103" spans="1:14" x14ac:dyDescent="0.2">
      <c r="A103" s="200">
        <v>44401</v>
      </c>
      <c r="B103" s="199" t="s">
        <v>17147</v>
      </c>
      <c r="C103" s="201" t="s">
        <v>17148</v>
      </c>
      <c r="D103" s="148"/>
      <c r="E103" s="35"/>
      <c r="F103" s="198">
        <v>1.68</v>
      </c>
      <c r="G103" s="6"/>
      <c r="H103" s="239"/>
      <c r="I103" s="233"/>
      <c r="J103" s="233"/>
      <c r="K103" s="233"/>
      <c r="L103" s="233"/>
      <c r="M103" s="233"/>
      <c r="N103" s="233"/>
    </row>
    <row r="104" spans="1:14" x14ac:dyDescent="0.2">
      <c r="A104" s="200">
        <v>44401</v>
      </c>
      <c r="B104" s="199" t="s">
        <v>17145</v>
      </c>
      <c r="C104" s="201" t="s">
        <v>17146</v>
      </c>
      <c r="D104" s="148"/>
      <c r="E104" s="35"/>
      <c r="F104" s="198">
        <v>13.07</v>
      </c>
      <c r="G104" s="6"/>
      <c r="H104" s="239"/>
      <c r="I104" s="233"/>
      <c r="J104" s="233"/>
      <c r="K104" s="233"/>
      <c r="L104" s="233"/>
      <c r="M104" s="233"/>
      <c r="N104" s="233"/>
    </row>
    <row r="105" spans="1:14" x14ac:dyDescent="0.2">
      <c r="A105" s="200">
        <v>44401</v>
      </c>
      <c r="B105" s="199" t="s">
        <v>17143</v>
      </c>
      <c r="C105" s="201" t="s">
        <v>17144</v>
      </c>
      <c r="D105" s="148"/>
      <c r="E105" s="35"/>
      <c r="F105" s="198">
        <v>33.4</v>
      </c>
      <c r="G105" s="6"/>
      <c r="H105" s="239"/>
      <c r="I105" s="233"/>
      <c r="J105" s="233"/>
      <c r="K105" s="233"/>
      <c r="L105" s="233"/>
      <c r="M105" s="233"/>
      <c r="N105" s="233"/>
    </row>
    <row r="106" spans="1:14" x14ac:dyDescent="0.2">
      <c r="A106" s="200">
        <v>44402</v>
      </c>
      <c r="B106" s="199" t="s">
        <v>17133</v>
      </c>
      <c r="C106" s="201" t="s">
        <v>17134</v>
      </c>
      <c r="D106" s="148"/>
      <c r="E106" s="35"/>
      <c r="F106" s="198">
        <v>9.27</v>
      </c>
      <c r="G106" s="6"/>
      <c r="H106" s="239"/>
      <c r="I106" s="233"/>
      <c r="J106" s="233"/>
      <c r="K106" s="233"/>
      <c r="L106" s="233"/>
      <c r="M106" s="233"/>
      <c r="N106" s="233"/>
    </row>
    <row r="107" spans="1:14" x14ac:dyDescent="0.2">
      <c r="A107" s="200">
        <v>44402</v>
      </c>
      <c r="B107" s="199" t="s">
        <v>17131</v>
      </c>
      <c r="C107" s="201" t="s">
        <v>17132</v>
      </c>
      <c r="D107" s="148"/>
      <c r="E107" s="35"/>
      <c r="F107" s="198">
        <v>1.68</v>
      </c>
      <c r="G107" s="6"/>
      <c r="H107" s="239"/>
      <c r="I107" s="233"/>
      <c r="J107" s="233"/>
      <c r="K107" s="233"/>
      <c r="L107" s="233"/>
      <c r="M107" s="233"/>
      <c r="N107" s="233"/>
    </row>
    <row r="108" spans="1:14" x14ac:dyDescent="0.2">
      <c r="A108" s="200">
        <v>44402</v>
      </c>
      <c r="B108" s="199" t="s">
        <v>17129</v>
      </c>
      <c r="C108" s="201" t="s">
        <v>17130</v>
      </c>
      <c r="D108" s="148"/>
      <c r="E108" s="35"/>
      <c r="F108" s="198">
        <v>21.33</v>
      </c>
      <c r="G108" s="6"/>
      <c r="H108" s="239"/>
      <c r="I108" s="233"/>
      <c r="J108" s="233"/>
      <c r="K108" s="233"/>
      <c r="L108" s="233"/>
      <c r="M108" s="233"/>
      <c r="N108" s="233"/>
    </row>
    <row r="109" spans="1:14" x14ac:dyDescent="0.2">
      <c r="A109" s="200">
        <v>44402</v>
      </c>
      <c r="B109" s="199" t="s">
        <v>17127</v>
      </c>
      <c r="C109" s="201" t="s">
        <v>17128</v>
      </c>
      <c r="D109" s="148"/>
      <c r="E109" s="35"/>
      <c r="F109" s="198">
        <v>10.43</v>
      </c>
      <c r="G109" s="6"/>
      <c r="H109" s="239"/>
      <c r="I109" s="233"/>
      <c r="J109" s="233"/>
      <c r="K109" s="233"/>
      <c r="L109" s="233"/>
      <c r="M109" s="233"/>
      <c r="N109" s="233"/>
    </row>
    <row r="110" spans="1:14" x14ac:dyDescent="0.2">
      <c r="A110" s="200">
        <v>44402</v>
      </c>
      <c r="B110" s="199" t="s">
        <v>17125</v>
      </c>
      <c r="C110" s="201" t="s">
        <v>17126</v>
      </c>
      <c r="D110" s="148"/>
      <c r="E110" s="35"/>
      <c r="F110" s="198">
        <v>1.68</v>
      </c>
      <c r="G110" s="6"/>
      <c r="H110" s="239"/>
      <c r="I110" s="233"/>
      <c r="J110" s="233"/>
      <c r="K110" s="233"/>
      <c r="L110" s="233"/>
      <c r="M110" s="233"/>
      <c r="N110" s="233"/>
    </row>
    <row r="111" spans="1:14" x14ac:dyDescent="0.2">
      <c r="A111" s="200">
        <v>44403</v>
      </c>
      <c r="B111" s="199" t="s">
        <v>17117</v>
      </c>
      <c r="C111" s="201" t="s">
        <v>17118</v>
      </c>
      <c r="D111" s="148"/>
      <c r="E111" s="35"/>
      <c r="F111" s="198">
        <v>16.760000000000002</v>
      </c>
      <c r="G111" s="6"/>
      <c r="H111" s="239"/>
      <c r="I111" s="233"/>
      <c r="J111" s="233"/>
      <c r="K111" s="233"/>
      <c r="L111" s="233"/>
      <c r="M111" s="233"/>
      <c r="N111" s="233"/>
    </row>
    <row r="112" spans="1:14" x14ac:dyDescent="0.2">
      <c r="A112" s="200">
        <v>44403</v>
      </c>
      <c r="B112" s="199" t="s">
        <v>17115</v>
      </c>
      <c r="C112" s="201" t="s">
        <v>17116</v>
      </c>
      <c r="D112" s="148"/>
      <c r="E112" s="35"/>
      <c r="F112" s="198">
        <v>1.75</v>
      </c>
      <c r="G112" s="6"/>
      <c r="H112" s="239"/>
      <c r="I112" s="233"/>
      <c r="J112" s="233"/>
      <c r="K112" s="233"/>
      <c r="L112" s="233"/>
      <c r="M112" s="233"/>
      <c r="N112" s="233"/>
    </row>
    <row r="113" spans="1:14" x14ac:dyDescent="0.2">
      <c r="A113" s="200">
        <v>44403</v>
      </c>
      <c r="B113" s="199" t="s">
        <v>17113</v>
      </c>
      <c r="C113" s="201" t="s">
        <v>17114</v>
      </c>
      <c r="D113" s="148"/>
      <c r="E113" s="35"/>
      <c r="F113" s="198">
        <v>5.13</v>
      </c>
      <c r="G113" s="6"/>
      <c r="H113" s="239"/>
      <c r="I113" s="233"/>
      <c r="J113" s="233"/>
      <c r="K113" s="233"/>
      <c r="L113" s="233"/>
      <c r="M113" s="233"/>
      <c r="N113" s="233"/>
    </row>
    <row r="114" spans="1:14" x14ac:dyDescent="0.2">
      <c r="A114" s="200">
        <v>44403</v>
      </c>
      <c r="B114" s="199" t="s">
        <v>17111</v>
      </c>
      <c r="C114" s="201" t="s">
        <v>17112</v>
      </c>
      <c r="D114" s="148"/>
      <c r="E114" s="35"/>
      <c r="F114" s="198">
        <v>4</v>
      </c>
      <c r="G114" s="6"/>
      <c r="H114" s="239"/>
      <c r="I114" s="233"/>
      <c r="J114" s="233"/>
      <c r="K114" s="233"/>
      <c r="L114" s="233"/>
      <c r="M114" s="233"/>
      <c r="N114" s="233"/>
    </row>
    <row r="115" spans="1:14" x14ac:dyDescent="0.2">
      <c r="A115" s="200">
        <v>44403</v>
      </c>
      <c r="B115" s="199" t="s">
        <v>17109</v>
      </c>
      <c r="C115" s="201" t="s">
        <v>17110</v>
      </c>
      <c r="D115" s="148"/>
      <c r="E115" s="35"/>
      <c r="F115" s="198">
        <v>1.1299999999999999</v>
      </c>
      <c r="G115" s="6"/>
      <c r="H115" s="239"/>
      <c r="I115" s="233"/>
      <c r="J115" s="233"/>
      <c r="K115" s="233"/>
      <c r="L115" s="233"/>
      <c r="M115" s="233"/>
      <c r="N115" s="233"/>
    </row>
    <row r="116" spans="1:14" x14ac:dyDescent="0.2">
      <c r="A116" s="200">
        <v>44403</v>
      </c>
      <c r="B116" s="199" t="s">
        <v>17107</v>
      </c>
      <c r="C116" s="201" t="s">
        <v>17108</v>
      </c>
      <c r="D116" s="148"/>
      <c r="E116" s="35"/>
      <c r="F116" s="198">
        <v>1.79</v>
      </c>
      <c r="G116" s="6"/>
      <c r="H116" s="239"/>
      <c r="I116" s="233"/>
      <c r="J116" s="233"/>
      <c r="K116" s="233"/>
      <c r="L116" s="233"/>
      <c r="M116" s="236"/>
      <c r="N116" s="233"/>
    </row>
    <row r="117" spans="1:14" x14ac:dyDescent="0.2">
      <c r="A117" s="200">
        <v>44403</v>
      </c>
      <c r="B117" s="199" t="s">
        <v>17105</v>
      </c>
      <c r="C117" s="201" t="s">
        <v>17106</v>
      </c>
      <c r="D117" s="148"/>
      <c r="E117" s="35"/>
      <c r="F117" s="198">
        <v>2.02</v>
      </c>
      <c r="G117" s="6"/>
      <c r="H117" s="239"/>
      <c r="I117" s="233"/>
      <c r="J117" s="233"/>
      <c r="K117" s="233"/>
      <c r="L117" s="233"/>
      <c r="M117" s="233"/>
      <c r="N117" s="233"/>
    </row>
    <row r="118" spans="1:14" x14ac:dyDescent="0.2">
      <c r="A118" s="200">
        <v>44403</v>
      </c>
      <c r="B118" s="199" t="s">
        <v>17103</v>
      </c>
      <c r="C118" s="201" t="s">
        <v>17104</v>
      </c>
      <c r="D118" s="148"/>
      <c r="E118" s="35"/>
      <c r="F118" s="198">
        <v>5.4</v>
      </c>
      <c r="G118" s="6"/>
      <c r="H118" s="239"/>
      <c r="I118" s="233"/>
      <c r="J118" s="233"/>
      <c r="K118" s="233"/>
      <c r="L118" s="233"/>
      <c r="M118" s="233"/>
      <c r="N118" s="233"/>
    </row>
    <row r="119" spans="1:14" x14ac:dyDescent="0.2">
      <c r="A119" s="200">
        <v>44403</v>
      </c>
      <c r="B119" s="199" t="s">
        <v>17101</v>
      </c>
      <c r="C119" s="201" t="s">
        <v>17102</v>
      </c>
      <c r="D119" s="148"/>
      <c r="E119" s="35"/>
      <c r="F119" s="198">
        <v>5.26</v>
      </c>
      <c r="G119" s="6"/>
      <c r="H119" s="239"/>
      <c r="I119" s="233"/>
      <c r="J119" s="233"/>
      <c r="K119" s="233"/>
      <c r="L119" s="233"/>
      <c r="M119" s="233"/>
      <c r="N119" s="233"/>
    </row>
    <row r="120" spans="1:14" x14ac:dyDescent="0.2">
      <c r="A120" s="200">
        <v>44403</v>
      </c>
      <c r="B120" s="199" t="s">
        <v>17099</v>
      </c>
      <c r="C120" s="201" t="s">
        <v>17100</v>
      </c>
      <c r="D120" s="148"/>
      <c r="E120" s="35"/>
      <c r="F120" s="198">
        <v>4.91</v>
      </c>
      <c r="G120" s="6"/>
      <c r="H120" s="239"/>
      <c r="I120" s="233"/>
      <c r="J120" s="233"/>
      <c r="K120" s="233"/>
      <c r="L120" s="233"/>
      <c r="M120" s="233"/>
      <c r="N120" s="233"/>
    </row>
    <row r="121" spans="1:14" x14ac:dyDescent="0.2">
      <c r="A121" s="200">
        <v>44404</v>
      </c>
      <c r="B121" s="199" t="s">
        <v>17057</v>
      </c>
      <c r="C121" s="201" t="s">
        <v>17058</v>
      </c>
      <c r="D121" s="148"/>
      <c r="E121" s="35"/>
      <c r="F121" s="198">
        <v>5.21</v>
      </c>
      <c r="G121" s="6"/>
      <c r="H121" s="239"/>
      <c r="I121" s="233"/>
      <c r="J121" s="233"/>
      <c r="K121" s="233"/>
      <c r="L121" s="233"/>
      <c r="M121" s="233"/>
      <c r="N121" s="233"/>
    </row>
    <row r="122" spans="1:14" x14ac:dyDescent="0.2">
      <c r="A122" s="200">
        <v>44404</v>
      </c>
      <c r="B122" s="199" t="s">
        <v>17055</v>
      </c>
      <c r="C122" s="201" t="s">
        <v>17056</v>
      </c>
      <c r="D122" s="148"/>
      <c r="E122" s="35"/>
      <c r="F122" s="198">
        <v>6.24</v>
      </c>
      <c r="G122" s="6"/>
      <c r="H122" s="239"/>
      <c r="I122" s="233"/>
      <c r="J122" s="233"/>
      <c r="K122" s="233"/>
      <c r="L122" s="233"/>
      <c r="M122" s="233"/>
      <c r="N122" s="233"/>
    </row>
    <row r="123" spans="1:14" x14ac:dyDescent="0.2">
      <c r="A123" s="200">
        <v>44404</v>
      </c>
      <c r="B123" s="199" t="s">
        <v>17051</v>
      </c>
      <c r="C123" s="201" t="s">
        <v>17052</v>
      </c>
      <c r="D123" s="148"/>
      <c r="E123" s="35"/>
      <c r="F123" s="198">
        <v>2.5099999999999998</v>
      </c>
      <c r="G123" s="6"/>
      <c r="H123" s="239"/>
      <c r="I123" s="233"/>
      <c r="J123" s="233"/>
      <c r="K123" s="233"/>
      <c r="L123" s="233"/>
      <c r="M123" s="233"/>
      <c r="N123" s="233"/>
    </row>
    <row r="124" spans="1:14" x14ac:dyDescent="0.2">
      <c r="A124" s="200">
        <v>44404</v>
      </c>
      <c r="B124" s="199" t="s">
        <v>17049</v>
      </c>
      <c r="C124" s="201" t="s">
        <v>17050</v>
      </c>
      <c r="D124" s="148"/>
      <c r="E124" s="35"/>
      <c r="F124" s="198">
        <v>0.6</v>
      </c>
      <c r="G124" s="6"/>
      <c r="H124" s="239"/>
      <c r="I124" s="233"/>
      <c r="J124" s="233"/>
      <c r="K124" s="233"/>
      <c r="L124" s="233"/>
      <c r="M124" s="233"/>
      <c r="N124" s="233"/>
    </row>
    <row r="125" spans="1:14" x14ac:dyDescent="0.2">
      <c r="A125" s="200">
        <v>44404</v>
      </c>
      <c r="B125" s="199" t="s">
        <v>17047</v>
      </c>
      <c r="C125" s="201" t="s">
        <v>17048</v>
      </c>
      <c r="D125" s="148"/>
      <c r="E125" s="35"/>
      <c r="F125" s="198">
        <v>5.35</v>
      </c>
      <c r="G125" s="6"/>
      <c r="H125" s="239"/>
      <c r="I125" s="233"/>
      <c r="J125" s="233"/>
      <c r="K125" s="233"/>
      <c r="L125" s="233"/>
      <c r="M125" s="233"/>
      <c r="N125" s="233"/>
    </row>
    <row r="126" spans="1:14" x14ac:dyDescent="0.2">
      <c r="A126" s="200">
        <v>44404</v>
      </c>
      <c r="B126" s="199" t="s">
        <v>17045</v>
      </c>
      <c r="C126" s="201" t="s">
        <v>17046</v>
      </c>
      <c r="D126" s="148"/>
      <c r="E126" s="35"/>
      <c r="F126" s="198">
        <v>8.35</v>
      </c>
      <c r="G126" s="6"/>
      <c r="H126" s="239"/>
      <c r="I126" s="233"/>
      <c r="J126" s="233"/>
      <c r="K126" s="233"/>
      <c r="L126" s="233"/>
      <c r="M126" s="233"/>
      <c r="N126" s="233"/>
    </row>
    <row r="127" spans="1:14" x14ac:dyDescent="0.2">
      <c r="A127" s="200">
        <v>44404</v>
      </c>
      <c r="B127" s="199" t="s">
        <v>17043</v>
      </c>
      <c r="C127" s="201" t="s">
        <v>17044</v>
      </c>
      <c r="D127" s="148"/>
      <c r="E127" s="35"/>
      <c r="F127" s="198">
        <v>6.94</v>
      </c>
      <c r="G127" s="6"/>
      <c r="H127" s="239"/>
      <c r="I127" s="233"/>
      <c r="J127" s="233"/>
      <c r="K127" s="233"/>
      <c r="L127" s="233"/>
      <c r="M127" s="233"/>
      <c r="N127" s="233"/>
    </row>
    <row r="128" spans="1:14" x14ac:dyDescent="0.2">
      <c r="A128" s="200">
        <v>44404</v>
      </c>
      <c r="B128" s="199" t="s">
        <v>17041</v>
      </c>
      <c r="C128" s="201" t="s">
        <v>17042</v>
      </c>
      <c r="D128" s="148"/>
      <c r="E128" s="35"/>
      <c r="F128" s="198">
        <v>5.72</v>
      </c>
      <c r="G128" s="6"/>
      <c r="H128" s="239"/>
      <c r="I128" s="233"/>
      <c r="J128" s="233"/>
      <c r="K128" s="233"/>
      <c r="L128" s="233"/>
      <c r="M128" s="233"/>
      <c r="N128" s="233"/>
    </row>
    <row r="129" spans="1:14" x14ac:dyDescent="0.2">
      <c r="A129" s="200">
        <v>44404</v>
      </c>
      <c r="B129" s="199" t="s">
        <v>17039</v>
      </c>
      <c r="C129" s="201" t="s">
        <v>17040</v>
      </c>
      <c r="D129" s="148"/>
      <c r="E129" s="35"/>
      <c r="F129" s="198">
        <v>2.34</v>
      </c>
      <c r="G129" s="6"/>
      <c r="H129" s="239"/>
      <c r="I129" s="233"/>
      <c r="J129" s="233"/>
      <c r="K129" s="233"/>
      <c r="L129" s="233"/>
      <c r="M129" s="233"/>
      <c r="N129" s="233"/>
    </row>
    <row r="130" spans="1:14" x14ac:dyDescent="0.2">
      <c r="A130" s="200">
        <v>44404</v>
      </c>
      <c r="B130" s="199" t="s">
        <v>17037</v>
      </c>
      <c r="C130" s="201" t="s">
        <v>17038</v>
      </c>
      <c r="D130" s="148"/>
      <c r="E130" s="35"/>
      <c r="F130" s="198">
        <v>1.75</v>
      </c>
      <c r="G130" s="6"/>
      <c r="H130" s="239"/>
      <c r="I130" s="233"/>
      <c r="J130" s="233"/>
      <c r="K130" s="233"/>
      <c r="L130" s="233"/>
      <c r="M130" s="233"/>
      <c r="N130" s="233"/>
    </row>
    <row r="131" spans="1:14" x14ac:dyDescent="0.2">
      <c r="A131" s="200">
        <v>44404</v>
      </c>
      <c r="B131" s="199" t="s">
        <v>17035</v>
      </c>
      <c r="C131" s="201" t="s">
        <v>17036</v>
      </c>
      <c r="D131" s="148"/>
      <c r="E131" s="35"/>
      <c r="F131" s="198">
        <v>1.65</v>
      </c>
      <c r="G131" s="6"/>
      <c r="H131" s="239"/>
      <c r="I131" s="233"/>
      <c r="J131" s="233"/>
      <c r="K131" s="233"/>
      <c r="L131" s="233"/>
      <c r="M131" s="233"/>
      <c r="N131" s="233"/>
    </row>
    <row r="132" spans="1:14" x14ac:dyDescent="0.2">
      <c r="A132" s="200">
        <v>44404</v>
      </c>
      <c r="B132" s="199" t="s">
        <v>17033</v>
      </c>
      <c r="C132" s="201" t="s">
        <v>17034</v>
      </c>
      <c r="D132" s="148"/>
      <c r="E132" s="35"/>
      <c r="F132" s="198">
        <v>0.09</v>
      </c>
      <c r="G132" s="6"/>
      <c r="H132" s="239"/>
      <c r="I132" s="233"/>
      <c r="J132" s="233"/>
      <c r="K132" s="233"/>
      <c r="L132" s="233"/>
      <c r="M132" s="233"/>
      <c r="N132" s="233"/>
    </row>
    <row r="133" spans="1:14" x14ac:dyDescent="0.2">
      <c r="A133" s="200">
        <v>44404</v>
      </c>
      <c r="B133" s="199" t="s">
        <v>17031</v>
      </c>
      <c r="C133" s="201" t="s">
        <v>17032</v>
      </c>
      <c r="D133" s="148"/>
      <c r="E133" s="35"/>
      <c r="F133" s="198">
        <v>13.1</v>
      </c>
      <c r="G133" s="6"/>
      <c r="H133" s="239"/>
      <c r="I133" s="233"/>
      <c r="J133" s="233"/>
      <c r="K133" s="233"/>
      <c r="L133" s="233"/>
      <c r="M133" s="233"/>
      <c r="N133" s="233"/>
    </row>
    <row r="134" spans="1:14" x14ac:dyDescent="0.2">
      <c r="A134" s="200">
        <v>44404</v>
      </c>
      <c r="B134" s="199" t="s">
        <v>17029</v>
      </c>
      <c r="C134" s="201" t="s">
        <v>17030</v>
      </c>
      <c r="D134" s="148"/>
      <c r="E134" s="35"/>
      <c r="F134" s="198">
        <v>17.52</v>
      </c>
      <c r="G134" s="6"/>
      <c r="H134" s="239"/>
      <c r="I134" s="233"/>
      <c r="J134" s="233"/>
      <c r="K134" s="233"/>
      <c r="L134" s="233"/>
      <c r="M134" s="233"/>
      <c r="N134" s="233"/>
    </row>
    <row r="135" spans="1:14" x14ac:dyDescent="0.2">
      <c r="A135" s="200">
        <v>44404</v>
      </c>
      <c r="B135" s="199" t="s">
        <v>17027</v>
      </c>
      <c r="C135" s="201" t="s">
        <v>17028</v>
      </c>
      <c r="D135" s="148"/>
      <c r="E135" s="35"/>
      <c r="F135" s="198">
        <v>28.82</v>
      </c>
      <c r="G135" s="6"/>
      <c r="H135" s="239"/>
      <c r="I135" s="233"/>
      <c r="J135" s="233"/>
      <c r="K135" s="233"/>
      <c r="L135" s="233"/>
      <c r="M135" s="233"/>
      <c r="N135" s="233"/>
    </row>
    <row r="136" spans="1:14" x14ac:dyDescent="0.2">
      <c r="A136" s="200">
        <v>44404</v>
      </c>
      <c r="B136" s="199" t="s">
        <v>17025</v>
      </c>
      <c r="C136" s="201" t="s">
        <v>17026</v>
      </c>
      <c r="D136" s="148"/>
      <c r="E136" s="35"/>
      <c r="F136" s="198">
        <v>2.12</v>
      </c>
      <c r="G136" s="6"/>
      <c r="H136" s="239"/>
      <c r="I136" s="233"/>
      <c r="J136" s="233"/>
      <c r="K136" s="233"/>
      <c r="L136" s="233"/>
      <c r="M136" s="233"/>
      <c r="N136" s="233"/>
    </row>
    <row r="137" spans="1:14" x14ac:dyDescent="0.2">
      <c r="A137" s="200">
        <v>44404</v>
      </c>
      <c r="B137" s="199" t="s">
        <v>17023</v>
      </c>
      <c r="C137" s="201" t="s">
        <v>17024</v>
      </c>
      <c r="D137" s="148"/>
      <c r="E137" s="35"/>
      <c r="F137" s="198">
        <v>1.85</v>
      </c>
      <c r="G137" s="6"/>
      <c r="H137" s="239"/>
      <c r="I137" s="233"/>
      <c r="J137" s="233"/>
      <c r="K137" s="233"/>
      <c r="L137" s="233"/>
      <c r="M137" s="233"/>
      <c r="N137" s="233"/>
    </row>
    <row r="138" spans="1:14" x14ac:dyDescent="0.2">
      <c r="A138" s="200">
        <v>44404</v>
      </c>
      <c r="B138" s="199" t="s">
        <v>17021</v>
      </c>
      <c r="C138" s="201" t="s">
        <v>17022</v>
      </c>
      <c r="D138" s="148"/>
      <c r="E138" s="35"/>
      <c r="F138" s="198">
        <v>4.1900000000000004</v>
      </c>
      <c r="G138" s="6"/>
      <c r="H138" s="239"/>
      <c r="I138" s="233"/>
      <c r="J138" s="233"/>
      <c r="K138" s="233"/>
      <c r="L138" s="233"/>
      <c r="M138" s="233"/>
      <c r="N138" s="233"/>
    </row>
    <row r="139" spans="1:14" x14ac:dyDescent="0.2">
      <c r="A139" s="200">
        <v>44404</v>
      </c>
      <c r="B139" s="199" t="s">
        <v>17019</v>
      </c>
      <c r="C139" s="201" t="s">
        <v>17020</v>
      </c>
      <c r="D139" s="148"/>
      <c r="E139" s="35"/>
      <c r="F139" s="198">
        <v>3.09</v>
      </c>
      <c r="G139" s="6"/>
      <c r="H139" s="239"/>
      <c r="I139" s="233"/>
      <c r="J139" s="233"/>
      <c r="K139" s="233"/>
      <c r="L139" s="233"/>
      <c r="M139" s="233"/>
      <c r="N139" s="233"/>
    </row>
    <row r="140" spans="1:14" x14ac:dyDescent="0.2">
      <c r="A140" s="200">
        <v>44404</v>
      </c>
      <c r="B140" s="199" t="s">
        <v>17017</v>
      </c>
      <c r="C140" s="201" t="s">
        <v>17018</v>
      </c>
      <c r="D140" s="148"/>
      <c r="E140" s="35"/>
      <c r="F140" s="198">
        <v>0.06</v>
      </c>
      <c r="G140" s="6"/>
      <c r="H140" s="239"/>
      <c r="I140" s="233"/>
      <c r="J140" s="233"/>
      <c r="K140" s="233"/>
      <c r="L140" s="233"/>
      <c r="M140" s="233"/>
      <c r="N140" s="233"/>
    </row>
    <row r="141" spans="1:14" x14ac:dyDescent="0.2">
      <c r="A141" s="200">
        <v>44404</v>
      </c>
      <c r="B141" s="199" t="s">
        <v>17015</v>
      </c>
      <c r="C141" s="201" t="s">
        <v>17016</v>
      </c>
      <c r="D141" s="148"/>
      <c r="E141" s="35"/>
      <c r="F141" s="198">
        <v>3.37</v>
      </c>
      <c r="G141" s="6"/>
      <c r="H141" s="239"/>
      <c r="I141" s="233"/>
      <c r="J141" s="233"/>
      <c r="K141" s="233"/>
      <c r="L141" s="233"/>
      <c r="M141" s="233"/>
      <c r="N141" s="233"/>
    </row>
    <row r="142" spans="1:14" x14ac:dyDescent="0.2">
      <c r="A142" s="200">
        <v>44404</v>
      </c>
      <c r="B142" s="199" t="s">
        <v>17013</v>
      </c>
      <c r="C142" s="201" t="s">
        <v>17014</v>
      </c>
      <c r="D142" s="148"/>
      <c r="E142" s="35"/>
      <c r="F142" s="198">
        <v>8.3800000000000008</v>
      </c>
      <c r="G142" s="6"/>
      <c r="H142" s="239"/>
      <c r="I142" s="233"/>
      <c r="J142" s="233"/>
      <c r="K142" s="233"/>
      <c r="L142" s="233"/>
      <c r="M142" s="233"/>
      <c r="N142" s="233"/>
    </row>
    <row r="143" spans="1:14" x14ac:dyDescent="0.2">
      <c r="A143" s="200">
        <v>44404</v>
      </c>
      <c r="B143" s="199" t="s">
        <v>17011</v>
      </c>
      <c r="C143" s="201" t="s">
        <v>17012</v>
      </c>
      <c r="D143" s="148"/>
      <c r="E143" s="35"/>
      <c r="F143" s="198">
        <v>7.95</v>
      </c>
      <c r="G143" s="6"/>
      <c r="H143" s="239"/>
      <c r="I143" s="233"/>
      <c r="J143" s="233"/>
      <c r="K143" s="233"/>
      <c r="L143" s="233"/>
      <c r="M143" s="233"/>
      <c r="N143" s="233"/>
    </row>
    <row r="144" spans="1:14" x14ac:dyDescent="0.2">
      <c r="A144" s="200">
        <v>44404</v>
      </c>
      <c r="B144" s="199" t="s">
        <v>17009</v>
      </c>
      <c r="C144" s="201" t="s">
        <v>17010</v>
      </c>
      <c r="D144" s="148"/>
      <c r="E144" s="35"/>
      <c r="F144" s="198">
        <v>3.48</v>
      </c>
      <c r="G144" s="6"/>
      <c r="H144" s="239"/>
      <c r="I144" s="233"/>
      <c r="J144" s="233"/>
      <c r="K144" s="233"/>
      <c r="L144" s="233"/>
      <c r="M144" s="233"/>
      <c r="N144" s="233"/>
    </row>
    <row r="145" spans="1:14" x14ac:dyDescent="0.2">
      <c r="A145" s="200">
        <v>44404</v>
      </c>
      <c r="B145" s="199" t="s">
        <v>17007</v>
      </c>
      <c r="C145" s="201" t="s">
        <v>17008</v>
      </c>
      <c r="D145" s="148"/>
      <c r="E145" s="35"/>
      <c r="F145" s="198">
        <v>11.51</v>
      </c>
      <c r="G145" s="6"/>
      <c r="H145" s="239"/>
      <c r="I145" s="233"/>
      <c r="J145" s="233"/>
      <c r="K145" s="233"/>
      <c r="L145" s="233"/>
      <c r="M145" s="233"/>
      <c r="N145" s="233"/>
    </row>
    <row r="146" spans="1:14" x14ac:dyDescent="0.2">
      <c r="A146" s="200">
        <v>44404</v>
      </c>
      <c r="B146" s="199" t="s">
        <v>17005</v>
      </c>
      <c r="C146" s="201" t="s">
        <v>17006</v>
      </c>
      <c r="D146" s="148"/>
      <c r="E146" s="35"/>
      <c r="F146" s="198">
        <v>1.85</v>
      </c>
      <c r="G146" s="6"/>
      <c r="H146" s="239"/>
      <c r="I146" s="233"/>
      <c r="J146" s="233"/>
      <c r="K146" s="233"/>
      <c r="L146" s="233"/>
      <c r="M146" s="233"/>
      <c r="N146" s="233"/>
    </row>
    <row r="147" spans="1:14" x14ac:dyDescent="0.2">
      <c r="A147" s="200">
        <v>44404</v>
      </c>
      <c r="B147" s="199" t="s">
        <v>17003</v>
      </c>
      <c r="C147" s="201" t="s">
        <v>17004</v>
      </c>
      <c r="D147" s="148"/>
      <c r="E147" s="35"/>
      <c r="F147" s="198">
        <v>3.56</v>
      </c>
      <c r="G147" s="6"/>
      <c r="H147" s="239"/>
      <c r="I147" s="233"/>
      <c r="J147" s="233"/>
      <c r="K147" s="233"/>
      <c r="L147" s="233"/>
      <c r="M147" s="233"/>
      <c r="N147" s="233"/>
    </row>
    <row r="148" spans="1:14" x14ac:dyDescent="0.2">
      <c r="A148" s="200">
        <v>44404</v>
      </c>
      <c r="B148" s="199" t="s">
        <v>16999</v>
      </c>
      <c r="C148" s="201" t="s">
        <v>17000</v>
      </c>
      <c r="D148" s="148"/>
      <c r="E148" s="35"/>
      <c r="F148" s="198">
        <v>2.2999999999999998</v>
      </c>
      <c r="G148" s="6"/>
      <c r="H148" s="239"/>
      <c r="I148" s="233"/>
      <c r="J148" s="233"/>
      <c r="K148" s="233"/>
      <c r="L148" s="233"/>
      <c r="M148" s="233"/>
      <c r="N148" s="233"/>
    </row>
    <row r="149" spans="1:14" x14ac:dyDescent="0.2">
      <c r="A149" s="200">
        <v>44405</v>
      </c>
      <c r="B149" s="199" t="s">
        <v>16997</v>
      </c>
      <c r="C149" s="201" t="s">
        <v>16998</v>
      </c>
      <c r="D149" s="148"/>
      <c r="E149" s="35"/>
      <c r="F149" s="198">
        <v>3.24</v>
      </c>
      <c r="G149" s="6"/>
      <c r="H149" s="239"/>
      <c r="I149" s="233"/>
      <c r="J149" s="233"/>
      <c r="K149" s="233"/>
      <c r="L149" s="233"/>
      <c r="M149" s="233"/>
      <c r="N149" s="233"/>
    </row>
    <row r="150" spans="1:14" x14ac:dyDescent="0.2">
      <c r="A150" s="200">
        <v>44405</v>
      </c>
      <c r="B150" s="199" t="s">
        <v>16995</v>
      </c>
      <c r="C150" s="201" t="s">
        <v>16996</v>
      </c>
      <c r="D150" s="148"/>
      <c r="E150" s="35"/>
      <c r="F150" s="198">
        <v>1.68</v>
      </c>
      <c r="G150" s="6"/>
      <c r="H150" s="239"/>
      <c r="I150" s="233"/>
      <c r="J150" s="233"/>
      <c r="K150" s="233"/>
      <c r="L150" s="233"/>
      <c r="M150" s="233"/>
      <c r="N150" s="233"/>
    </row>
    <row r="151" spans="1:14" x14ac:dyDescent="0.2">
      <c r="A151" s="200">
        <v>44405</v>
      </c>
      <c r="B151" s="199" t="s">
        <v>16985</v>
      </c>
      <c r="C151" s="201" t="s">
        <v>16986</v>
      </c>
      <c r="D151" s="148"/>
      <c r="E151" s="35"/>
      <c r="F151" s="198">
        <v>0.42</v>
      </c>
      <c r="G151" s="6"/>
      <c r="H151" s="239"/>
      <c r="I151" s="233"/>
      <c r="J151" s="233"/>
      <c r="K151" s="233"/>
      <c r="L151" s="233"/>
      <c r="M151" s="233"/>
      <c r="N151" s="233"/>
    </row>
    <row r="152" spans="1:14" x14ac:dyDescent="0.2">
      <c r="A152" s="200">
        <v>44405</v>
      </c>
      <c r="B152" s="199" t="s">
        <v>16983</v>
      </c>
      <c r="C152" s="201" t="s">
        <v>16984</v>
      </c>
      <c r="D152" s="148"/>
      <c r="E152" s="35"/>
      <c r="F152" s="198">
        <v>5.04</v>
      </c>
      <c r="G152" s="6"/>
      <c r="H152" s="239"/>
      <c r="I152" s="233"/>
      <c r="J152" s="233"/>
      <c r="K152" s="233"/>
      <c r="L152" s="233"/>
      <c r="M152" s="233"/>
      <c r="N152" s="233"/>
    </row>
    <row r="153" spans="1:14" x14ac:dyDescent="0.2">
      <c r="A153" s="200">
        <v>44405</v>
      </c>
      <c r="B153" s="199" t="s">
        <v>16981</v>
      </c>
      <c r="C153" s="201" t="s">
        <v>16982</v>
      </c>
      <c r="D153" s="148"/>
      <c r="E153" s="35"/>
      <c r="F153" s="198">
        <v>1.98</v>
      </c>
      <c r="G153" s="6"/>
      <c r="H153" s="239"/>
      <c r="I153" s="233"/>
      <c r="J153" s="233"/>
      <c r="K153" s="233"/>
      <c r="L153" s="233"/>
      <c r="M153" s="233"/>
      <c r="N153" s="233"/>
    </row>
    <row r="154" spans="1:14" x14ac:dyDescent="0.2">
      <c r="A154" s="200">
        <v>44405</v>
      </c>
      <c r="B154" s="199" t="s">
        <v>16979</v>
      </c>
      <c r="C154" s="201" t="s">
        <v>16980</v>
      </c>
      <c r="D154" s="148"/>
      <c r="E154" s="35"/>
      <c r="F154" s="198">
        <v>4.2</v>
      </c>
      <c r="G154" s="6"/>
      <c r="H154" s="239"/>
      <c r="I154" s="233"/>
      <c r="J154" s="233"/>
      <c r="K154" s="233"/>
      <c r="L154" s="233"/>
      <c r="M154" s="233"/>
      <c r="N154" s="233"/>
    </row>
    <row r="155" spans="1:14" x14ac:dyDescent="0.2">
      <c r="A155" s="200">
        <v>44405</v>
      </c>
      <c r="B155" s="199" t="s">
        <v>16977</v>
      </c>
      <c r="C155" s="201" t="s">
        <v>16978</v>
      </c>
      <c r="D155" s="148"/>
      <c r="E155" s="35"/>
      <c r="F155" s="198">
        <v>17.190000000000001</v>
      </c>
      <c r="G155" s="6"/>
      <c r="H155" s="239"/>
      <c r="I155" s="233"/>
      <c r="J155" s="233"/>
      <c r="K155" s="233"/>
      <c r="L155" s="233"/>
      <c r="M155" s="233"/>
      <c r="N155" s="233"/>
    </row>
    <row r="156" spans="1:14" x14ac:dyDescent="0.2">
      <c r="A156" s="200">
        <v>44405</v>
      </c>
      <c r="B156" s="199" t="s">
        <v>16975</v>
      </c>
      <c r="C156" s="201" t="s">
        <v>16976</v>
      </c>
      <c r="D156" s="148"/>
      <c r="E156" s="35"/>
      <c r="F156" s="198">
        <v>37.340000000000003</v>
      </c>
      <c r="G156" s="6"/>
      <c r="H156" s="239"/>
      <c r="I156" s="233"/>
      <c r="J156" s="233"/>
      <c r="K156" s="233"/>
      <c r="L156" s="233"/>
      <c r="M156" s="233"/>
      <c r="N156" s="233"/>
    </row>
    <row r="157" spans="1:14" x14ac:dyDescent="0.2">
      <c r="A157" s="200">
        <v>44405</v>
      </c>
      <c r="B157" s="199" t="s">
        <v>16973</v>
      </c>
      <c r="C157" s="201" t="s">
        <v>16974</v>
      </c>
      <c r="D157" s="148"/>
      <c r="E157" s="35"/>
      <c r="F157" s="198">
        <v>6.94</v>
      </c>
      <c r="G157" s="6"/>
      <c r="H157" s="239"/>
      <c r="I157" s="233"/>
      <c r="J157" s="233"/>
      <c r="K157" s="233"/>
      <c r="L157" s="233"/>
      <c r="M157" s="233"/>
      <c r="N157" s="233"/>
    </row>
    <row r="158" spans="1:14" x14ac:dyDescent="0.2">
      <c r="A158" s="200">
        <v>44405</v>
      </c>
      <c r="B158" s="199" t="s">
        <v>16971</v>
      </c>
      <c r="C158" s="201" t="s">
        <v>16972</v>
      </c>
      <c r="D158" s="148"/>
      <c r="E158" s="35"/>
      <c r="F158" s="198">
        <v>0.7</v>
      </c>
      <c r="G158" s="6"/>
      <c r="H158" s="239"/>
      <c r="I158" s="233"/>
      <c r="J158" s="233"/>
      <c r="K158" s="233"/>
      <c r="L158" s="233"/>
      <c r="M158" s="233"/>
      <c r="N158" s="233"/>
    </row>
    <row r="159" spans="1:14" x14ac:dyDescent="0.2">
      <c r="A159" s="200">
        <v>44405</v>
      </c>
      <c r="B159" s="199" t="s">
        <v>16969</v>
      </c>
      <c r="C159" s="201" t="s">
        <v>16970</v>
      </c>
      <c r="D159" s="148"/>
      <c r="E159" s="35"/>
      <c r="F159" s="198">
        <v>2.17</v>
      </c>
      <c r="G159" s="6"/>
      <c r="H159" s="239"/>
      <c r="I159" s="233"/>
      <c r="J159" s="233"/>
      <c r="K159" s="233"/>
      <c r="L159" s="233"/>
      <c r="M159" s="233"/>
      <c r="N159" s="233"/>
    </row>
    <row r="160" spans="1:14" x14ac:dyDescent="0.2">
      <c r="A160" s="200">
        <v>44405</v>
      </c>
      <c r="B160" s="199" t="s">
        <v>16967</v>
      </c>
      <c r="C160" s="201" t="s">
        <v>16968</v>
      </c>
      <c r="D160" s="148"/>
      <c r="E160" s="35"/>
      <c r="F160" s="232">
        <v>1.68</v>
      </c>
      <c r="G160" s="6"/>
      <c r="H160" s="239"/>
      <c r="I160" s="233"/>
      <c r="J160" s="233"/>
      <c r="K160" s="233"/>
      <c r="L160" s="233"/>
      <c r="M160" s="233"/>
      <c r="N160" s="233"/>
    </row>
    <row r="161" spans="1:14" x14ac:dyDescent="0.2">
      <c r="A161" s="200">
        <v>44405</v>
      </c>
      <c r="B161" s="199" t="s">
        <v>16965</v>
      </c>
      <c r="C161" s="201" t="s">
        <v>16966</v>
      </c>
      <c r="D161" s="148"/>
      <c r="E161" s="35"/>
      <c r="F161" s="232">
        <v>5.55</v>
      </c>
      <c r="G161" s="6"/>
      <c r="H161" s="239"/>
      <c r="I161" s="233"/>
      <c r="J161" s="233"/>
      <c r="K161" s="233"/>
      <c r="L161" s="233"/>
      <c r="M161" s="233"/>
      <c r="N161" s="233"/>
    </row>
    <row r="162" spans="1:14" x14ac:dyDescent="0.2">
      <c r="A162" s="200">
        <v>44405</v>
      </c>
      <c r="B162" s="199" t="s">
        <v>16963</v>
      </c>
      <c r="C162" s="201" t="s">
        <v>16964</v>
      </c>
      <c r="D162" s="148"/>
      <c r="E162" s="35"/>
      <c r="F162" s="232">
        <v>32.14</v>
      </c>
      <c r="G162" s="6"/>
      <c r="H162" s="239"/>
      <c r="I162" s="233"/>
      <c r="J162" s="233"/>
      <c r="K162" s="233"/>
      <c r="L162" s="233"/>
      <c r="M162" s="233"/>
      <c r="N162" s="233"/>
    </row>
    <row r="163" spans="1:14" x14ac:dyDescent="0.2">
      <c r="A163" s="200">
        <v>44405</v>
      </c>
      <c r="B163" s="199" t="s">
        <v>16961</v>
      </c>
      <c r="C163" s="201" t="s">
        <v>16962</v>
      </c>
      <c r="D163" s="148"/>
      <c r="E163" s="35"/>
      <c r="F163" s="232">
        <v>8.4600000000000009</v>
      </c>
      <c r="G163" s="6"/>
      <c r="H163" s="239"/>
      <c r="I163" s="233"/>
      <c r="J163" s="233"/>
      <c r="K163" s="233"/>
      <c r="L163" s="233"/>
      <c r="M163" s="233"/>
      <c r="N163" s="233"/>
    </row>
    <row r="164" spans="1:14" x14ac:dyDescent="0.2">
      <c r="A164" s="200">
        <v>44405</v>
      </c>
      <c r="B164" s="199" t="s">
        <v>16959</v>
      </c>
      <c r="C164" s="201" t="s">
        <v>16960</v>
      </c>
      <c r="D164" s="148"/>
      <c r="E164" s="35"/>
      <c r="F164" s="232">
        <v>3.24</v>
      </c>
      <c r="G164" s="6"/>
      <c r="H164" s="239"/>
      <c r="I164" s="233"/>
      <c r="J164" s="233"/>
      <c r="K164" s="233"/>
      <c r="L164" s="233"/>
      <c r="M164" s="233"/>
      <c r="N164" s="233"/>
    </row>
    <row r="165" spans="1:14" x14ac:dyDescent="0.2">
      <c r="A165" s="200">
        <v>44405</v>
      </c>
      <c r="B165" s="199" t="s">
        <v>16957</v>
      </c>
      <c r="C165" s="201" t="s">
        <v>16958</v>
      </c>
      <c r="D165" s="148"/>
      <c r="E165" s="35"/>
      <c r="F165" s="232">
        <v>1.94</v>
      </c>
      <c r="G165" s="6"/>
      <c r="H165" s="239"/>
      <c r="I165" s="233"/>
      <c r="J165" s="233"/>
      <c r="K165" s="233"/>
      <c r="L165" s="233"/>
      <c r="M165" s="233"/>
      <c r="N165" s="233"/>
    </row>
    <row r="166" spans="1:14" x14ac:dyDescent="0.2">
      <c r="A166" s="200">
        <v>44405</v>
      </c>
      <c r="B166" s="199" t="s">
        <v>16955</v>
      </c>
      <c r="C166" s="201" t="s">
        <v>16956</v>
      </c>
      <c r="D166" s="148"/>
      <c r="E166" s="35"/>
      <c r="F166" s="232">
        <v>17.25</v>
      </c>
      <c r="G166" s="6"/>
      <c r="H166" s="239"/>
      <c r="I166" s="233"/>
      <c r="J166" s="233"/>
      <c r="K166" s="233"/>
      <c r="L166" s="233"/>
      <c r="M166" s="233"/>
      <c r="N166" s="233"/>
    </row>
    <row r="167" spans="1:14" x14ac:dyDescent="0.2">
      <c r="A167" s="200">
        <v>44405</v>
      </c>
      <c r="B167" s="199" t="s">
        <v>16953</v>
      </c>
      <c r="C167" s="201" t="s">
        <v>16954</v>
      </c>
      <c r="D167" s="148"/>
      <c r="E167" s="35"/>
      <c r="F167" s="232">
        <v>5.58</v>
      </c>
      <c r="G167" s="6"/>
      <c r="H167" s="239"/>
      <c r="I167" s="233"/>
      <c r="J167" s="233"/>
      <c r="K167" s="233"/>
      <c r="L167" s="233"/>
      <c r="M167" s="233"/>
      <c r="N167" s="233"/>
    </row>
    <row r="168" spans="1:14" x14ac:dyDescent="0.2">
      <c r="A168" s="200">
        <v>44405</v>
      </c>
      <c r="B168" s="199" t="s">
        <v>16951</v>
      </c>
      <c r="C168" s="201" t="s">
        <v>16952</v>
      </c>
      <c r="D168" s="148"/>
      <c r="E168" s="35"/>
      <c r="F168" s="232">
        <v>3.6</v>
      </c>
      <c r="G168" s="6"/>
      <c r="H168" s="239"/>
      <c r="I168" s="233"/>
      <c r="J168" s="233"/>
      <c r="K168" s="233"/>
      <c r="L168" s="233"/>
      <c r="M168" s="233"/>
      <c r="N168" s="233"/>
    </row>
    <row r="169" spans="1:14" x14ac:dyDescent="0.2">
      <c r="A169" s="200">
        <v>44405</v>
      </c>
      <c r="B169" s="199" t="s">
        <v>16949</v>
      </c>
      <c r="C169" s="201" t="s">
        <v>16950</v>
      </c>
      <c r="D169" s="148"/>
      <c r="E169" s="35"/>
      <c r="F169" s="232">
        <v>8.3800000000000008</v>
      </c>
      <c r="G169" s="6"/>
      <c r="H169" s="239"/>
      <c r="I169" s="233"/>
      <c r="J169" s="233"/>
      <c r="K169" s="233"/>
      <c r="L169" s="233"/>
      <c r="M169" s="233"/>
      <c r="N169" s="233"/>
    </row>
    <row r="170" spans="1:14" x14ac:dyDescent="0.2">
      <c r="A170" s="200">
        <v>44405</v>
      </c>
      <c r="B170" s="199" t="s">
        <v>16947</v>
      </c>
      <c r="C170" s="201" t="s">
        <v>16948</v>
      </c>
      <c r="D170" s="148"/>
      <c r="E170" s="35"/>
      <c r="F170" s="232">
        <v>8.3800000000000008</v>
      </c>
      <c r="G170" s="6"/>
      <c r="H170" s="239"/>
      <c r="I170" s="233"/>
      <c r="J170" s="233"/>
      <c r="K170" s="233"/>
      <c r="L170" s="233"/>
      <c r="M170" s="233"/>
      <c r="N170" s="233"/>
    </row>
    <row r="171" spans="1:14" x14ac:dyDescent="0.2">
      <c r="A171" s="200">
        <v>44405</v>
      </c>
      <c r="B171" s="199" t="s">
        <v>16945</v>
      </c>
      <c r="C171" s="201" t="s">
        <v>16946</v>
      </c>
      <c r="D171" s="148"/>
      <c r="E171" s="35"/>
      <c r="F171" s="232">
        <v>2.2799999999999998</v>
      </c>
      <c r="G171" s="6"/>
      <c r="H171" s="239"/>
      <c r="I171" s="233"/>
      <c r="J171" s="233"/>
      <c r="K171" s="236"/>
      <c r="L171" s="233"/>
      <c r="M171" s="233"/>
      <c r="N171" s="233"/>
    </row>
    <row r="172" spans="1:14" x14ac:dyDescent="0.2">
      <c r="A172" s="200">
        <v>44405</v>
      </c>
      <c r="B172" s="199" t="s">
        <v>16943</v>
      </c>
      <c r="C172" s="201" t="s">
        <v>16944</v>
      </c>
      <c r="D172" s="148"/>
      <c r="E172" s="35"/>
      <c r="F172" s="232">
        <v>9.94</v>
      </c>
      <c r="G172" s="6"/>
      <c r="H172" s="239"/>
      <c r="I172" s="233"/>
      <c r="J172" s="233"/>
      <c r="K172" s="233"/>
      <c r="L172" s="233"/>
      <c r="M172" s="233"/>
      <c r="N172" s="233"/>
    </row>
    <row r="173" spans="1:14" x14ac:dyDescent="0.2">
      <c r="A173" s="200">
        <v>44405</v>
      </c>
      <c r="B173" s="199" t="s">
        <v>16941</v>
      </c>
      <c r="C173" s="201" t="s">
        <v>16942</v>
      </c>
      <c r="D173" s="148"/>
      <c r="E173" s="35"/>
      <c r="F173" s="232">
        <v>1.68</v>
      </c>
      <c r="G173" s="6"/>
      <c r="H173" s="239"/>
      <c r="I173" s="233"/>
      <c r="J173" s="233"/>
      <c r="K173" s="233"/>
      <c r="L173" s="233"/>
      <c r="M173" s="233"/>
      <c r="N173" s="233"/>
    </row>
    <row r="174" spans="1:14" x14ac:dyDescent="0.2">
      <c r="A174" s="200">
        <v>44405</v>
      </c>
      <c r="B174" s="199" t="s">
        <v>16939</v>
      </c>
      <c r="C174" s="201" t="s">
        <v>16940</v>
      </c>
      <c r="D174" s="148"/>
      <c r="E174" s="35"/>
      <c r="F174" s="232">
        <v>8.3800000000000008</v>
      </c>
      <c r="G174" s="6"/>
      <c r="H174" s="239"/>
      <c r="I174" s="233"/>
      <c r="J174" s="233"/>
      <c r="K174" s="233"/>
      <c r="L174" s="233"/>
      <c r="M174" s="233"/>
      <c r="N174" s="233"/>
    </row>
    <row r="175" spans="1:14" x14ac:dyDescent="0.2">
      <c r="A175" s="200">
        <v>44405</v>
      </c>
      <c r="B175" s="199" t="s">
        <v>16937</v>
      </c>
      <c r="C175" s="201" t="s">
        <v>16938</v>
      </c>
      <c r="D175" s="148"/>
      <c r="E175" s="35"/>
      <c r="F175" s="232">
        <v>8.3800000000000008</v>
      </c>
      <c r="G175" s="6"/>
      <c r="H175" s="239"/>
      <c r="I175" s="233"/>
      <c r="J175" s="233"/>
      <c r="K175" s="233"/>
      <c r="L175" s="233"/>
      <c r="M175" s="233"/>
      <c r="N175" s="233"/>
    </row>
    <row r="176" spans="1:14" x14ac:dyDescent="0.2">
      <c r="A176" s="200">
        <v>44405</v>
      </c>
      <c r="B176" s="199" t="s">
        <v>16935</v>
      </c>
      <c r="C176" s="201" t="s">
        <v>16936</v>
      </c>
      <c r="D176" s="148"/>
      <c r="E176" s="35"/>
      <c r="F176" s="232">
        <v>8.3800000000000008</v>
      </c>
      <c r="G176" s="6"/>
      <c r="H176" s="239"/>
      <c r="I176" s="233"/>
      <c r="J176" s="233"/>
      <c r="K176" s="233"/>
      <c r="L176" s="233"/>
      <c r="M176" s="233"/>
      <c r="N176" s="233"/>
    </row>
    <row r="177" spans="1:14" x14ac:dyDescent="0.2">
      <c r="A177" s="200">
        <v>44405</v>
      </c>
      <c r="B177" s="199" t="s">
        <v>16933</v>
      </c>
      <c r="C177" s="201" t="s">
        <v>16934</v>
      </c>
      <c r="D177" s="148"/>
      <c r="E177" s="35"/>
      <c r="F177" s="232">
        <v>5.82</v>
      </c>
      <c r="G177" s="6"/>
      <c r="H177" s="239"/>
      <c r="I177" s="233"/>
      <c r="J177" s="233"/>
      <c r="K177" s="233"/>
      <c r="L177" s="236"/>
      <c r="M177" s="233"/>
      <c r="N177" s="233"/>
    </row>
    <row r="178" spans="1:14" x14ac:dyDescent="0.2">
      <c r="A178" s="200">
        <v>44405</v>
      </c>
      <c r="B178" s="199" t="s">
        <v>16931</v>
      </c>
      <c r="C178" s="201" t="s">
        <v>16932</v>
      </c>
      <c r="D178" s="148"/>
      <c r="E178" s="35"/>
      <c r="F178" s="232">
        <v>4.5599999999999996</v>
      </c>
      <c r="G178" s="6"/>
      <c r="H178" s="239"/>
      <c r="I178" s="240"/>
      <c r="J178" s="233"/>
      <c r="K178" s="233"/>
      <c r="L178" s="233"/>
      <c r="M178" s="233"/>
      <c r="N178" s="233"/>
    </row>
    <row r="179" spans="1:14" x14ac:dyDescent="0.2">
      <c r="A179" s="200">
        <v>44405</v>
      </c>
      <c r="B179" s="199" t="s">
        <v>16929</v>
      </c>
      <c r="C179" s="201" t="s">
        <v>16930</v>
      </c>
      <c r="D179" s="148"/>
      <c r="E179" s="35"/>
      <c r="F179" s="232">
        <v>31.18</v>
      </c>
      <c r="G179" s="6"/>
      <c r="H179" s="239"/>
      <c r="I179" s="233"/>
      <c r="J179" s="233"/>
      <c r="K179" s="233"/>
      <c r="L179" s="233"/>
      <c r="M179" s="233"/>
      <c r="N179" s="233"/>
    </row>
    <row r="180" spans="1:14" x14ac:dyDescent="0.2">
      <c r="A180" s="200">
        <v>44405</v>
      </c>
      <c r="B180" s="199" t="s">
        <v>16927</v>
      </c>
      <c r="C180" s="201" t="s">
        <v>16928</v>
      </c>
      <c r="D180" s="148"/>
      <c r="E180" s="35"/>
      <c r="F180" s="232">
        <v>8.11</v>
      </c>
      <c r="G180" s="6"/>
      <c r="H180" s="239"/>
      <c r="I180" s="233"/>
      <c r="J180" s="233"/>
      <c r="K180" s="233"/>
      <c r="L180" s="233"/>
      <c r="M180" s="233"/>
      <c r="N180" s="233"/>
    </row>
    <row r="181" spans="1:14" x14ac:dyDescent="0.2">
      <c r="A181" s="200">
        <v>44405</v>
      </c>
      <c r="B181" s="199" t="s">
        <v>16925</v>
      </c>
      <c r="C181" s="201" t="s">
        <v>16926</v>
      </c>
      <c r="D181" s="148"/>
      <c r="E181" s="35"/>
      <c r="F181" s="232">
        <v>24.6</v>
      </c>
      <c r="G181" s="6"/>
      <c r="H181" s="239"/>
      <c r="I181" s="233"/>
      <c r="J181" s="233"/>
      <c r="K181" s="233"/>
      <c r="L181" s="233"/>
      <c r="M181" s="233"/>
      <c r="N181" s="233"/>
    </row>
    <row r="182" spans="1:14" x14ac:dyDescent="0.2">
      <c r="A182" s="200">
        <v>44405</v>
      </c>
      <c r="B182" s="199" t="s">
        <v>16923</v>
      </c>
      <c r="C182" s="201" t="s">
        <v>16924</v>
      </c>
      <c r="D182" s="148"/>
      <c r="E182" s="35"/>
      <c r="F182" s="232">
        <v>0.03</v>
      </c>
      <c r="G182" s="6"/>
      <c r="H182" s="239"/>
      <c r="I182" s="233"/>
      <c r="J182" s="233"/>
      <c r="K182" s="233"/>
      <c r="L182" s="233"/>
      <c r="M182" s="233"/>
      <c r="N182" s="233"/>
    </row>
    <row r="183" spans="1:14" x14ac:dyDescent="0.2">
      <c r="A183" s="200">
        <v>44405</v>
      </c>
      <c r="B183" s="199" t="s">
        <v>16921</v>
      </c>
      <c r="C183" s="201" t="s">
        <v>16922</v>
      </c>
      <c r="D183" s="148"/>
      <c r="E183" s="35"/>
      <c r="F183" s="232">
        <v>7.58</v>
      </c>
      <c r="G183" s="6"/>
      <c r="H183" s="239"/>
      <c r="I183" s="233"/>
      <c r="J183" s="233"/>
      <c r="K183" s="233"/>
      <c r="L183" s="233"/>
      <c r="M183" s="236"/>
      <c r="N183" s="233"/>
    </row>
    <row r="184" spans="1:14" x14ac:dyDescent="0.2">
      <c r="A184" s="200">
        <v>44406</v>
      </c>
      <c r="B184" s="199" t="s">
        <v>16889</v>
      </c>
      <c r="C184" s="201" t="s">
        <v>16890</v>
      </c>
      <c r="D184" s="148"/>
      <c r="E184" s="35"/>
      <c r="F184" s="232">
        <v>1.68</v>
      </c>
      <c r="G184" s="6"/>
      <c r="H184" s="239"/>
      <c r="I184" s="233"/>
      <c r="J184" s="233"/>
      <c r="K184" s="233"/>
      <c r="L184" s="233"/>
      <c r="M184" s="233"/>
      <c r="N184" s="233"/>
    </row>
    <row r="185" spans="1:14" x14ac:dyDescent="0.2">
      <c r="A185" s="200">
        <v>44406</v>
      </c>
      <c r="B185" s="199" t="s">
        <v>16887</v>
      </c>
      <c r="C185" s="201" t="s">
        <v>16888</v>
      </c>
      <c r="D185" s="148"/>
      <c r="E185" s="35"/>
      <c r="F185" s="232">
        <v>22.9</v>
      </c>
      <c r="G185" s="6"/>
      <c r="H185" s="239"/>
      <c r="I185" s="233"/>
      <c r="J185" s="233"/>
      <c r="K185" s="233"/>
      <c r="L185" s="233"/>
      <c r="M185" s="233"/>
      <c r="N185" s="233"/>
    </row>
    <row r="186" spans="1:14" x14ac:dyDescent="0.2">
      <c r="A186" s="200">
        <v>44406</v>
      </c>
      <c r="B186" s="199" t="s">
        <v>16885</v>
      </c>
      <c r="C186" s="201" t="s">
        <v>16886</v>
      </c>
      <c r="D186" s="148"/>
      <c r="E186" s="35"/>
      <c r="F186" s="232">
        <v>5.82</v>
      </c>
      <c r="G186" s="6"/>
      <c r="H186" s="239"/>
      <c r="I186" s="233"/>
      <c r="J186" s="233"/>
      <c r="K186" s="233"/>
      <c r="L186" s="233"/>
      <c r="M186" s="233"/>
      <c r="N186" s="233"/>
    </row>
    <row r="187" spans="1:14" x14ac:dyDescent="0.2">
      <c r="A187" s="200">
        <v>44406</v>
      </c>
      <c r="B187" s="199" t="s">
        <v>16883</v>
      </c>
      <c r="C187" s="201" t="s">
        <v>16884</v>
      </c>
      <c r="D187" s="148"/>
      <c r="E187" s="35"/>
      <c r="F187" s="232">
        <v>13.54</v>
      </c>
      <c r="G187" s="6"/>
      <c r="H187" s="239"/>
      <c r="I187" s="233"/>
      <c r="J187" s="233"/>
      <c r="K187" s="233"/>
      <c r="L187" s="233"/>
      <c r="M187" s="233"/>
      <c r="N187" s="233"/>
    </row>
    <row r="188" spans="1:14" x14ac:dyDescent="0.2">
      <c r="A188" s="200">
        <v>44406</v>
      </c>
      <c r="B188" s="199" t="s">
        <v>16881</v>
      </c>
      <c r="C188" s="201" t="s">
        <v>16882</v>
      </c>
      <c r="D188" s="148"/>
      <c r="E188" s="35"/>
      <c r="F188" s="232">
        <v>8.6199999999999992</v>
      </c>
      <c r="G188" s="6"/>
      <c r="H188" s="5"/>
      <c r="L188" s="233"/>
    </row>
    <row r="189" spans="1:14" x14ac:dyDescent="0.2">
      <c r="A189" s="200">
        <v>44406</v>
      </c>
      <c r="B189" s="199" t="s">
        <v>16879</v>
      </c>
      <c r="C189" s="201" t="s">
        <v>16880</v>
      </c>
      <c r="D189" s="148"/>
      <c r="E189" s="35"/>
      <c r="F189" s="232">
        <v>2.5099999999999998</v>
      </c>
      <c r="G189" s="6"/>
      <c r="H189" s="5"/>
      <c r="L189" s="233"/>
    </row>
    <row r="190" spans="1:14" x14ac:dyDescent="0.2">
      <c r="A190" s="200">
        <v>44406</v>
      </c>
      <c r="B190" s="199" t="s">
        <v>16877</v>
      </c>
      <c r="C190" s="201" t="s">
        <v>16878</v>
      </c>
      <c r="D190" s="148"/>
      <c r="E190" s="35"/>
      <c r="F190" s="232">
        <v>13.82</v>
      </c>
      <c r="G190" s="6"/>
      <c r="H190" s="5"/>
    </row>
    <row r="191" spans="1:14" x14ac:dyDescent="0.2">
      <c r="A191" s="200">
        <v>44406</v>
      </c>
      <c r="B191" s="199" t="s">
        <v>16875</v>
      </c>
      <c r="C191" s="201" t="s">
        <v>16876</v>
      </c>
      <c r="D191" s="148"/>
      <c r="E191" s="35"/>
      <c r="F191" s="232">
        <v>3.37</v>
      </c>
      <c r="G191" s="6"/>
      <c r="H191" s="5"/>
    </row>
    <row r="192" spans="1:14" x14ac:dyDescent="0.2">
      <c r="A192" s="200">
        <v>44406</v>
      </c>
      <c r="B192" s="199" t="s">
        <v>16873</v>
      </c>
      <c r="C192" s="201" t="s">
        <v>16874</v>
      </c>
      <c r="D192" s="148"/>
      <c r="E192" s="35"/>
      <c r="F192" s="232">
        <v>1.68</v>
      </c>
      <c r="G192" s="6"/>
      <c r="H192" s="5"/>
    </row>
    <row r="193" spans="1:8" x14ac:dyDescent="0.2">
      <c r="A193" s="200">
        <v>44406</v>
      </c>
      <c r="B193" s="199" t="s">
        <v>16871</v>
      </c>
      <c r="C193" s="201" t="s">
        <v>16872</v>
      </c>
      <c r="D193" s="148"/>
      <c r="E193" s="35"/>
      <c r="F193" s="232">
        <v>6.99</v>
      </c>
      <c r="G193" s="6"/>
      <c r="H193" s="5"/>
    </row>
    <row r="194" spans="1:8" x14ac:dyDescent="0.2">
      <c r="A194" s="200">
        <v>44406</v>
      </c>
      <c r="B194" s="199" t="s">
        <v>16869</v>
      </c>
      <c r="C194" s="201" t="s">
        <v>16870</v>
      </c>
      <c r="D194" s="148"/>
      <c r="E194" s="35"/>
      <c r="F194" s="232">
        <v>30.1</v>
      </c>
      <c r="G194" s="6"/>
      <c r="H194" s="5"/>
    </row>
    <row r="195" spans="1:8" x14ac:dyDescent="0.2">
      <c r="A195" s="200">
        <v>44406</v>
      </c>
      <c r="B195" s="199" t="s">
        <v>16867</v>
      </c>
      <c r="C195" s="201" t="s">
        <v>16868</v>
      </c>
      <c r="D195" s="148"/>
      <c r="E195" s="35"/>
      <c r="F195" s="232">
        <v>17.600000000000001</v>
      </c>
      <c r="G195" s="6"/>
      <c r="H195" s="5"/>
    </row>
    <row r="196" spans="1:8" x14ac:dyDescent="0.2">
      <c r="A196" s="200">
        <v>44406</v>
      </c>
      <c r="B196" s="199" t="s">
        <v>16865</v>
      </c>
      <c r="C196" s="201" t="s">
        <v>16866</v>
      </c>
      <c r="D196" s="148"/>
      <c r="E196" s="35"/>
      <c r="F196" s="232">
        <v>4.8499999999999996</v>
      </c>
      <c r="G196" s="6"/>
      <c r="H196" s="5"/>
    </row>
    <row r="197" spans="1:8" x14ac:dyDescent="0.2">
      <c r="A197" s="200">
        <v>44406</v>
      </c>
      <c r="B197" s="199" t="s">
        <v>16863</v>
      </c>
      <c r="C197" s="201" t="s">
        <v>16864</v>
      </c>
      <c r="D197" s="148"/>
      <c r="E197" s="35"/>
      <c r="F197" s="232">
        <v>1.68</v>
      </c>
      <c r="G197" s="6"/>
      <c r="H197" s="5"/>
    </row>
    <row r="198" spans="1:8" x14ac:dyDescent="0.2">
      <c r="A198" s="200">
        <v>44406</v>
      </c>
      <c r="B198" s="199" t="s">
        <v>16861</v>
      </c>
      <c r="C198" s="201" t="s">
        <v>16862</v>
      </c>
      <c r="D198" s="148"/>
      <c r="E198" s="35"/>
      <c r="F198" s="232">
        <v>1.68</v>
      </c>
      <c r="G198" s="6"/>
      <c r="H198" s="5"/>
    </row>
    <row r="199" spans="1:8" x14ac:dyDescent="0.2">
      <c r="A199" s="200">
        <v>44406</v>
      </c>
      <c r="B199" s="199" t="s">
        <v>16859</v>
      </c>
      <c r="C199" s="201" t="s">
        <v>16860</v>
      </c>
      <c r="D199" s="148"/>
      <c r="E199" s="35"/>
      <c r="F199" s="232">
        <v>43.17</v>
      </c>
      <c r="G199" s="6"/>
      <c r="H199" s="5"/>
    </row>
    <row r="200" spans="1:8" x14ac:dyDescent="0.2">
      <c r="A200" s="200">
        <v>44406</v>
      </c>
      <c r="B200" s="199" t="s">
        <v>16857</v>
      </c>
      <c r="C200" s="201" t="s">
        <v>16858</v>
      </c>
      <c r="D200" s="148"/>
      <c r="E200" s="35"/>
      <c r="F200" s="232">
        <v>5.68</v>
      </c>
      <c r="G200" s="6"/>
      <c r="H200" s="5"/>
    </row>
    <row r="201" spans="1:8" x14ac:dyDescent="0.2">
      <c r="A201" s="200">
        <v>44406</v>
      </c>
      <c r="B201" s="199" t="s">
        <v>16855</v>
      </c>
      <c r="C201" s="201" t="s">
        <v>16856</v>
      </c>
      <c r="D201" s="148"/>
      <c r="E201" s="35"/>
      <c r="F201" s="232">
        <v>2.1800000000000002</v>
      </c>
      <c r="G201" s="6"/>
      <c r="H201" s="5"/>
    </row>
    <row r="202" spans="1:8" x14ac:dyDescent="0.2">
      <c r="A202" s="200">
        <v>44406</v>
      </c>
      <c r="B202" s="199" t="s">
        <v>16853</v>
      </c>
      <c r="C202" s="201" t="s">
        <v>16854</v>
      </c>
      <c r="D202" s="148"/>
      <c r="E202" s="35"/>
      <c r="F202" s="232">
        <v>8.5</v>
      </c>
      <c r="G202" s="6"/>
      <c r="H202" s="5"/>
    </row>
    <row r="203" spans="1:8" x14ac:dyDescent="0.2">
      <c r="A203" s="200">
        <v>44406</v>
      </c>
      <c r="B203" s="199" t="s">
        <v>16851</v>
      </c>
      <c r="C203" s="201" t="s">
        <v>16852</v>
      </c>
      <c r="D203" s="148"/>
      <c r="E203" s="35"/>
      <c r="F203" s="232">
        <v>3</v>
      </c>
      <c r="G203" s="6"/>
      <c r="H203" s="5"/>
    </row>
    <row r="204" spans="1:8" x14ac:dyDescent="0.2">
      <c r="A204" s="200">
        <v>44406</v>
      </c>
      <c r="B204" s="199" t="s">
        <v>16849</v>
      </c>
      <c r="C204" s="201" t="s">
        <v>16850</v>
      </c>
      <c r="D204" s="148"/>
      <c r="E204" s="35"/>
      <c r="F204" s="232">
        <v>16.760000000000002</v>
      </c>
      <c r="G204" s="6"/>
      <c r="H204" s="5"/>
    </row>
    <row r="205" spans="1:8" x14ac:dyDescent="0.2">
      <c r="A205" s="200">
        <v>44406</v>
      </c>
      <c r="B205" s="199" t="s">
        <v>16847</v>
      </c>
      <c r="C205" s="201" t="s">
        <v>16848</v>
      </c>
      <c r="D205" s="148"/>
      <c r="E205" s="35"/>
      <c r="F205" s="232">
        <v>13.51</v>
      </c>
      <c r="G205" s="6"/>
      <c r="H205" s="5"/>
    </row>
    <row r="206" spans="1:8" x14ac:dyDescent="0.2">
      <c r="A206" s="200">
        <v>44406</v>
      </c>
      <c r="B206" s="199" t="s">
        <v>16845</v>
      </c>
      <c r="C206" s="201" t="s">
        <v>16846</v>
      </c>
      <c r="D206" s="148"/>
      <c r="E206" s="35"/>
      <c r="F206" s="232">
        <v>33.25</v>
      </c>
      <c r="G206" s="6"/>
      <c r="H206" s="5"/>
    </row>
    <row r="207" spans="1:8" x14ac:dyDescent="0.2">
      <c r="A207" s="200">
        <v>44406</v>
      </c>
      <c r="B207" s="199" t="s">
        <v>16843</v>
      </c>
      <c r="C207" s="201" t="s">
        <v>16844</v>
      </c>
      <c r="D207" s="148"/>
      <c r="E207" s="35"/>
      <c r="F207" s="232">
        <v>2.0699999999999998</v>
      </c>
      <c r="G207" s="6"/>
      <c r="H207" s="5"/>
    </row>
    <row r="208" spans="1:8" x14ac:dyDescent="0.2">
      <c r="A208" s="200">
        <v>44406</v>
      </c>
      <c r="B208" s="199" t="s">
        <v>16841</v>
      </c>
      <c r="C208" s="201" t="s">
        <v>16842</v>
      </c>
      <c r="D208" s="148"/>
      <c r="E208" s="35"/>
      <c r="F208" s="232">
        <v>1.94</v>
      </c>
      <c r="G208" s="6"/>
      <c r="H208" s="5"/>
    </row>
    <row r="209" spans="1:14" x14ac:dyDescent="0.2">
      <c r="A209" s="200">
        <v>44406</v>
      </c>
      <c r="B209" s="199" t="s">
        <v>16839</v>
      </c>
      <c r="C209" s="201" t="s">
        <v>16840</v>
      </c>
      <c r="D209" s="148"/>
      <c r="E209" s="35"/>
      <c r="F209" s="232">
        <v>0.68</v>
      </c>
      <c r="G209" s="6"/>
      <c r="H209" s="5"/>
    </row>
    <row r="210" spans="1:14" x14ac:dyDescent="0.2">
      <c r="A210" s="200">
        <v>44406</v>
      </c>
      <c r="B210" s="199" t="s">
        <v>16837</v>
      </c>
      <c r="C210" s="201" t="s">
        <v>16838</v>
      </c>
      <c r="D210" s="148"/>
      <c r="E210" s="35"/>
      <c r="F210" s="232">
        <v>6.96</v>
      </c>
      <c r="G210" s="6"/>
      <c r="H210" s="5"/>
    </row>
    <row r="211" spans="1:14" x14ac:dyDescent="0.2">
      <c r="A211" s="200">
        <v>44406</v>
      </c>
      <c r="B211" s="199" t="s">
        <v>16835</v>
      </c>
      <c r="C211" s="201" t="s">
        <v>16836</v>
      </c>
      <c r="D211" s="148"/>
      <c r="E211" s="35"/>
      <c r="F211" s="232">
        <v>1.84</v>
      </c>
      <c r="G211" s="6"/>
      <c r="H211" s="5"/>
    </row>
    <row r="212" spans="1:14" x14ac:dyDescent="0.2">
      <c r="A212" s="200">
        <v>44406</v>
      </c>
      <c r="B212" s="199" t="s">
        <v>16833</v>
      </c>
      <c r="C212" s="201" t="s">
        <v>16834</v>
      </c>
      <c r="D212" s="148"/>
      <c r="E212" s="35"/>
      <c r="F212" s="232">
        <v>5.04</v>
      </c>
      <c r="G212" s="6"/>
      <c r="H212" s="5"/>
    </row>
    <row r="213" spans="1:14" x14ac:dyDescent="0.2">
      <c r="A213" s="200">
        <v>44406</v>
      </c>
      <c r="B213" s="199" t="s">
        <v>16831</v>
      </c>
      <c r="C213" s="201" t="s">
        <v>16832</v>
      </c>
      <c r="D213" s="148"/>
      <c r="E213" s="35"/>
      <c r="F213" s="232">
        <v>3.39</v>
      </c>
      <c r="G213" s="6"/>
      <c r="H213" s="5"/>
    </row>
    <row r="214" spans="1:14" x14ac:dyDescent="0.2">
      <c r="A214" s="200">
        <v>44406</v>
      </c>
      <c r="B214" s="199" t="s">
        <v>16829</v>
      </c>
      <c r="C214" s="201" t="s">
        <v>16830</v>
      </c>
      <c r="D214" s="148"/>
      <c r="E214" s="35"/>
      <c r="F214" s="232">
        <v>0.26</v>
      </c>
      <c r="G214" s="6"/>
      <c r="H214" s="5"/>
    </row>
    <row r="215" spans="1:14" x14ac:dyDescent="0.2">
      <c r="A215" s="200">
        <v>44406</v>
      </c>
      <c r="B215" s="199" t="s">
        <v>16827</v>
      </c>
      <c r="C215" s="201" t="s">
        <v>16828</v>
      </c>
      <c r="D215" s="148"/>
      <c r="E215" s="35"/>
      <c r="F215" s="232">
        <v>4.58</v>
      </c>
      <c r="G215" s="6"/>
      <c r="H215" s="5"/>
    </row>
    <row r="216" spans="1:14" x14ac:dyDescent="0.2">
      <c r="A216" s="200">
        <v>44406</v>
      </c>
      <c r="B216" s="199" t="s">
        <v>16825</v>
      </c>
      <c r="C216" s="201" t="s">
        <v>16826</v>
      </c>
      <c r="D216" s="148"/>
      <c r="E216" s="35"/>
      <c r="F216" s="232">
        <v>2.77</v>
      </c>
      <c r="G216" s="6"/>
      <c r="H216" s="5"/>
    </row>
    <row r="217" spans="1:14" x14ac:dyDescent="0.2">
      <c r="A217" s="200">
        <v>44406</v>
      </c>
      <c r="B217" s="199" t="s">
        <v>16823</v>
      </c>
      <c r="C217" s="201" t="s">
        <v>16824</v>
      </c>
      <c r="D217" s="148"/>
      <c r="E217" s="35"/>
      <c r="F217" s="232">
        <v>4.05</v>
      </c>
      <c r="G217" s="6"/>
      <c r="H217" s="5"/>
    </row>
    <row r="218" spans="1:14" x14ac:dyDescent="0.2">
      <c r="A218" s="200">
        <v>44406</v>
      </c>
      <c r="B218" s="199" t="s">
        <v>16821</v>
      </c>
      <c r="C218" s="201" t="s">
        <v>16822</v>
      </c>
      <c r="D218" s="148"/>
      <c r="E218" s="35"/>
      <c r="F218" s="232">
        <v>5.26</v>
      </c>
      <c r="G218" s="6"/>
      <c r="H218" s="5"/>
    </row>
    <row r="219" spans="1:14" x14ac:dyDescent="0.2">
      <c r="A219" s="200">
        <v>44406</v>
      </c>
      <c r="B219" s="199" t="s">
        <v>16819</v>
      </c>
      <c r="C219" s="201" t="s">
        <v>16820</v>
      </c>
      <c r="D219" s="148"/>
      <c r="E219" s="35"/>
      <c r="F219" s="232">
        <v>1.84</v>
      </c>
      <c r="G219" s="6"/>
      <c r="H219" s="5"/>
    </row>
    <row r="220" spans="1:14" x14ac:dyDescent="0.2">
      <c r="A220" s="200">
        <v>44406</v>
      </c>
      <c r="B220" s="199" t="s">
        <v>16817</v>
      </c>
      <c r="C220" s="201" t="s">
        <v>16818</v>
      </c>
      <c r="D220" s="148"/>
      <c r="E220" s="35"/>
      <c r="F220" s="232">
        <v>8.08</v>
      </c>
      <c r="G220" s="6"/>
      <c r="H220" s="5"/>
    </row>
    <row r="221" spans="1:14" x14ac:dyDescent="0.2">
      <c r="A221" s="200">
        <v>44406</v>
      </c>
      <c r="B221" s="199" t="s">
        <v>16815</v>
      </c>
      <c r="C221" s="201" t="s">
        <v>16816</v>
      </c>
      <c r="D221" s="148"/>
      <c r="E221" s="35"/>
      <c r="F221" s="232">
        <v>6.3</v>
      </c>
      <c r="G221" s="6"/>
      <c r="H221" s="5"/>
    </row>
    <row r="222" spans="1:14" x14ac:dyDescent="0.2">
      <c r="A222" s="200">
        <v>44406</v>
      </c>
      <c r="B222" s="199" t="s">
        <v>16813</v>
      </c>
      <c r="C222" s="201" t="s">
        <v>16814</v>
      </c>
      <c r="D222" s="148"/>
      <c r="E222" s="35"/>
      <c r="F222" s="232">
        <v>5.45</v>
      </c>
      <c r="G222" s="6"/>
      <c r="H222" s="5"/>
    </row>
    <row r="223" spans="1:14" x14ac:dyDescent="0.2">
      <c r="A223" s="200">
        <v>44419</v>
      </c>
      <c r="B223" s="199" t="s">
        <v>19280</v>
      </c>
      <c r="C223" s="201" t="s">
        <v>19281</v>
      </c>
      <c r="D223" s="148"/>
      <c r="E223" s="35"/>
      <c r="F223" s="198">
        <v>8.3800000000000008</v>
      </c>
      <c r="G223" s="6"/>
      <c r="H223" s="5"/>
      <c r="N223" s="148"/>
    </row>
    <row r="224" spans="1:14" x14ac:dyDescent="0.2">
      <c r="A224" s="200">
        <v>44435</v>
      </c>
      <c r="B224" s="199" t="s">
        <v>19277</v>
      </c>
      <c r="C224" s="201" t="s">
        <v>19278</v>
      </c>
      <c r="D224" s="148"/>
      <c r="E224" s="35"/>
      <c r="F224" s="198">
        <v>2.67</v>
      </c>
      <c r="G224" s="6"/>
      <c r="H224" s="5"/>
      <c r="N224" s="148"/>
    </row>
    <row r="225" spans="1:14" x14ac:dyDescent="0.2">
      <c r="A225" s="200">
        <v>44435</v>
      </c>
      <c r="B225" s="199" t="s">
        <v>19275</v>
      </c>
      <c r="C225" s="201" t="s">
        <v>19276</v>
      </c>
      <c r="D225" s="148"/>
      <c r="E225" s="35"/>
      <c r="F225" s="198">
        <v>1.94</v>
      </c>
      <c r="G225" s="6"/>
      <c r="H225" s="5"/>
      <c r="N225" s="148"/>
    </row>
    <row r="226" spans="1:14" x14ac:dyDescent="0.2">
      <c r="A226" s="200">
        <v>44435</v>
      </c>
      <c r="B226" s="199" t="s">
        <v>19273</v>
      </c>
      <c r="C226" s="201" t="s">
        <v>19274</v>
      </c>
      <c r="D226" s="148"/>
      <c r="E226" s="35"/>
      <c r="F226" s="198">
        <v>6.94</v>
      </c>
      <c r="G226" s="6"/>
      <c r="H226" s="5"/>
      <c r="N226" s="148"/>
    </row>
    <row r="227" spans="1:14" x14ac:dyDescent="0.2">
      <c r="A227" s="200">
        <v>44435</v>
      </c>
      <c r="B227" s="199" t="s">
        <v>19271</v>
      </c>
      <c r="C227" s="201" t="s">
        <v>19272</v>
      </c>
      <c r="D227" s="148"/>
      <c r="E227" s="35"/>
      <c r="F227" s="198">
        <v>16.59</v>
      </c>
      <c r="G227" s="6"/>
      <c r="H227" s="5"/>
      <c r="N227" s="148"/>
    </row>
    <row r="228" spans="1:14" x14ac:dyDescent="0.2">
      <c r="A228" s="200">
        <v>44435</v>
      </c>
      <c r="B228" s="199" t="s">
        <v>19269</v>
      </c>
      <c r="C228" s="201" t="s">
        <v>19270</v>
      </c>
      <c r="D228" s="148"/>
      <c r="E228" s="35"/>
      <c r="F228" s="198">
        <v>0.16</v>
      </c>
      <c r="G228" s="6"/>
      <c r="H228" s="5"/>
      <c r="N228" s="148"/>
    </row>
    <row r="229" spans="1:14" x14ac:dyDescent="0.2">
      <c r="A229" s="200">
        <v>44435</v>
      </c>
      <c r="B229" s="199" t="s">
        <v>19267</v>
      </c>
      <c r="C229" s="201" t="s">
        <v>19268</v>
      </c>
      <c r="D229" s="148"/>
      <c r="E229" s="35"/>
      <c r="F229" s="198">
        <v>11.89</v>
      </c>
      <c r="G229" s="6"/>
      <c r="H229" s="5"/>
      <c r="N229" s="148"/>
    </row>
    <row r="230" spans="1:14" x14ac:dyDescent="0.2">
      <c r="A230" s="200">
        <v>44435</v>
      </c>
      <c r="B230" s="199" t="s">
        <v>19265</v>
      </c>
      <c r="C230" s="201" t="s">
        <v>19266</v>
      </c>
      <c r="D230" s="148"/>
      <c r="E230" s="35"/>
      <c r="F230" s="198">
        <v>1.94</v>
      </c>
      <c r="G230" s="6"/>
      <c r="H230" s="5"/>
      <c r="N230" s="148"/>
    </row>
    <row r="231" spans="1:14" x14ac:dyDescent="0.2">
      <c r="A231" s="200">
        <v>44435</v>
      </c>
      <c r="B231" s="199" t="s">
        <v>19263</v>
      </c>
      <c r="C231" s="201" t="s">
        <v>19264</v>
      </c>
      <c r="D231" s="148"/>
      <c r="E231" s="35"/>
      <c r="F231" s="198">
        <v>3.36</v>
      </c>
      <c r="G231" s="6"/>
      <c r="H231" s="5"/>
      <c r="N231" s="148"/>
    </row>
    <row r="232" spans="1:14" x14ac:dyDescent="0.2">
      <c r="A232" s="200">
        <v>44435</v>
      </c>
      <c r="B232" s="199" t="s">
        <v>19261</v>
      </c>
      <c r="C232" s="201" t="s">
        <v>19262</v>
      </c>
      <c r="D232" s="148"/>
      <c r="E232" s="35"/>
      <c r="F232" s="198">
        <v>3.23</v>
      </c>
      <c r="G232" s="6"/>
      <c r="H232" s="5"/>
      <c r="N232" s="148"/>
    </row>
    <row r="233" spans="1:14" x14ac:dyDescent="0.2">
      <c r="A233" s="200">
        <v>44435</v>
      </c>
      <c r="B233" s="199" t="s">
        <v>19259</v>
      </c>
      <c r="C233" s="201" t="s">
        <v>19260</v>
      </c>
      <c r="D233" s="148"/>
      <c r="E233" s="35"/>
      <c r="F233" s="198">
        <v>24.61</v>
      </c>
      <c r="G233" s="6"/>
      <c r="H233" s="5"/>
      <c r="N233" s="148"/>
    </row>
    <row r="234" spans="1:14" x14ac:dyDescent="0.2">
      <c r="A234" s="200">
        <v>44435</v>
      </c>
      <c r="B234" s="199" t="s">
        <v>19257</v>
      </c>
      <c r="C234" s="201" t="s">
        <v>19258</v>
      </c>
      <c r="D234" s="148"/>
      <c r="E234" s="35"/>
      <c r="F234" s="198">
        <v>3.42</v>
      </c>
      <c r="G234" s="6"/>
      <c r="H234" s="5"/>
      <c r="N234" s="148"/>
    </row>
    <row r="235" spans="1:14" x14ac:dyDescent="0.2">
      <c r="A235" s="200">
        <v>44435</v>
      </c>
      <c r="B235" s="199" t="s">
        <v>19255</v>
      </c>
      <c r="C235" s="201" t="s">
        <v>19256</v>
      </c>
      <c r="D235" s="148"/>
      <c r="E235" s="35"/>
      <c r="F235" s="198">
        <v>2.09</v>
      </c>
      <c r="G235" s="6"/>
      <c r="H235" s="5"/>
      <c r="N235" s="148"/>
    </row>
    <row r="236" spans="1:14" x14ac:dyDescent="0.2">
      <c r="A236" s="200">
        <v>44435</v>
      </c>
      <c r="B236" s="199" t="s">
        <v>19253</v>
      </c>
      <c r="C236" s="201" t="s">
        <v>19254</v>
      </c>
      <c r="D236" s="148"/>
      <c r="E236" s="35"/>
      <c r="F236" s="198">
        <v>6.51</v>
      </c>
      <c r="G236" s="6"/>
      <c r="H236" s="5"/>
      <c r="N236" s="148"/>
    </row>
    <row r="237" spans="1:14" x14ac:dyDescent="0.2">
      <c r="A237" s="200">
        <v>44435</v>
      </c>
      <c r="B237" s="199" t="s">
        <v>19251</v>
      </c>
      <c r="C237" s="201" t="s">
        <v>19252</v>
      </c>
      <c r="D237" s="148"/>
      <c r="E237" s="35"/>
      <c r="F237" s="198">
        <v>9.9700000000000006</v>
      </c>
      <c r="G237" s="6"/>
      <c r="H237" s="5"/>
      <c r="N237" s="148"/>
    </row>
    <row r="238" spans="1:14" x14ac:dyDescent="0.2">
      <c r="A238" s="200">
        <v>44435</v>
      </c>
      <c r="B238" s="199" t="s">
        <v>19249</v>
      </c>
      <c r="C238" s="201" t="s">
        <v>19250</v>
      </c>
      <c r="D238" s="148"/>
      <c r="E238" s="35"/>
      <c r="F238" s="198">
        <v>2.13</v>
      </c>
      <c r="G238" s="6"/>
      <c r="H238" s="5"/>
      <c r="N238" s="148"/>
    </row>
    <row r="239" spans="1:14" x14ac:dyDescent="0.2">
      <c r="A239" s="200">
        <v>44435</v>
      </c>
      <c r="B239" s="199" t="s">
        <v>19247</v>
      </c>
      <c r="C239" s="201" t="s">
        <v>19248</v>
      </c>
      <c r="D239" s="148"/>
      <c r="E239" s="35"/>
      <c r="F239" s="198">
        <v>8.3800000000000008</v>
      </c>
      <c r="G239" s="6"/>
      <c r="H239" s="5"/>
      <c r="N239" s="148"/>
    </row>
    <row r="240" spans="1:14" x14ac:dyDescent="0.2">
      <c r="A240" s="200">
        <v>44435</v>
      </c>
      <c r="B240" s="199" t="s">
        <v>19245</v>
      </c>
      <c r="C240" s="201" t="s">
        <v>19246</v>
      </c>
      <c r="D240" s="148"/>
      <c r="E240" s="35"/>
      <c r="F240" s="198">
        <v>1.7</v>
      </c>
      <c r="G240" s="6"/>
      <c r="H240" s="5"/>
      <c r="N240" s="148"/>
    </row>
    <row r="241" spans="1:14" x14ac:dyDescent="0.2">
      <c r="A241" s="200">
        <v>44436</v>
      </c>
      <c r="B241" s="199" t="s">
        <v>19243</v>
      </c>
      <c r="C241" s="201" t="s">
        <v>19244</v>
      </c>
      <c r="D241" s="148"/>
      <c r="E241" s="35"/>
      <c r="F241" s="198">
        <v>1.68</v>
      </c>
      <c r="G241" s="6"/>
      <c r="H241" s="5"/>
      <c r="N241" s="148"/>
    </row>
    <row r="242" spans="1:14" x14ac:dyDescent="0.2">
      <c r="A242" s="200">
        <v>44436</v>
      </c>
      <c r="B242" s="199" t="s">
        <v>19241</v>
      </c>
      <c r="C242" s="201" t="s">
        <v>19242</v>
      </c>
      <c r="D242" s="148"/>
      <c r="E242" s="35"/>
      <c r="F242" s="198">
        <v>6.07</v>
      </c>
      <c r="G242" s="6"/>
      <c r="H242" s="5"/>
      <c r="N242" s="148"/>
    </row>
    <row r="243" spans="1:14" x14ac:dyDescent="0.2">
      <c r="A243" s="200">
        <v>44436</v>
      </c>
      <c r="B243" s="199" t="s">
        <v>19239</v>
      </c>
      <c r="C243" s="201" t="s">
        <v>19240</v>
      </c>
      <c r="D243" s="148"/>
      <c r="E243" s="35"/>
      <c r="F243" s="198">
        <v>2.4500000000000002</v>
      </c>
      <c r="G243" s="6"/>
      <c r="H243" s="5"/>
      <c r="N243" s="148"/>
    </row>
    <row r="244" spans="1:14" x14ac:dyDescent="0.2">
      <c r="A244" s="200">
        <v>44436</v>
      </c>
      <c r="B244" s="199" t="s">
        <v>19237</v>
      </c>
      <c r="C244" s="201" t="s">
        <v>19238</v>
      </c>
      <c r="D244" s="148"/>
      <c r="E244" s="35"/>
      <c r="F244" s="198">
        <v>1.94</v>
      </c>
      <c r="G244" s="6"/>
      <c r="H244" s="5"/>
      <c r="N244" s="148"/>
    </row>
    <row r="245" spans="1:14" x14ac:dyDescent="0.2">
      <c r="A245" s="200">
        <v>44436</v>
      </c>
      <c r="B245" s="199" t="s">
        <v>19235</v>
      </c>
      <c r="C245" s="201" t="s">
        <v>19236</v>
      </c>
      <c r="D245" s="148"/>
      <c r="E245" s="35"/>
      <c r="F245" s="198">
        <v>5.0599999999999996</v>
      </c>
      <c r="G245" s="6"/>
      <c r="H245" s="5"/>
      <c r="N245" s="148"/>
    </row>
    <row r="246" spans="1:14" x14ac:dyDescent="0.2">
      <c r="A246" s="200">
        <v>44436</v>
      </c>
      <c r="B246" s="199" t="s">
        <v>19233</v>
      </c>
      <c r="C246" s="201" t="s">
        <v>19234</v>
      </c>
      <c r="D246" s="148"/>
      <c r="E246" s="35"/>
      <c r="F246" s="198">
        <v>1.85</v>
      </c>
      <c r="G246" s="6"/>
      <c r="H246" s="5"/>
      <c r="N246" s="148"/>
    </row>
    <row r="247" spans="1:14" x14ac:dyDescent="0.2">
      <c r="A247" s="200">
        <v>44436</v>
      </c>
      <c r="B247" s="199" t="s">
        <v>19231</v>
      </c>
      <c r="C247" s="201" t="s">
        <v>19232</v>
      </c>
      <c r="D247" s="148"/>
      <c r="E247" s="35"/>
      <c r="F247" s="198">
        <v>4.04</v>
      </c>
      <c r="G247" s="6"/>
      <c r="H247" s="5"/>
      <c r="N247" s="148"/>
    </row>
    <row r="248" spans="1:14" x14ac:dyDescent="0.2">
      <c r="A248" s="200">
        <v>44436</v>
      </c>
      <c r="B248" s="199" t="s">
        <v>19229</v>
      </c>
      <c r="C248" s="201" t="s">
        <v>19230</v>
      </c>
      <c r="D248" s="148"/>
      <c r="E248" s="35"/>
      <c r="F248" s="198">
        <v>0.84</v>
      </c>
      <c r="G248" s="6"/>
      <c r="H248" s="5"/>
      <c r="N248" s="148"/>
    </row>
    <row r="249" spans="1:14" x14ac:dyDescent="0.2">
      <c r="A249" s="200">
        <v>44436</v>
      </c>
      <c r="B249" s="199" t="s">
        <v>19227</v>
      </c>
      <c r="C249" s="201" t="s">
        <v>19228</v>
      </c>
      <c r="D249" s="148"/>
      <c r="E249" s="35"/>
      <c r="F249" s="198">
        <v>1.68</v>
      </c>
      <c r="G249" s="6"/>
      <c r="H249" s="5"/>
      <c r="N249" s="148"/>
    </row>
    <row r="250" spans="1:14" x14ac:dyDescent="0.2">
      <c r="A250" s="200">
        <v>44437</v>
      </c>
      <c r="B250" s="199" t="s">
        <v>19225</v>
      </c>
      <c r="C250" s="201" t="s">
        <v>19226</v>
      </c>
      <c r="D250" s="148"/>
      <c r="E250" s="35"/>
      <c r="F250" s="198">
        <v>1.93</v>
      </c>
      <c r="G250" s="6"/>
      <c r="H250" s="5"/>
      <c r="N250" s="148"/>
    </row>
    <row r="251" spans="1:14" x14ac:dyDescent="0.2">
      <c r="A251" s="200">
        <v>44437</v>
      </c>
      <c r="B251" s="199" t="s">
        <v>19223</v>
      </c>
      <c r="C251" s="201" t="s">
        <v>19224</v>
      </c>
      <c r="D251" s="148"/>
      <c r="E251" s="35"/>
      <c r="F251" s="198">
        <v>1.7</v>
      </c>
      <c r="G251" s="6"/>
      <c r="H251" s="5"/>
      <c r="N251" s="148"/>
    </row>
    <row r="252" spans="1:14" x14ac:dyDescent="0.2">
      <c r="A252" s="200">
        <v>44437</v>
      </c>
      <c r="B252" s="199" t="s">
        <v>19221</v>
      </c>
      <c r="C252" s="201" t="s">
        <v>19222</v>
      </c>
      <c r="D252" s="148"/>
      <c r="E252" s="35"/>
      <c r="F252" s="198">
        <v>1.99</v>
      </c>
      <c r="G252" s="6"/>
      <c r="H252" s="5"/>
      <c r="N252" s="148"/>
    </row>
    <row r="253" spans="1:14" x14ac:dyDescent="0.2">
      <c r="A253" s="200">
        <v>44437</v>
      </c>
      <c r="B253" s="199" t="s">
        <v>19219</v>
      </c>
      <c r="C253" s="201" t="s">
        <v>19220</v>
      </c>
      <c r="D253" s="148"/>
      <c r="E253" s="35"/>
      <c r="F253" s="198">
        <v>25.14</v>
      </c>
      <c r="G253" s="6"/>
      <c r="H253" s="5"/>
      <c r="N253" s="148"/>
    </row>
    <row r="254" spans="1:14" x14ac:dyDescent="0.2">
      <c r="A254" s="200">
        <v>44437</v>
      </c>
      <c r="B254" s="199" t="s">
        <v>19217</v>
      </c>
      <c r="C254" s="201" t="s">
        <v>19218</v>
      </c>
      <c r="D254" s="148"/>
      <c r="E254" s="35"/>
      <c r="F254" s="198">
        <v>25.14</v>
      </c>
      <c r="G254" s="6"/>
      <c r="H254" s="5"/>
      <c r="N254" s="148"/>
    </row>
    <row r="255" spans="1:14" x14ac:dyDescent="0.2">
      <c r="A255" s="200">
        <v>44437</v>
      </c>
      <c r="B255" s="199" t="s">
        <v>19215</v>
      </c>
      <c r="C255" s="201" t="s">
        <v>19216</v>
      </c>
      <c r="D255" s="148"/>
      <c r="E255" s="35"/>
      <c r="F255" s="198">
        <v>10.67</v>
      </c>
      <c r="G255" s="6"/>
      <c r="H255" s="5"/>
      <c r="N255" s="148"/>
    </row>
    <row r="256" spans="1:14" x14ac:dyDescent="0.2">
      <c r="A256" s="200">
        <v>44437</v>
      </c>
      <c r="B256" s="199" t="s">
        <v>19213</v>
      </c>
      <c r="C256" s="201" t="s">
        <v>19214</v>
      </c>
      <c r="D256" s="148"/>
      <c r="E256" s="35"/>
      <c r="F256" s="198">
        <v>4.1900000000000004</v>
      </c>
      <c r="G256" s="6"/>
      <c r="H256" s="5"/>
      <c r="N256" s="148"/>
    </row>
    <row r="257" spans="1:14" x14ac:dyDescent="0.2">
      <c r="A257" s="200">
        <v>44438</v>
      </c>
      <c r="B257" s="199" t="s">
        <v>19211</v>
      </c>
      <c r="C257" s="201" t="s">
        <v>19212</v>
      </c>
      <c r="D257" s="148"/>
      <c r="E257" s="35"/>
      <c r="F257" s="198">
        <v>4.95</v>
      </c>
      <c r="G257" s="6"/>
      <c r="H257" s="5"/>
      <c r="N257" s="148"/>
    </row>
    <row r="258" spans="1:14" x14ac:dyDescent="0.2">
      <c r="A258" s="200">
        <v>44438</v>
      </c>
      <c r="B258" s="199" t="s">
        <v>19209</v>
      </c>
      <c r="C258" s="201" t="s">
        <v>19210</v>
      </c>
      <c r="D258" s="148"/>
      <c r="E258" s="35"/>
      <c r="F258" s="198">
        <v>3.56</v>
      </c>
      <c r="G258" s="6"/>
      <c r="H258" s="5"/>
      <c r="N258" s="148"/>
    </row>
    <row r="259" spans="1:14" x14ac:dyDescent="0.2">
      <c r="A259" s="200">
        <v>44438</v>
      </c>
      <c r="B259" s="199" t="s">
        <v>19207</v>
      </c>
      <c r="C259" s="201" t="s">
        <v>19208</v>
      </c>
      <c r="D259" s="148"/>
      <c r="E259" s="35"/>
      <c r="F259" s="198">
        <v>6.14</v>
      </c>
      <c r="G259" s="6"/>
      <c r="H259" s="5"/>
      <c r="N259" s="148"/>
    </row>
    <row r="260" spans="1:14" x14ac:dyDescent="0.2">
      <c r="A260" s="200">
        <v>44438</v>
      </c>
      <c r="B260" s="199" t="s">
        <v>19205</v>
      </c>
      <c r="C260" s="201" t="s">
        <v>19206</v>
      </c>
      <c r="D260" s="148"/>
      <c r="E260" s="35"/>
      <c r="F260" s="198">
        <v>2.44</v>
      </c>
      <c r="G260" s="6"/>
      <c r="H260" s="5"/>
      <c r="N260" s="148"/>
    </row>
    <row r="261" spans="1:14" x14ac:dyDescent="0.2">
      <c r="A261" s="200">
        <v>44438</v>
      </c>
      <c r="B261" s="199" t="s">
        <v>19203</v>
      </c>
      <c r="C261" s="201" t="s">
        <v>19204</v>
      </c>
      <c r="D261" s="148"/>
      <c r="E261" s="35"/>
      <c r="F261" s="198">
        <v>3.36</v>
      </c>
      <c r="G261" s="6"/>
      <c r="H261" s="5"/>
      <c r="N261" s="148"/>
    </row>
    <row r="262" spans="1:14" x14ac:dyDescent="0.2">
      <c r="A262" s="200">
        <v>44438</v>
      </c>
      <c r="B262" s="199" t="s">
        <v>19201</v>
      </c>
      <c r="C262" s="201" t="s">
        <v>19202</v>
      </c>
      <c r="D262" s="148"/>
      <c r="E262" s="35"/>
      <c r="F262" s="198">
        <v>4.37</v>
      </c>
      <c r="G262" s="6"/>
      <c r="H262" s="5"/>
      <c r="N262" s="148"/>
    </row>
    <row r="263" spans="1:14" x14ac:dyDescent="0.2">
      <c r="A263" s="200">
        <v>44438</v>
      </c>
      <c r="B263" s="199" t="s">
        <v>19199</v>
      </c>
      <c r="C263" s="201" t="s">
        <v>19200</v>
      </c>
      <c r="D263" s="148"/>
      <c r="E263" s="35"/>
      <c r="F263" s="198">
        <v>4.83</v>
      </c>
      <c r="G263" s="6"/>
      <c r="H263" s="5"/>
      <c r="N263" s="148"/>
    </row>
    <row r="264" spans="1:14" x14ac:dyDescent="0.2">
      <c r="A264" s="200">
        <v>44438</v>
      </c>
      <c r="B264" s="199" t="s">
        <v>19197</v>
      </c>
      <c r="C264" s="201" t="s">
        <v>19198</v>
      </c>
      <c r="D264" s="148"/>
      <c r="E264" s="35"/>
      <c r="F264" s="198">
        <v>0.22</v>
      </c>
      <c r="G264" s="6"/>
      <c r="H264" s="5"/>
      <c r="N264" s="148"/>
    </row>
    <row r="265" spans="1:14" x14ac:dyDescent="0.2">
      <c r="A265" s="200">
        <v>44438</v>
      </c>
      <c r="B265" s="199" t="s">
        <v>19195</v>
      </c>
      <c r="C265" s="201" t="s">
        <v>19196</v>
      </c>
      <c r="D265" s="148"/>
      <c r="E265" s="35"/>
      <c r="F265" s="198">
        <v>5.04</v>
      </c>
      <c r="G265" s="6"/>
      <c r="H265" s="5"/>
      <c r="N265" s="148"/>
    </row>
    <row r="266" spans="1:14" x14ac:dyDescent="0.2">
      <c r="A266" s="200">
        <v>44438</v>
      </c>
      <c r="B266" s="199" t="s">
        <v>19193</v>
      </c>
      <c r="C266" s="201" t="s">
        <v>19194</v>
      </c>
      <c r="D266" s="148"/>
      <c r="E266" s="35"/>
      <c r="F266" s="198">
        <v>3.36</v>
      </c>
      <c r="G266" s="6"/>
      <c r="H266" s="5"/>
      <c r="N266" s="148"/>
    </row>
    <row r="267" spans="1:14" x14ac:dyDescent="0.2">
      <c r="A267" s="200">
        <v>44438</v>
      </c>
      <c r="B267" s="199" t="s">
        <v>19191</v>
      </c>
      <c r="C267" s="201" t="s">
        <v>19192</v>
      </c>
      <c r="D267" s="148"/>
      <c r="E267" s="35"/>
      <c r="F267" s="198">
        <v>7.53</v>
      </c>
      <c r="G267" s="6"/>
      <c r="H267" s="5"/>
      <c r="N267" s="148"/>
    </row>
    <row r="268" spans="1:14" x14ac:dyDescent="0.2">
      <c r="A268" s="200">
        <v>44438</v>
      </c>
      <c r="B268" s="199" t="s">
        <v>19189</v>
      </c>
      <c r="C268" s="201" t="s">
        <v>19190</v>
      </c>
      <c r="D268" s="148"/>
      <c r="E268" s="35"/>
      <c r="F268" s="198">
        <v>8.3800000000000008</v>
      </c>
      <c r="G268" s="6"/>
      <c r="H268" s="5"/>
      <c r="N268" s="148"/>
    </row>
    <row r="269" spans="1:14" x14ac:dyDescent="0.2">
      <c r="A269" s="200">
        <v>44438</v>
      </c>
      <c r="B269" s="199" t="s">
        <v>19187</v>
      </c>
      <c r="C269" s="201" t="s">
        <v>19188</v>
      </c>
      <c r="D269" s="148"/>
      <c r="E269" s="35"/>
      <c r="F269" s="198">
        <v>4.5199999999999996</v>
      </c>
      <c r="G269" s="6"/>
      <c r="H269" s="5"/>
      <c r="N269" s="148"/>
    </row>
    <row r="270" spans="1:14" x14ac:dyDescent="0.2">
      <c r="A270" s="200">
        <v>44438</v>
      </c>
      <c r="B270" s="199" t="s">
        <v>19185</v>
      </c>
      <c r="C270" s="201" t="s">
        <v>19186</v>
      </c>
      <c r="D270" s="148"/>
      <c r="E270" s="35"/>
      <c r="F270" s="198">
        <v>1.68</v>
      </c>
      <c r="G270" s="6"/>
      <c r="H270" s="5"/>
      <c r="N270" s="148"/>
    </row>
    <row r="271" spans="1:14" x14ac:dyDescent="0.2">
      <c r="A271" s="200">
        <v>44438</v>
      </c>
      <c r="B271" s="199" t="s">
        <v>19183</v>
      </c>
      <c r="C271" s="201" t="s">
        <v>19184</v>
      </c>
      <c r="D271" s="148"/>
      <c r="E271" s="35"/>
      <c r="F271" s="198">
        <v>3.36</v>
      </c>
      <c r="G271" s="6"/>
      <c r="H271" s="5"/>
      <c r="N271" s="148"/>
    </row>
    <row r="272" spans="1:14" x14ac:dyDescent="0.2">
      <c r="A272" s="200">
        <v>44438</v>
      </c>
      <c r="B272" s="199" t="s">
        <v>19181</v>
      </c>
      <c r="C272" s="201" t="s">
        <v>19182</v>
      </c>
      <c r="D272" s="148"/>
      <c r="E272" s="35"/>
      <c r="F272" s="198">
        <v>6.49</v>
      </c>
      <c r="G272" s="6"/>
      <c r="H272" s="5"/>
      <c r="N272" s="148"/>
    </row>
    <row r="273" spans="1:14" x14ac:dyDescent="0.2">
      <c r="A273" s="200">
        <v>44438</v>
      </c>
      <c r="B273" s="199" t="s">
        <v>19179</v>
      </c>
      <c r="C273" s="201" t="s">
        <v>19180</v>
      </c>
      <c r="D273" s="148"/>
      <c r="E273" s="35"/>
      <c r="F273" s="198">
        <v>14.32</v>
      </c>
      <c r="G273" s="6"/>
      <c r="H273" s="5"/>
      <c r="N273" s="148"/>
    </row>
    <row r="274" spans="1:14" x14ac:dyDescent="0.2">
      <c r="A274" s="200">
        <v>44438</v>
      </c>
      <c r="B274" s="199" t="s">
        <v>19177</v>
      </c>
      <c r="C274" s="201" t="s">
        <v>19178</v>
      </c>
      <c r="D274" s="148"/>
      <c r="E274" s="35"/>
      <c r="F274" s="198">
        <v>1.92</v>
      </c>
      <c r="G274" s="6"/>
      <c r="H274" s="5"/>
      <c r="N274" s="148"/>
    </row>
    <row r="275" spans="1:14" x14ac:dyDescent="0.2">
      <c r="A275" s="200">
        <v>44438</v>
      </c>
      <c r="B275" s="199" t="s">
        <v>19175</v>
      </c>
      <c r="C275" s="201" t="s">
        <v>19176</v>
      </c>
      <c r="D275" s="148"/>
      <c r="E275" s="35"/>
      <c r="F275" s="198">
        <v>5.99</v>
      </c>
      <c r="G275" s="6"/>
      <c r="H275" s="5"/>
      <c r="N275" s="148"/>
    </row>
    <row r="276" spans="1:14" x14ac:dyDescent="0.2">
      <c r="A276" s="200">
        <v>44438</v>
      </c>
      <c r="B276" s="199" t="s">
        <v>19173</v>
      </c>
      <c r="C276" s="201" t="s">
        <v>19174</v>
      </c>
      <c r="D276" s="148"/>
      <c r="E276" s="35"/>
      <c r="F276" s="198">
        <v>3.36</v>
      </c>
      <c r="G276" s="6"/>
      <c r="H276" s="5"/>
      <c r="N276" s="148"/>
    </row>
    <row r="277" spans="1:14" x14ac:dyDescent="0.2">
      <c r="A277" s="200">
        <v>44438</v>
      </c>
      <c r="B277" s="199" t="s">
        <v>19171</v>
      </c>
      <c r="C277" s="201" t="s">
        <v>19172</v>
      </c>
      <c r="D277" s="148"/>
      <c r="E277" s="35"/>
      <c r="F277" s="198">
        <v>5.16</v>
      </c>
      <c r="G277" s="6"/>
      <c r="H277" s="5"/>
      <c r="N277" s="148"/>
    </row>
    <row r="278" spans="1:14" x14ac:dyDescent="0.2">
      <c r="A278" s="200">
        <v>44438</v>
      </c>
      <c r="B278" s="199" t="s">
        <v>19169</v>
      </c>
      <c r="C278" s="201" t="s">
        <v>19170</v>
      </c>
      <c r="D278" s="148"/>
      <c r="E278" s="35"/>
      <c r="F278" s="198">
        <v>11.62</v>
      </c>
      <c r="G278" s="6"/>
      <c r="H278" s="5"/>
      <c r="N278" s="148"/>
    </row>
    <row r="279" spans="1:14" x14ac:dyDescent="0.2">
      <c r="A279" s="200">
        <v>44438</v>
      </c>
      <c r="B279" s="199" t="s">
        <v>19167</v>
      </c>
      <c r="C279" s="201" t="s">
        <v>19168</v>
      </c>
      <c r="D279" s="148"/>
      <c r="E279" s="35"/>
      <c r="F279" s="198">
        <v>5.09</v>
      </c>
      <c r="G279" s="6"/>
      <c r="H279" s="5"/>
      <c r="N279" s="148"/>
    </row>
    <row r="280" spans="1:14" x14ac:dyDescent="0.2">
      <c r="A280" s="200">
        <v>44438</v>
      </c>
      <c r="B280" s="199" t="s">
        <v>19165</v>
      </c>
      <c r="C280" s="201" t="s">
        <v>19166</v>
      </c>
      <c r="D280" s="148"/>
      <c r="E280" s="35"/>
      <c r="F280" s="198">
        <v>15.11</v>
      </c>
      <c r="G280" s="6"/>
      <c r="H280" s="5"/>
      <c r="N280" s="148"/>
    </row>
    <row r="281" spans="1:14" x14ac:dyDescent="0.2">
      <c r="A281" s="200">
        <v>44438</v>
      </c>
      <c r="B281" s="199" t="s">
        <v>19163</v>
      </c>
      <c r="C281" s="201" t="s">
        <v>19164</v>
      </c>
      <c r="D281" s="148"/>
      <c r="E281" s="35"/>
      <c r="F281" s="198">
        <v>3.58</v>
      </c>
      <c r="G281" s="6"/>
      <c r="H281" s="5"/>
      <c r="N281" s="148"/>
    </row>
    <row r="282" spans="1:14" x14ac:dyDescent="0.2">
      <c r="A282" s="200">
        <v>44439</v>
      </c>
      <c r="B282" s="199" t="s">
        <v>19161</v>
      </c>
      <c r="C282" s="201" t="s">
        <v>19162</v>
      </c>
      <c r="D282" s="148"/>
      <c r="E282" s="35"/>
      <c r="F282" s="198">
        <v>6.94</v>
      </c>
      <c r="G282" s="6"/>
      <c r="H282" s="5"/>
      <c r="N282" s="148"/>
    </row>
    <row r="283" spans="1:14" x14ac:dyDescent="0.2">
      <c r="A283" s="200">
        <v>44439</v>
      </c>
      <c r="B283" s="199" t="s">
        <v>19159</v>
      </c>
      <c r="C283" s="201" t="s">
        <v>19160</v>
      </c>
      <c r="D283" s="148"/>
      <c r="E283" s="35"/>
      <c r="F283" s="198">
        <v>2.39</v>
      </c>
      <c r="G283" s="6"/>
      <c r="H283" s="5"/>
      <c r="N283" s="148"/>
    </row>
    <row r="284" spans="1:14" x14ac:dyDescent="0.2">
      <c r="A284" s="200">
        <v>44439</v>
      </c>
      <c r="B284" s="199" t="s">
        <v>19157</v>
      </c>
      <c r="C284" s="201" t="s">
        <v>19158</v>
      </c>
      <c r="D284" s="148"/>
      <c r="E284" s="35"/>
      <c r="F284" s="198">
        <v>0.27</v>
      </c>
      <c r="G284" s="6"/>
      <c r="H284" s="5"/>
      <c r="N284" s="148"/>
    </row>
    <row r="285" spans="1:14" x14ac:dyDescent="0.2">
      <c r="A285" s="200">
        <v>44439</v>
      </c>
      <c r="B285" s="199" t="s">
        <v>19155</v>
      </c>
      <c r="C285" s="201" t="s">
        <v>19156</v>
      </c>
      <c r="D285" s="148"/>
      <c r="E285" s="35"/>
      <c r="F285" s="198">
        <v>2.95</v>
      </c>
      <c r="G285" s="6"/>
      <c r="H285" s="5"/>
      <c r="N285" s="148"/>
    </row>
    <row r="286" spans="1:14" x14ac:dyDescent="0.2">
      <c r="A286" s="200">
        <v>44439</v>
      </c>
      <c r="B286" s="199" t="s">
        <v>19153</v>
      </c>
      <c r="C286" s="201" t="s">
        <v>19154</v>
      </c>
      <c r="D286" s="148"/>
      <c r="E286" s="35"/>
      <c r="F286" s="198">
        <v>6.14</v>
      </c>
      <c r="G286" s="6"/>
      <c r="H286" s="5"/>
      <c r="N286" s="148"/>
    </row>
    <row r="287" spans="1:14" x14ac:dyDescent="0.2">
      <c r="A287" s="200">
        <v>44439</v>
      </c>
      <c r="B287" s="199" t="s">
        <v>19151</v>
      </c>
      <c r="C287" s="201" t="s">
        <v>19152</v>
      </c>
      <c r="D287" s="148"/>
      <c r="E287" s="35"/>
      <c r="F287" s="198">
        <v>1.68</v>
      </c>
      <c r="G287" s="6"/>
      <c r="H287" s="5"/>
      <c r="N287" s="148"/>
    </row>
    <row r="288" spans="1:14" x14ac:dyDescent="0.2">
      <c r="A288" s="200">
        <v>44439</v>
      </c>
      <c r="B288" s="199" t="s">
        <v>19149</v>
      </c>
      <c r="C288" s="201" t="s">
        <v>19150</v>
      </c>
      <c r="D288" s="148"/>
      <c r="E288" s="35"/>
      <c r="F288" s="198">
        <v>3.49</v>
      </c>
      <c r="G288" s="6"/>
      <c r="H288" s="5"/>
      <c r="N288" s="148"/>
    </row>
    <row r="289" spans="1:14" x14ac:dyDescent="0.2">
      <c r="A289" s="200">
        <v>44439</v>
      </c>
      <c r="B289" s="199" t="s">
        <v>19147</v>
      </c>
      <c r="C289" s="201" t="s">
        <v>19148</v>
      </c>
      <c r="D289" s="148"/>
      <c r="E289" s="35"/>
      <c r="F289" s="198">
        <v>8.7200000000000006</v>
      </c>
      <c r="G289" s="6"/>
      <c r="H289" s="5"/>
      <c r="N289" s="148"/>
    </row>
    <row r="290" spans="1:14" x14ac:dyDescent="0.2">
      <c r="A290" s="200">
        <v>44439</v>
      </c>
      <c r="B290" s="199" t="s">
        <v>19145</v>
      </c>
      <c r="C290" s="201" t="s">
        <v>19146</v>
      </c>
      <c r="D290" s="148"/>
      <c r="E290" s="35"/>
      <c r="F290" s="198">
        <v>2.2400000000000002</v>
      </c>
      <c r="G290" s="6"/>
      <c r="H290" s="5"/>
      <c r="N290" s="148"/>
    </row>
    <row r="291" spans="1:14" x14ac:dyDescent="0.2">
      <c r="A291" s="200">
        <v>44439</v>
      </c>
      <c r="B291" s="199" t="s">
        <v>19143</v>
      </c>
      <c r="C291" s="201" t="s">
        <v>19144</v>
      </c>
      <c r="D291" s="148"/>
      <c r="E291" s="35"/>
      <c r="F291" s="198">
        <v>1.94</v>
      </c>
      <c r="G291" s="6"/>
      <c r="H291" s="5"/>
      <c r="N291" s="148"/>
    </row>
    <row r="292" spans="1:14" x14ac:dyDescent="0.2">
      <c r="A292" s="200">
        <v>44439</v>
      </c>
      <c r="B292" s="199" t="s">
        <v>19141</v>
      </c>
      <c r="C292" s="201" t="s">
        <v>19142</v>
      </c>
      <c r="D292" s="148"/>
      <c r="E292" s="35"/>
      <c r="F292" s="198">
        <v>3.47</v>
      </c>
      <c r="G292" s="6"/>
      <c r="H292" s="5"/>
      <c r="N292" s="148"/>
    </row>
    <row r="293" spans="1:14" x14ac:dyDescent="0.2">
      <c r="A293" s="200">
        <v>44439</v>
      </c>
      <c r="B293" s="199" t="s">
        <v>19139</v>
      </c>
      <c r="C293" s="201" t="s">
        <v>19140</v>
      </c>
      <c r="D293" s="148"/>
      <c r="E293" s="35"/>
      <c r="F293" s="198">
        <v>8.27</v>
      </c>
      <c r="G293" s="6"/>
      <c r="H293" s="5"/>
      <c r="N293" s="148"/>
    </row>
    <row r="294" spans="1:14" x14ac:dyDescent="0.2">
      <c r="A294" s="200">
        <v>44439</v>
      </c>
      <c r="B294" s="199" t="s">
        <v>19137</v>
      </c>
      <c r="C294" s="201" t="s">
        <v>19138</v>
      </c>
      <c r="D294" s="148"/>
      <c r="E294" s="35"/>
      <c r="F294" s="198">
        <v>0.28999999999999998</v>
      </c>
      <c r="G294" s="6"/>
      <c r="H294" s="5"/>
      <c r="N294" s="148"/>
    </row>
    <row r="295" spans="1:14" x14ac:dyDescent="0.2">
      <c r="A295" s="200">
        <v>44439</v>
      </c>
      <c r="B295" s="199" t="s">
        <v>19135</v>
      </c>
      <c r="C295" s="201" t="s">
        <v>19136</v>
      </c>
      <c r="D295" s="148"/>
      <c r="E295" s="35"/>
      <c r="F295" s="198">
        <v>5.33</v>
      </c>
      <c r="G295" s="6"/>
      <c r="H295" s="5"/>
      <c r="N295" s="148"/>
    </row>
    <row r="296" spans="1:14" x14ac:dyDescent="0.2">
      <c r="A296" s="200">
        <v>44439</v>
      </c>
      <c r="B296" s="199" t="s">
        <v>19133</v>
      </c>
      <c r="C296" s="201" t="s">
        <v>19134</v>
      </c>
      <c r="D296" s="148"/>
      <c r="E296" s="35"/>
      <c r="F296" s="198">
        <v>1.76</v>
      </c>
      <c r="G296" s="6"/>
      <c r="H296" s="5"/>
      <c r="N296" s="148"/>
    </row>
    <row r="297" spans="1:14" x14ac:dyDescent="0.2">
      <c r="A297" s="200">
        <v>44439</v>
      </c>
      <c r="B297" s="199" t="s">
        <v>19131</v>
      </c>
      <c r="C297" s="201" t="s">
        <v>19132</v>
      </c>
      <c r="D297" s="148"/>
      <c r="E297" s="35"/>
      <c r="F297" s="198">
        <v>4.25</v>
      </c>
      <c r="G297" s="6"/>
      <c r="H297" s="5"/>
      <c r="N297" s="148"/>
    </row>
    <row r="298" spans="1:14" x14ac:dyDescent="0.2">
      <c r="A298" s="200">
        <v>44439</v>
      </c>
      <c r="B298" s="199" t="s">
        <v>19129</v>
      </c>
      <c r="C298" s="201" t="s">
        <v>19130</v>
      </c>
      <c r="D298" s="148"/>
      <c r="E298" s="35"/>
      <c r="F298" s="198">
        <v>2.71</v>
      </c>
      <c r="G298" s="6"/>
      <c r="H298" s="5"/>
      <c r="N298" s="148"/>
    </row>
    <row r="299" spans="1:14" x14ac:dyDescent="0.2">
      <c r="A299" s="200">
        <v>44439</v>
      </c>
      <c r="B299" s="199" t="s">
        <v>19127</v>
      </c>
      <c r="C299" s="201" t="s">
        <v>19128</v>
      </c>
      <c r="D299" s="148"/>
      <c r="E299" s="35"/>
      <c r="F299" s="198">
        <v>2.3199999999999998</v>
      </c>
      <c r="G299" s="6"/>
      <c r="H299" s="5"/>
      <c r="N299" s="148"/>
    </row>
    <row r="300" spans="1:14" x14ac:dyDescent="0.2">
      <c r="A300" s="200">
        <v>44439</v>
      </c>
      <c r="B300" s="199" t="s">
        <v>19125</v>
      </c>
      <c r="C300" s="201" t="s">
        <v>19126</v>
      </c>
      <c r="D300" s="148"/>
      <c r="E300" s="35"/>
      <c r="F300" s="198">
        <v>2.79</v>
      </c>
      <c r="G300" s="6"/>
      <c r="H300" s="5"/>
      <c r="N300" s="148"/>
    </row>
    <row r="301" spans="1:14" x14ac:dyDescent="0.2">
      <c r="A301" s="200">
        <v>44439</v>
      </c>
      <c r="B301" s="199" t="s">
        <v>19123</v>
      </c>
      <c r="C301" s="201" t="s">
        <v>19124</v>
      </c>
      <c r="D301" s="148"/>
      <c r="E301" s="35"/>
      <c r="F301" s="198">
        <v>8.15</v>
      </c>
      <c r="G301" s="6"/>
      <c r="H301" s="5"/>
      <c r="N301" s="148"/>
    </row>
    <row r="302" spans="1:14" x14ac:dyDescent="0.2">
      <c r="A302" s="200">
        <v>44439</v>
      </c>
      <c r="B302" s="199" t="s">
        <v>19121</v>
      </c>
      <c r="C302" s="201" t="s">
        <v>19122</v>
      </c>
      <c r="D302" s="148"/>
      <c r="E302" s="35"/>
      <c r="F302" s="198">
        <v>3.06</v>
      </c>
      <c r="G302" s="6"/>
      <c r="H302" s="5"/>
      <c r="N302" s="148"/>
    </row>
    <row r="303" spans="1:14" x14ac:dyDescent="0.2">
      <c r="A303" s="200">
        <v>44439</v>
      </c>
      <c r="B303" s="199" t="s">
        <v>19119</v>
      </c>
      <c r="C303" s="201" t="s">
        <v>19120</v>
      </c>
      <c r="D303" s="148"/>
      <c r="E303" s="35"/>
      <c r="F303" s="198">
        <v>2.56</v>
      </c>
      <c r="G303" s="6"/>
      <c r="H303" s="5"/>
      <c r="N303" s="148"/>
    </row>
    <row r="304" spans="1:14" x14ac:dyDescent="0.2">
      <c r="A304" s="200">
        <v>44439</v>
      </c>
      <c r="B304" s="199" t="s">
        <v>19117</v>
      </c>
      <c r="C304" s="201" t="s">
        <v>19118</v>
      </c>
      <c r="D304" s="148"/>
      <c r="E304" s="35"/>
      <c r="F304" s="198">
        <v>1.68</v>
      </c>
      <c r="G304" s="6"/>
      <c r="H304" s="5"/>
      <c r="N304" s="148"/>
    </row>
    <row r="305" spans="1:14" x14ac:dyDescent="0.2">
      <c r="A305" s="200">
        <v>44439</v>
      </c>
      <c r="B305" s="199" t="s">
        <v>19115</v>
      </c>
      <c r="C305" s="201" t="s">
        <v>19116</v>
      </c>
      <c r="D305" s="148"/>
      <c r="E305" s="35"/>
      <c r="F305" s="198">
        <v>2.42</v>
      </c>
      <c r="G305" s="6"/>
      <c r="H305" s="5"/>
      <c r="N305" s="148"/>
    </row>
    <row r="306" spans="1:14" x14ac:dyDescent="0.2">
      <c r="A306" s="200">
        <v>44439</v>
      </c>
      <c r="B306" s="199" t="s">
        <v>19113</v>
      </c>
      <c r="C306" s="201" t="s">
        <v>19114</v>
      </c>
      <c r="D306" s="148"/>
      <c r="E306" s="35"/>
      <c r="F306" s="198">
        <v>6.83</v>
      </c>
      <c r="G306" s="6"/>
      <c r="H306" s="5"/>
      <c r="N306" s="148"/>
    </row>
    <row r="307" spans="1:14" x14ac:dyDescent="0.2">
      <c r="A307" s="200">
        <v>44439</v>
      </c>
      <c r="B307" s="199" t="s">
        <v>19111</v>
      </c>
      <c r="C307" s="201" t="s">
        <v>19112</v>
      </c>
      <c r="D307" s="148"/>
      <c r="E307" s="35"/>
      <c r="F307" s="198">
        <v>1.29</v>
      </c>
      <c r="G307" s="6"/>
      <c r="H307" s="5"/>
      <c r="N307" s="148"/>
    </row>
    <row r="308" spans="1:14" x14ac:dyDescent="0.2">
      <c r="A308" s="200">
        <v>44439</v>
      </c>
      <c r="B308" s="199" t="s">
        <v>19109</v>
      </c>
      <c r="C308" s="201" t="s">
        <v>19110</v>
      </c>
      <c r="D308" s="148"/>
      <c r="E308" s="35"/>
      <c r="F308" s="198">
        <v>1.68</v>
      </c>
      <c r="G308" s="6"/>
      <c r="H308" s="5"/>
      <c r="N308" s="148"/>
    </row>
    <row r="309" spans="1:14" x14ac:dyDescent="0.2">
      <c r="A309" s="200">
        <v>44439</v>
      </c>
      <c r="B309" s="199" t="s">
        <v>19107</v>
      </c>
      <c r="C309" s="201" t="s">
        <v>19108</v>
      </c>
      <c r="D309" s="148"/>
      <c r="E309" s="35"/>
      <c r="F309" s="198">
        <v>41.27</v>
      </c>
      <c r="G309" s="6"/>
      <c r="H309" s="5"/>
      <c r="N309" s="148"/>
    </row>
    <row r="310" spans="1:14" x14ac:dyDescent="0.2">
      <c r="A310" s="200">
        <v>44439</v>
      </c>
      <c r="B310" s="199" t="s">
        <v>19105</v>
      </c>
      <c r="C310" s="201" t="s">
        <v>19106</v>
      </c>
      <c r="D310" s="148"/>
      <c r="E310" s="35"/>
      <c r="F310" s="198">
        <v>4.29</v>
      </c>
      <c r="G310" s="6"/>
      <c r="H310" s="5"/>
      <c r="N310" s="148"/>
    </row>
    <row r="311" spans="1:14" x14ac:dyDescent="0.2">
      <c r="A311" s="200">
        <v>44439</v>
      </c>
      <c r="B311" s="199" t="s">
        <v>19103</v>
      </c>
      <c r="C311" s="201" t="s">
        <v>19104</v>
      </c>
      <c r="D311" s="148"/>
      <c r="E311" s="35"/>
      <c r="F311" s="198">
        <v>7.67</v>
      </c>
      <c r="G311" s="6"/>
      <c r="H311" s="5"/>
      <c r="N311" s="148"/>
    </row>
    <row r="312" spans="1:14" x14ac:dyDescent="0.2">
      <c r="A312" s="200">
        <v>44439</v>
      </c>
      <c r="B312" s="199" t="s">
        <v>19101</v>
      </c>
      <c r="C312" s="201" t="s">
        <v>19102</v>
      </c>
      <c r="D312" s="148"/>
      <c r="E312" s="35"/>
      <c r="F312" s="198">
        <v>0.85</v>
      </c>
      <c r="G312" s="6"/>
      <c r="H312" s="5"/>
      <c r="N312" s="148"/>
    </row>
    <row r="313" spans="1:14" x14ac:dyDescent="0.2">
      <c r="A313" s="200">
        <v>44439</v>
      </c>
      <c r="B313" s="199" t="s">
        <v>19099</v>
      </c>
      <c r="C313" s="201" t="s">
        <v>19100</v>
      </c>
      <c r="D313" s="148"/>
      <c r="E313" s="35"/>
      <c r="F313" s="198">
        <v>4.4000000000000004</v>
      </c>
      <c r="G313" s="6"/>
      <c r="H313" s="5"/>
      <c r="N313" s="148"/>
    </row>
    <row r="314" spans="1:14" x14ac:dyDescent="0.2">
      <c r="A314" s="200">
        <v>44439</v>
      </c>
      <c r="B314" s="199" t="s">
        <v>19097</v>
      </c>
      <c r="C314" s="201" t="s">
        <v>19098</v>
      </c>
      <c r="D314" s="148"/>
      <c r="E314" s="35"/>
      <c r="F314" s="198">
        <v>3.84</v>
      </c>
      <c r="G314" s="6"/>
      <c r="H314" s="5"/>
      <c r="N314" s="148"/>
    </row>
    <row r="315" spans="1:14" x14ac:dyDescent="0.2">
      <c r="A315" s="200">
        <v>44439</v>
      </c>
      <c r="B315" s="199" t="s">
        <v>19095</v>
      </c>
      <c r="C315" s="201" t="s">
        <v>19096</v>
      </c>
      <c r="D315" s="148"/>
      <c r="E315" s="35"/>
      <c r="F315" s="198">
        <v>1.68</v>
      </c>
      <c r="G315" s="6"/>
      <c r="H315" s="5"/>
      <c r="N315" s="148"/>
    </row>
    <row r="316" spans="1:14" x14ac:dyDescent="0.2">
      <c r="A316" s="200">
        <v>44439</v>
      </c>
      <c r="B316" s="199" t="s">
        <v>19093</v>
      </c>
      <c r="C316" s="201" t="s">
        <v>19094</v>
      </c>
      <c r="D316" s="148"/>
      <c r="E316" s="35"/>
      <c r="F316" s="198">
        <v>3.59</v>
      </c>
      <c r="G316" s="6"/>
      <c r="H316" s="5"/>
      <c r="N316" s="148"/>
    </row>
    <row r="317" spans="1:14" x14ac:dyDescent="0.2">
      <c r="A317" s="200">
        <v>44439</v>
      </c>
      <c r="B317" s="199" t="s">
        <v>19091</v>
      </c>
      <c r="C317" s="201" t="s">
        <v>19092</v>
      </c>
      <c r="D317" s="148"/>
      <c r="E317" s="35"/>
      <c r="F317" s="198">
        <v>0.84</v>
      </c>
      <c r="G317" s="6"/>
      <c r="H317" s="5"/>
      <c r="N317" s="148"/>
    </row>
    <row r="318" spans="1:14" x14ac:dyDescent="0.2">
      <c r="A318" s="200">
        <v>44439</v>
      </c>
      <c r="B318" s="199" t="s">
        <v>19089</v>
      </c>
      <c r="C318" s="201" t="s">
        <v>19090</v>
      </c>
      <c r="D318" s="148"/>
      <c r="E318" s="35"/>
      <c r="F318" s="198">
        <v>6.93</v>
      </c>
      <c r="G318" s="6"/>
      <c r="H318" s="5"/>
      <c r="N318" s="148"/>
    </row>
    <row r="319" spans="1:14" x14ac:dyDescent="0.2">
      <c r="A319" s="200">
        <v>44439</v>
      </c>
      <c r="B319" s="199" t="s">
        <v>19087</v>
      </c>
      <c r="C319" s="201" t="s">
        <v>19088</v>
      </c>
      <c r="D319" s="148"/>
      <c r="E319" s="35"/>
      <c r="F319" s="198">
        <v>8.8000000000000007</v>
      </c>
      <c r="G319" s="6"/>
      <c r="H319" s="5"/>
      <c r="N319" s="148"/>
    </row>
    <row r="320" spans="1:14" x14ac:dyDescent="0.2">
      <c r="A320" s="200">
        <v>44439</v>
      </c>
      <c r="B320" s="199" t="s">
        <v>19085</v>
      </c>
      <c r="C320" s="201" t="s">
        <v>19086</v>
      </c>
      <c r="D320" s="148"/>
      <c r="E320" s="35"/>
      <c r="F320" s="198">
        <v>3.15</v>
      </c>
      <c r="G320" s="6"/>
      <c r="H320" s="5"/>
      <c r="N320" s="148"/>
    </row>
    <row r="321" spans="1:15" x14ac:dyDescent="0.2">
      <c r="A321" s="200">
        <v>44439</v>
      </c>
      <c r="B321" s="199" t="s">
        <v>19083</v>
      </c>
      <c r="C321" s="201" t="s">
        <v>19084</v>
      </c>
      <c r="D321" s="148"/>
      <c r="E321" s="35"/>
      <c r="F321" s="198">
        <v>2.74</v>
      </c>
      <c r="G321" s="6"/>
      <c r="H321" s="5"/>
      <c r="N321" s="148"/>
    </row>
    <row r="322" spans="1:15" x14ac:dyDescent="0.2">
      <c r="A322" s="200">
        <v>44439</v>
      </c>
      <c r="B322" s="199" t="s">
        <v>19081</v>
      </c>
      <c r="C322" s="201" t="s">
        <v>19082</v>
      </c>
      <c r="D322" s="148"/>
      <c r="E322" s="35"/>
      <c r="F322" s="198">
        <v>3.36</v>
      </c>
      <c r="G322" s="6"/>
      <c r="H322" s="5"/>
      <c r="N322" s="148"/>
    </row>
    <row r="323" spans="1:15" x14ac:dyDescent="0.2">
      <c r="A323" s="200">
        <v>44439</v>
      </c>
      <c r="B323" s="199" t="s">
        <v>19079</v>
      </c>
      <c r="C323" s="201" t="s">
        <v>19080</v>
      </c>
      <c r="D323" s="148"/>
      <c r="E323" s="35"/>
      <c r="F323" s="198">
        <v>3.36</v>
      </c>
      <c r="G323" s="6"/>
      <c r="H323" s="5"/>
      <c r="N323" s="148"/>
    </row>
    <row r="324" spans="1:15" x14ac:dyDescent="0.2">
      <c r="A324" s="200">
        <v>44439</v>
      </c>
      <c r="B324" s="199" t="s">
        <v>19077</v>
      </c>
      <c r="C324" s="201" t="s">
        <v>19078</v>
      </c>
      <c r="D324" s="148"/>
      <c r="E324" s="35"/>
      <c r="F324" s="198">
        <v>12.87</v>
      </c>
      <c r="G324" s="6"/>
      <c r="H324" s="5"/>
      <c r="N324" s="148"/>
    </row>
    <row r="325" spans="1:15" x14ac:dyDescent="0.2">
      <c r="A325" s="200">
        <v>44439</v>
      </c>
      <c r="B325" s="199" t="s">
        <v>19075</v>
      </c>
      <c r="C325" s="201" t="s">
        <v>19076</v>
      </c>
      <c r="D325" s="148"/>
      <c r="E325" s="35"/>
      <c r="F325" s="279">
        <v>1.72</v>
      </c>
      <c r="G325" s="6"/>
      <c r="H325" s="5"/>
      <c r="N325" s="148"/>
    </row>
    <row r="326" spans="1:15" x14ac:dyDescent="0.2">
      <c r="A326" s="200"/>
      <c r="B326" s="199"/>
      <c r="C326" s="217"/>
      <c r="D326" s="165"/>
      <c r="E326" s="54"/>
      <c r="F326" s="202"/>
      <c r="G326" s="42"/>
      <c r="H326" s="82">
        <f>SUM(F58:F325)</f>
        <v>1756.0900000000004</v>
      </c>
      <c r="O326" s="148"/>
    </row>
    <row r="327" spans="1:15" x14ac:dyDescent="0.2">
      <c r="A327" s="42"/>
      <c r="B327" s="57"/>
      <c r="C327" s="78"/>
      <c r="D327" s="167"/>
      <c r="E327" s="42"/>
      <c r="F327" s="51"/>
      <c r="G327" s="42"/>
      <c r="H327" s="36"/>
      <c r="O327" s="148"/>
    </row>
    <row r="328" spans="1:15" ht="15.75" thickBot="1" x14ac:dyDescent="0.25">
      <c r="A328" s="64"/>
      <c r="B328" s="65" t="s">
        <v>16674</v>
      </c>
      <c r="C328" s="79"/>
      <c r="D328" s="168"/>
      <c r="E328" s="64"/>
      <c r="F328" s="71"/>
      <c r="G328" s="66" t="s">
        <v>3</v>
      </c>
      <c r="H328" s="81">
        <f>+H13-H21-H49+H54+H326</f>
        <v>96326.29</v>
      </c>
      <c r="O328" s="148"/>
    </row>
    <row r="329" spans="1:15" ht="13.5" thickTop="1" x14ac:dyDescent="0.2">
      <c r="A329" s="42"/>
      <c r="B329" s="57"/>
      <c r="C329" s="78"/>
      <c r="D329" s="167"/>
      <c r="E329" s="42"/>
      <c r="F329" s="51"/>
      <c r="G329" s="42"/>
      <c r="H329" s="36"/>
      <c r="O329" s="148"/>
    </row>
    <row r="330" spans="1:15" x14ac:dyDescent="0.2">
      <c r="A330" s="42"/>
      <c r="B330" s="57"/>
      <c r="C330" s="78"/>
      <c r="D330" s="167"/>
      <c r="E330" s="42"/>
      <c r="F330" s="51"/>
      <c r="G330" s="42"/>
      <c r="H330" s="37"/>
      <c r="O330" s="148"/>
    </row>
    <row r="331" spans="1:15" x14ac:dyDescent="0.2">
      <c r="A331" s="42"/>
      <c r="B331" s="57"/>
      <c r="C331" s="78"/>
      <c r="D331" s="167"/>
      <c r="E331" s="42"/>
      <c r="F331" s="42"/>
      <c r="G331" s="42"/>
      <c r="H331" s="37"/>
      <c r="O331" s="148"/>
    </row>
    <row r="332" spans="1:15" x14ac:dyDescent="0.2">
      <c r="A332" s="42"/>
      <c r="B332" s="57"/>
      <c r="C332" s="80"/>
      <c r="D332" s="169"/>
      <c r="E332" s="42"/>
      <c r="F332" s="69"/>
      <c r="G332" s="42"/>
      <c r="H332" s="36"/>
      <c r="O332" s="148"/>
    </row>
    <row r="333" spans="1:15" x14ac:dyDescent="0.2">
      <c r="A333" s="42"/>
      <c r="B333" s="57"/>
      <c r="C333" s="293" t="s">
        <v>15</v>
      </c>
      <c r="D333" s="293"/>
      <c r="E333" s="42"/>
      <c r="F333" s="293" t="s">
        <v>16</v>
      </c>
      <c r="G333" s="293"/>
      <c r="H333" s="36"/>
      <c r="O333" s="148"/>
    </row>
    <row r="334" spans="1:15" x14ac:dyDescent="0.2">
      <c r="A334" s="42"/>
      <c r="B334" s="57"/>
      <c r="C334" s="78"/>
      <c r="D334" s="167"/>
      <c r="E334" s="42"/>
      <c r="F334" s="42"/>
      <c r="G334" s="42"/>
      <c r="H334" s="37"/>
      <c r="O334" s="148"/>
    </row>
    <row r="335" spans="1:15" x14ac:dyDescent="0.2">
      <c r="A335" s="6"/>
      <c r="B335" s="5"/>
      <c r="C335" s="73"/>
      <c r="D335" s="161"/>
      <c r="E335" s="32"/>
      <c r="F335" s="72"/>
      <c r="G335" s="33"/>
      <c r="H335" s="5"/>
      <c r="O335" s="148"/>
    </row>
    <row r="336" spans="1:15" x14ac:dyDescent="0.2">
      <c r="O336" s="148"/>
    </row>
    <row r="337" spans="15:15" x14ac:dyDescent="0.2">
      <c r="O337" s="148"/>
    </row>
    <row r="338" spans="15:15" x14ac:dyDescent="0.2">
      <c r="O338" s="148"/>
    </row>
    <row r="339" spans="15:15" x14ac:dyDescent="0.2">
      <c r="O339" s="148"/>
    </row>
    <row r="340" spans="15:15" x14ac:dyDescent="0.2">
      <c r="O340" s="148"/>
    </row>
    <row r="341" spans="15:15" x14ac:dyDescent="0.2">
      <c r="O341" s="148"/>
    </row>
    <row r="342" spans="15:15" x14ac:dyDescent="0.2">
      <c r="O342" s="148"/>
    </row>
    <row r="343" spans="15:15" x14ac:dyDescent="0.2">
      <c r="O343" s="148"/>
    </row>
    <row r="344" spans="15:15" x14ac:dyDescent="0.2">
      <c r="O344" s="148"/>
    </row>
    <row r="345" spans="15:15" x14ac:dyDescent="0.2">
      <c r="O345" s="148"/>
    </row>
    <row r="346" spans="15:15" x14ac:dyDescent="0.2">
      <c r="O346" s="148"/>
    </row>
    <row r="347" spans="15:15" x14ac:dyDescent="0.2">
      <c r="O347" s="148"/>
    </row>
    <row r="348" spans="15:15" x14ac:dyDescent="0.2">
      <c r="O348" s="148"/>
    </row>
    <row r="349" spans="15:15" x14ac:dyDescent="0.2">
      <c r="O349" s="148"/>
    </row>
    <row r="350" spans="15:15" x14ac:dyDescent="0.2">
      <c r="O350" s="148"/>
    </row>
    <row r="351" spans="15:15" x14ac:dyDescent="0.2">
      <c r="O351" s="148"/>
    </row>
    <row r="352" spans="15:15" x14ac:dyDescent="0.2">
      <c r="O352" s="148"/>
    </row>
    <row r="353" spans="15:15" x14ac:dyDescent="0.2">
      <c r="O353" s="148"/>
    </row>
    <row r="354" spans="15:15" x14ac:dyDescent="0.2">
      <c r="O354" s="148"/>
    </row>
    <row r="355" spans="15:15" x14ac:dyDescent="0.2">
      <c r="O355" s="148"/>
    </row>
    <row r="356" spans="15:15" x14ac:dyDescent="0.2">
      <c r="O356" s="148"/>
    </row>
    <row r="357" spans="15:15" x14ac:dyDescent="0.2">
      <c r="O357" s="148"/>
    </row>
    <row r="358" spans="15:15" x14ac:dyDescent="0.2">
      <c r="O358" s="148"/>
    </row>
    <row r="359" spans="15:15" x14ac:dyDescent="0.2">
      <c r="O359" s="148"/>
    </row>
    <row r="360" spans="15:15" x14ac:dyDescent="0.2">
      <c r="O360" s="148"/>
    </row>
    <row r="361" spans="15:15" x14ac:dyDescent="0.2">
      <c r="O361" s="148"/>
    </row>
    <row r="362" spans="15:15" x14ac:dyDescent="0.2">
      <c r="O362" s="148"/>
    </row>
    <row r="363" spans="15:15" x14ac:dyDescent="0.2">
      <c r="O363" s="148"/>
    </row>
    <row r="364" spans="15:15" x14ac:dyDescent="0.2">
      <c r="O364" s="148"/>
    </row>
    <row r="365" spans="15:15" x14ac:dyDescent="0.2">
      <c r="O365" s="148"/>
    </row>
    <row r="366" spans="15:15" x14ac:dyDescent="0.2">
      <c r="O366" s="148"/>
    </row>
    <row r="367" spans="15:15" x14ac:dyDescent="0.2">
      <c r="O367" s="148"/>
    </row>
    <row r="368" spans="15:15" x14ac:dyDescent="0.2">
      <c r="O368" s="148"/>
    </row>
    <row r="369" spans="15:15" x14ac:dyDescent="0.2">
      <c r="O369" s="148"/>
    </row>
  </sheetData>
  <mergeCells count="5">
    <mergeCell ref="B11:E11"/>
    <mergeCell ref="B16:E16"/>
    <mergeCell ref="B24:D24"/>
    <mergeCell ref="C333:D333"/>
    <mergeCell ref="F333:G3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32</vt:i4>
      </vt:variant>
      <vt:variant>
        <vt:lpstr>Rangos con nombre</vt:lpstr>
      </vt:variant>
      <vt:variant>
        <vt:i4>22</vt:i4>
      </vt:variant>
    </vt:vector>
  </HeadingPairs>
  <TitlesOfParts>
    <vt:vector size="54" baseType="lpstr">
      <vt:lpstr>BP-ENE-21</vt:lpstr>
      <vt:lpstr>BP-WU-ENE-2021</vt:lpstr>
      <vt:lpstr>DP-ENE-2021</vt:lpstr>
      <vt:lpstr>BP CON ENE-2021</vt:lpstr>
      <vt:lpstr>BP-FEB-21</vt:lpstr>
      <vt:lpstr>DP-FEB-20212</vt:lpstr>
      <vt:lpstr>WU-FEB-2021</vt:lpstr>
      <vt:lpstr>BP CON FEB-2021</vt:lpstr>
      <vt:lpstr>BP-MAR-21</vt:lpstr>
      <vt:lpstr>DP-MAR-2021</vt:lpstr>
      <vt:lpstr>WU-MAR-2021</vt:lpstr>
      <vt:lpstr>BP CON MAR-21</vt:lpstr>
      <vt:lpstr>BP-ABR-21</vt:lpstr>
      <vt:lpstr>DP-ABR-21</vt:lpstr>
      <vt:lpstr>WU-ABR-21</vt:lpstr>
      <vt:lpstr>BP CON ABR-21</vt:lpstr>
      <vt:lpstr>BP-MAY-21</vt:lpstr>
      <vt:lpstr>DP-MAY-21</vt:lpstr>
      <vt:lpstr>WU-MAY-21</vt:lpstr>
      <vt:lpstr>BP CON MAY-21</vt:lpstr>
      <vt:lpstr>BP-JUN-21</vt:lpstr>
      <vt:lpstr>DP-JUN-21</vt:lpstr>
      <vt:lpstr>WU-JUN-21</vt:lpstr>
      <vt:lpstr>BP CON JUN-21</vt:lpstr>
      <vt:lpstr>BP-JUL-21</vt:lpstr>
      <vt:lpstr>DP-JUL-21</vt:lpstr>
      <vt:lpstr>WU-JUL-21</vt:lpstr>
      <vt:lpstr>BP CON JUL-21</vt:lpstr>
      <vt:lpstr>BP-AGO-21</vt:lpstr>
      <vt:lpstr>DP-AGO-21</vt:lpstr>
      <vt:lpstr>WU-AGO-21</vt:lpstr>
      <vt:lpstr>BP CON AGO-21</vt:lpstr>
      <vt:lpstr>'BP CON ABR-21'!Área_de_impresión</vt:lpstr>
      <vt:lpstr>'BP CON ENE-2021'!Área_de_impresión</vt:lpstr>
      <vt:lpstr>'BP CON FEB-2021'!Área_de_impresión</vt:lpstr>
      <vt:lpstr>'BP CON MAR-21'!Área_de_impresión</vt:lpstr>
      <vt:lpstr>'BP CON MAY-21'!Área_de_impresión</vt:lpstr>
      <vt:lpstr>'BP-WU-ENE-2021'!Área_de_impresión</vt:lpstr>
      <vt:lpstr>'DP-ENE-2021'!Área_de_impresión</vt:lpstr>
      <vt:lpstr>'DP-FEB-20212'!Área_de_impresión</vt:lpstr>
      <vt:lpstr>'DP-MAR-2021'!Área_de_impresión</vt:lpstr>
      <vt:lpstr>'WU-FEB-2021'!Área_de_impresión</vt:lpstr>
      <vt:lpstr>'WU-MAR-2021'!Área_de_impresión</vt:lpstr>
      <vt:lpstr>'BP CON ABR-21'!Títulos_a_imprimir</vt:lpstr>
      <vt:lpstr>'BP CON ENE-2021'!Títulos_a_imprimir</vt:lpstr>
      <vt:lpstr>'BP CON FEB-2021'!Títulos_a_imprimir</vt:lpstr>
      <vt:lpstr>'BP CON MAR-21'!Títulos_a_imprimir</vt:lpstr>
      <vt:lpstr>'BP CON MAY-21'!Títulos_a_imprimir</vt:lpstr>
      <vt:lpstr>'BP-WU-ENE-2021'!Títulos_a_imprimir</vt:lpstr>
      <vt:lpstr>'DP-ENE-2021'!Títulos_a_imprimir</vt:lpstr>
      <vt:lpstr>'DP-FEB-20212'!Títulos_a_imprimir</vt:lpstr>
      <vt:lpstr>'DP-MAR-2021'!Títulos_a_imprimir</vt:lpstr>
      <vt:lpstr>'WU-FEB-2021'!Títulos_a_imprimir</vt:lpstr>
      <vt:lpstr>'WU-MAR-2021'!Títulos_a_imprimir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 Selecto</dc:creator>
  <cp:lastModifiedBy>tsanchez</cp:lastModifiedBy>
  <cp:lastPrinted>2021-05-03T18:51:03Z</cp:lastPrinted>
  <dcterms:created xsi:type="dcterms:W3CDTF">2020-11-27T15:41:39Z</dcterms:created>
  <dcterms:modified xsi:type="dcterms:W3CDTF">2021-09-24T13:42:12Z</dcterms:modified>
</cp:coreProperties>
</file>